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AL5" i="3"/>
  <c r="I5" i="3"/>
  <c r="I4" i="6"/>
  <c r="G3" i="43"/>
  <c r="E22" i="43"/>
  <c r="G22" i="43"/>
  <c r="F22" i="43"/>
  <c r="H22" i="43"/>
  <c r="D22" i="43"/>
  <c r="C21" i="43"/>
  <c r="C29" i="43"/>
  <c r="E29" i="43"/>
  <c r="C33" i="43"/>
  <c r="E33" i="43"/>
  <c r="C34" i="43"/>
  <c r="E34" i="43"/>
  <c r="C35" i="43"/>
  <c r="E35" i="43"/>
  <c r="C36" i="43"/>
  <c r="E36" i="43"/>
  <c r="C37" i="43"/>
  <c r="E37" i="43"/>
  <c r="E41" i="43"/>
  <c r="C41" i="43"/>
  <c r="C38" i="43"/>
  <c r="E38" i="43"/>
  <c r="C39" i="43"/>
  <c r="E39" i="43"/>
  <c r="C26" i="43"/>
  <c r="B2" i="43"/>
  <c r="C6" i="68"/>
  <c r="F10" i="77"/>
  <c r="Q6" i="1"/>
  <c r="C2" i="77"/>
  <c r="AN15" i="3"/>
  <c r="I15" i="74"/>
  <c r="H15" i="74"/>
  <c r="G15" i="74"/>
  <c r="D15" i="74"/>
  <c r="C15" i="74"/>
  <c r="B15" i="74"/>
  <c r="C7" i="68"/>
  <c r="BR15" i="3"/>
  <c r="BQ15" i="3"/>
  <c r="BL15" i="3"/>
  <c r="BC15" i="3"/>
  <c r="BB15" i="3"/>
  <c r="BA15" i="3"/>
  <c r="AZ15" i="3"/>
  <c r="AZ5" i="3"/>
  <c r="E3" i="6"/>
  <c r="E5" i="6"/>
  <c r="E6" i="6"/>
  <c r="D10" i="68"/>
  <c r="C10" i="68"/>
  <c r="B29" i="1"/>
  <c r="C8" i="68"/>
  <c r="C5" i="68"/>
  <c r="C20" i="68"/>
  <c r="D5" i="73"/>
  <c r="G1" i="73"/>
  <c r="B40" i="1"/>
  <c r="F22" i="68"/>
  <c r="C23" i="68"/>
  <c r="C24" i="68"/>
  <c r="C25" i="68"/>
  <c r="C22" i="68"/>
  <c r="C26" i="68"/>
  <c r="D22" i="68"/>
  <c r="F34" i="68"/>
  <c r="K6" i="1"/>
  <c r="D2" i="77"/>
  <c r="D4" i="77"/>
  <c r="C4" i="77"/>
  <c r="L6" i="1"/>
  <c r="M6" i="1"/>
  <c r="K7" i="1"/>
  <c r="M7" i="1"/>
  <c r="K8" i="1"/>
  <c r="M8" i="1"/>
  <c r="K9" i="1"/>
  <c r="M9" i="1"/>
  <c r="K10" i="1"/>
  <c r="M10" i="1"/>
  <c r="K11" i="1"/>
  <c r="M11" i="1"/>
  <c r="K12" i="1"/>
  <c r="M12" i="1"/>
  <c r="K13" i="1"/>
  <c r="M13" i="1"/>
  <c r="BR5" i="3"/>
  <c r="G28" i="6"/>
  <c r="BQ5" i="3"/>
  <c r="F28" i="6"/>
  <c r="E28" i="6"/>
  <c r="K14" i="1"/>
  <c r="M14" i="1"/>
  <c r="M16" i="1"/>
  <c r="C34" i="68"/>
  <c r="C35" i="68"/>
  <c r="C36" i="68"/>
  <c r="D9" i="68"/>
  <c r="D19" i="68"/>
  <c r="D37" i="68"/>
  <c r="C37" i="68"/>
  <c r="C38" i="68"/>
  <c r="C33" i="68"/>
  <c r="C39" i="68"/>
  <c r="C42" i="68"/>
  <c r="C43" i="68"/>
  <c r="C41" i="68"/>
  <c r="C44" i="68"/>
  <c r="D41" i="68"/>
  <c r="D7" i="77"/>
  <c r="D8" i="77"/>
  <c r="D9" i="77"/>
  <c r="D10" i="77"/>
  <c r="C10" i="77"/>
  <c r="U6" i="1"/>
  <c r="F6" i="15"/>
  <c r="F8" i="15"/>
  <c r="F7" i="15"/>
  <c r="F9" i="15"/>
  <c r="C6" i="15"/>
  <c r="F4" i="73"/>
  <c r="I1" i="73"/>
  <c r="B39" i="1"/>
  <c r="F11" i="15"/>
  <c r="C10" i="15"/>
  <c r="C5" i="15"/>
  <c r="C32" i="15"/>
  <c r="C33" i="15"/>
  <c r="AC15" i="3"/>
  <c r="H15" i="3"/>
  <c r="G15" i="3"/>
  <c r="G5" i="3"/>
  <c r="B3" i="3"/>
  <c r="AY6" i="3"/>
  <c r="D3" i="6"/>
  <c r="D19" i="6"/>
  <c r="BA5" i="3"/>
  <c r="E27" i="6"/>
  <c r="K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B10" i="77"/>
  <c r="B9" i="77"/>
  <c r="B8" i="77"/>
  <c r="D29" i="43"/>
  <c r="F19" i="6"/>
  <c r="C11" i="4"/>
  <c r="B7" i="4"/>
  <c r="I34" i="40"/>
  <c r="G34" i="40"/>
  <c r="E34" i="40"/>
  <c r="C34" i="40"/>
  <c r="I11" i="40"/>
  <c r="G11" i="40"/>
  <c r="E11" i="40"/>
  <c r="C11" i="40"/>
  <c r="I7" i="40"/>
  <c r="G7" i="40"/>
  <c r="E7" i="40"/>
  <c r="N34" i="78"/>
  <c r="N33" i="78"/>
  <c r="N32" i="78"/>
  <c r="N31" i="78"/>
  <c r="N30" i="78"/>
  <c r="N29" i="78"/>
  <c r="N28" i="78"/>
  <c r="N27" i="78"/>
  <c r="N26" i="78"/>
  <c r="N25" i="78"/>
  <c r="N24" i="78"/>
  <c r="N23" i="78"/>
  <c r="N22" i="78"/>
  <c r="N21" i="78"/>
  <c r="N20" i="78"/>
  <c r="N3" i="78"/>
  <c r="N4" i="78"/>
  <c r="N5" i="78"/>
  <c r="N6" i="78"/>
  <c r="N7" i="78"/>
  <c r="N8" i="78"/>
  <c r="N9" i="78"/>
  <c r="N10" i="78"/>
  <c r="N11" i="78"/>
  <c r="N12" i="78"/>
  <c r="N13" i="78"/>
  <c r="N14" i="78"/>
  <c r="N15" i="78"/>
  <c r="N16" i="78"/>
  <c r="N2" i="78"/>
  <c r="B4" i="77"/>
  <c r="D3" i="77"/>
  <c r="B3" i="77"/>
  <c r="B2" i="77"/>
  <c r="O24" i="43"/>
  <c r="G82" i="43"/>
  <c r="G83" i="43"/>
  <c r="G84" i="43"/>
  <c r="G85" i="43"/>
  <c r="G86" i="43"/>
  <c r="G87" i="43"/>
  <c r="G88" i="43"/>
  <c r="G81" i="43"/>
  <c r="Y6" i="1"/>
  <c r="N6" i="1"/>
  <c r="B55" i="1"/>
  <c r="B56" i="1"/>
  <c r="B57" i="1"/>
  <c r="B58" i="1"/>
  <c r="B59" i="1"/>
  <c r="B54" i="1"/>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Q52"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B66" i="72"/>
  <c r="A22" i="51"/>
  <c r="A21" i="51"/>
  <c r="A20" i="51"/>
  <c r="L20" i="4"/>
  <c r="L21" i="4"/>
  <c r="L22" i="4"/>
  <c r="A15" i="62"/>
  <c r="A14" i="62"/>
  <c r="A13" i="62"/>
  <c r="B59" i="72"/>
  <c r="A19" i="62"/>
  <c r="A12" i="62"/>
  <c r="B58" i="72"/>
  <c r="A120" i="9"/>
  <c r="H2" i="52"/>
  <c r="A1" i="52"/>
  <c r="A3" i="53"/>
  <c r="Q10" i="71"/>
  <c r="P10" i="71"/>
  <c r="O10" i="71"/>
  <c r="N10"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5" i="72"/>
  <c r="B60" i="72"/>
  <c r="B67"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8" i="43"/>
  <c r="D67" i="43"/>
  <c r="D60" i="43"/>
  <c r="D61" i="43"/>
  <c r="D62" i="43"/>
  <c r="D63" i="43"/>
  <c r="D64" i="43"/>
  <c r="D65" i="43"/>
  <c r="D66" i="43"/>
  <c r="D59" i="43"/>
  <c r="E59" i="43"/>
  <c r="B57" i="43"/>
  <c r="M88" i="43"/>
  <c r="N88" i="43"/>
  <c r="K88" i="43"/>
  <c r="J88" i="43"/>
  <c r="M87" i="43"/>
  <c r="N87" i="43"/>
  <c r="K87" i="43"/>
  <c r="D87" i="43"/>
  <c r="M86" i="43"/>
  <c r="N86" i="43"/>
  <c r="K86" i="43"/>
  <c r="J86" i="43"/>
  <c r="D86" i="43"/>
  <c r="M85" i="43"/>
  <c r="N85" i="43"/>
  <c r="K85" i="43"/>
  <c r="J85" i="43"/>
  <c r="M84" i="43"/>
  <c r="N84" i="43"/>
  <c r="K84" i="43"/>
  <c r="J84" i="43"/>
  <c r="M83" i="43"/>
  <c r="N83" i="43"/>
  <c r="K83" i="43"/>
  <c r="D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G41" i="69"/>
  <c r="B23" i="1"/>
  <c r="B24" i="1"/>
  <c r="F11" i="12"/>
  <c r="B43" i="1"/>
  <c r="D78" i="9"/>
  <c r="BQ13" i="3"/>
  <c r="BQ14" i="3"/>
  <c r="BQ16" i="3"/>
  <c r="BQ17" i="3"/>
  <c r="BS13" i="3"/>
  <c r="BS14" i="3"/>
  <c r="BS15" i="3"/>
  <c r="BS16" i="3"/>
  <c r="BS17" i="3"/>
  <c r="BR14" i="3"/>
  <c r="BR16" i="3"/>
  <c r="BR17" i="3"/>
  <c r="BT13" i="3"/>
  <c r="BT14" i="3"/>
  <c r="BT15" i="3"/>
  <c r="BT16" i="3"/>
  <c r="BT17" i="3"/>
  <c r="BM14" i="3"/>
  <c r="BM15" i="3"/>
  <c r="BN15" i="3"/>
  <c r="BO15" i="3"/>
  <c r="BP15" i="3"/>
  <c r="BM16" i="3"/>
  <c r="BM17" i="3"/>
  <c r="BO13" i="3"/>
  <c r="BO14" i="3"/>
  <c r="BO16" i="3"/>
  <c r="BO17" i="3"/>
  <c r="BN13" i="3"/>
  <c r="BN14" i="3"/>
  <c r="BN16" i="3"/>
  <c r="BN17" i="3"/>
  <c r="BP13" i="3"/>
  <c r="BP14" i="3"/>
  <c r="BP16" i="3"/>
  <c r="BP17" i="3"/>
  <c r="E19" i="6"/>
  <c r="E20" i="6"/>
  <c r="E21" i="6"/>
  <c r="F23" i="15"/>
  <c r="D24" i="15"/>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E8" i="6"/>
  <c r="AZ380" i="3"/>
  <c r="AZ384" i="3"/>
  <c r="AZ388" i="3"/>
  <c r="AZ392" i="3"/>
  <c r="AZ396" i="3"/>
  <c r="AZ394" i="3"/>
  <c r="AZ499" i="3"/>
  <c r="AZ509" i="3"/>
  <c r="G509" i="3"/>
  <c r="BL493" i="3"/>
  <c r="AZ491" i="3"/>
  <c r="AZ376" i="3"/>
  <c r="AZ390" i="3"/>
  <c r="AZ382" i="3"/>
  <c r="AZ493" i="3"/>
  <c r="U36" i="40"/>
  <c r="N4" i="43"/>
  <c r="F36" i="43"/>
  <c r="H113" i="43"/>
  <c r="F48" i="43"/>
  <c r="H52" i="43"/>
  <c r="N7" i="43"/>
  <c r="F81"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AE9" i="1"/>
  <c r="D93" i="9"/>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G13" i="3"/>
  <c r="BA13" i="3"/>
  <c r="E10" i="6"/>
  <c r="E11" i="6"/>
  <c r="E61" i="39"/>
  <c r="BL17" i="3"/>
  <c r="AZ17" i="3"/>
  <c r="BL13" i="3"/>
  <c r="E65" i="39"/>
  <c r="G30" i="6"/>
  <c r="G31" i="6"/>
  <c r="J56" i="9"/>
  <c r="J57" i="9"/>
  <c r="A24" i="51"/>
  <c r="B18" i="72"/>
  <c r="U29" i="34"/>
  <c r="E14" i="6"/>
  <c r="E64" i="39"/>
  <c r="E32" i="6"/>
  <c r="L19" i="6"/>
  <c r="G1" i="68"/>
  <c r="K1" i="12"/>
  <c r="F30" i="6"/>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C7" i="40"/>
  <c r="C63" i="40"/>
  <c r="M47" i="9"/>
  <c r="G19" i="43"/>
  <c r="M20" i="43"/>
  <c r="O19" i="43"/>
  <c r="C19" i="43"/>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E51" i="40"/>
  <c r="B6" i="1"/>
  <c r="E6" i="1"/>
  <c r="S8" i="1"/>
  <c r="AR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Z13" i="3"/>
  <c r="O6" i="1"/>
  <c r="P6" i="1"/>
  <c r="F52" i="9"/>
  <c r="E63" i="39"/>
  <c r="D9" i="69"/>
  <c r="C9" i="69"/>
  <c r="AQ9" i="1"/>
  <c r="T13" i="1"/>
  <c r="E53" i="3"/>
  <c r="E175" i="3"/>
  <c r="E217" i="3"/>
  <c r="E319" i="3"/>
  <c r="E366" i="3"/>
  <c r="E530" i="3"/>
  <c r="E526" i="3"/>
  <c r="E501" i="3"/>
  <c r="E553" i="3"/>
  <c r="E343" i="3"/>
  <c r="E268" i="3"/>
  <c r="E153" i="3"/>
  <c r="E282" i="3"/>
  <c r="E305" i="3"/>
  <c r="E322" i="3"/>
  <c r="E426" i="3"/>
  <c r="N6" i="3"/>
  <c r="E508" i="3"/>
  <c r="AJ6" i="3"/>
  <c r="E328" i="3"/>
  <c r="S7" i="1"/>
  <c r="T7" i="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E239" i="3"/>
  <c r="E388" i="3"/>
  <c r="E509" i="3"/>
  <c r="O6" i="3"/>
  <c r="E516" i="3"/>
  <c r="E555" i="3"/>
  <c r="E579" i="3"/>
  <c r="E574" i="3"/>
  <c r="E569" i="3"/>
  <c r="E410" i="3"/>
  <c r="E431" i="3"/>
  <c r="E359" i="3"/>
  <c r="E396" i="3"/>
  <c r="E337" i="3"/>
  <c r="E247" i="3"/>
  <c r="E285" i="3"/>
  <c r="E229" i="3"/>
  <c r="E143" i="3"/>
  <c r="E201" i="3"/>
  <c r="E97" i="3"/>
  <c r="E151" i="3"/>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E52" i="37"/>
  <c r="F58" i="21"/>
  <c r="E48" i="35"/>
  <c r="F48" i="35"/>
  <c r="E59" i="34"/>
  <c r="C65" i="40"/>
  <c r="D63" i="40"/>
  <c r="B5" i="62"/>
  <c r="B73" i="72"/>
  <c r="L27" i="6"/>
  <c r="AP7" i="1"/>
  <c r="C36" i="69"/>
  <c r="O7" i="1"/>
  <c r="H16" i="1"/>
  <c r="AB45" i="21"/>
  <c r="AC33" i="21"/>
  <c r="W33" i="21"/>
  <c r="S33" i="21"/>
  <c r="AA33" i="21"/>
  <c r="W32" i="21"/>
  <c r="AC32" i="21"/>
  <c r="AB9" i="21"/>
  <c r="U9" i="21"/>
  <c r="AA32" i="21"/>
  <c r="S32" i="21"/>
  <c r="W9" i="21"/>
  <c r="AC9" i="21"/>
  <c r="AB32" i="21"/>
  <c r="U32" i="21"/>
  <c r="AA10" i="21"/>
  <c r="S10" i="21"/>
  <c r="AR7" i="1"/>
  <c r="F27" i="6"/>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c r="I58" i="21"/>
  <c r="E63" i="40"/>
  <c r="D65" i="40"/>
  <c r="F1" i="67"/>
  <c r="AC11" i="37"/>
  <c r="W11" i="37"/>
  <c r="W11" i="34"/>
  <c r="AC11" i="34"/>
  <c r="R7" i="1"/>
  <c r="C13" i="12"/>
  <c r="F34" i="11"/>
  <c r="F63" i="40"/>
  <c r="E65" i="40"/>
  <c r="R8" i="1"/>
  <c r="G63" i="40"/>
  <c r="F65" i="40"/>
  <c r="H63" i="40"/>
  <c r="G65" i="40"/>
  <c r="I63" i="40"/>
  <c r="H65" i="40"/>
  <c r="J63" i="40"/>
  <c r="I65" i="40"/>
  <c r="K63" i="40"/>
  <c r="L63" i="40"/>
  <c r="L65" i="40"/>
  <c r="J65" i="40"/>
  <c r="M63" i="40"/>
  <c r="M65" i="40"/>
  <c r="AE7" i="1"/>
  <c r="AE8" i="1"/>
  <c r="AG6" i="1"/>
  <c r="H109" i="9"/>
  <c r="H110" i="9"/>
  <c r="D18" i="53"/>
  <c r="B35" i="72"/>
  <c r="D124" i="9"/>
  <c r="H14" i="74"/>
  <c r="B7" i="74"/>
  <c r="D16" i="53"/>
  <c r="B34" i="72"/>
  <c r="D10" i="52"/>
  <c r="D17" i="53"/>
  <c r="B36" i="72"/>
  <c r="D125" i="9"/>
  <c r="D11" i="52"/>
  <c r="J7" i="33"/>
  <c r="W7" i="33"/>
  <c r="F7" i="33"/>
  <c r="S7" i="33"/>
  <c r="H7" i="33"/>
  <c r="AB7" i="33"/>
  <c r="T48" i="33"/>
  <c r="G48" i="33"/>
  <c r="AA7" i="33"/>
  <c r="R48" i="33"/>
  <c r="U7" i="33"/>
  <c r="H112" i="9"/>
  <c r="D21" i="53"/>
  <c r="B39" i="72"/>
  <c r="H111" i="9"/>
  <c r="D126" i="9"/>
  <c r="D59" i="9"/>
  <c r="M55" i="9"/>
  <c r="AD3" i="71"/>
  <c r="P21" i="43"/>
  <c r="P22" i="43"/>
  <c r="P23" i="43"/>
  <c r="B71" i="39"/>
  <c r="P24" i="43"/>
  <c r="B66" i="40"/>
  <c r="P25" i="43"/>
  <c r="E14" i="49"/>
  <c r="B4" i="62"/>
  <c r="B71" i="72"/>
  <c r="F31" i="15"/>
  <c r="L47" i="15"/>
  <c r="L47" i="67"/>
  <c r="B7" i="76"/>
  <c r="AO13" i="1"/>
  <c r="J15" i="67"/>
  <c r="E12" i="76"/>
  <c r="F43" i="67"/>
  <c r="F35" i="67"/>
  <c r="F7" i="67"/>
  <c r="E10" i="76"/>
  <c r="B10" i="76"/>
  <c r="L48" i="67"/>
  <c r="F5" i="73"/>
  <c r="B12" i="76"/>
  <c r="M6" i="67"/>
  <c r="E11" i="76"/>
  <c r="B9" i="76"/>
  <c r="F16" i="67"/>
  <c r="F38" i="67"/>
  <c r="M27" i="15"/>
  <c r="F3" i="73"/>
  <c r="B8" i="76"/>
  <c r="E2" i="69"/>
  <c r="AO9" i="1"/>
  <c r="F37" i="67"/>
  <c r="F6" i="73"/>
  <c r="AO12" i="1"/>
  <c r="E7" i="76"/>
  <c r="M27" i="67"/>
  <c r="M21" i="67"/>
  <c r="D3" i="73"/>
  <c r="M8" i="67"/>
  <c r="E9" i="76"/>
  <c r="M23" i="15"/>
  <c r="M28" i="15"/>
  <c r="F41" i="67"/>
  <c r="F7" i="73"/>
  <c r="M29" i="67"/>
  <c r="F20" i="31"/>
  <c r="D2" i="35"/>
  <c r="M24" i="67"/>
  <c r="AO7" i="1"/>
  <c r="F6" i="67"/>
  <c r="F36" i="67"/>
  <c r="F8" i="67"/>
  <c r="F40" i="67"/>
  <c r="D2" i="37"/>
  <c r="D2" i="36"/>
  <c r="M29" i="15"/>
  <c r="M24" i="15"/>
  <c r="D2" i="34"/>
  <c r="M28" i="67"/>
  <c r="F9" i="67"/>
  <c r="E8" i="76"/>
  <c r="J15" i="15"/>
  <c r="AO10" i="1"/>
  <c r="M9" i="67"/>
  <c r="F13" i="67"/>
  <c r="C76" i="15"/>
  <c r="M22" i="15"/>
  <c r="D7" i="73"/>
  <c r="E13" i="76"/>
  <c r="M26" i="67"/>
  <c r="D2" i="33"/>
  <c r="B11" i="76"/>
  <c r="D6" i="73"/>
  <c r="M22" i="67"/>
  <c r="C76" i="67"/>
  <c r="M26" i="15"/>
  <c r="M23" i="67"/>
  <c r="B13" i="76"/>
  <c r="AO8" i="1"/>
  <c r="F26" i="67"/>
  <c r="E2" i="68"/>
  <c r="D2" i="21"/>
  <c r="AO11" i="1"/>
  <c r="F42" i="67"/>
  <c r="E10" i="49"/>
  <c r="S34" i="40"/>
  <c r="B6" i="49"/>
  <c r="D22" i="67"/>
  <c r="E7" i="49"/>
  <c r="B7" i="49"/>
  <c r="B15" i="49"/>
  <c r="G25" i="12"/>
  <c r="G41" i="11"/>
  <c r="G27" i="12"/>
  <c r="G41" i="68"/>
  <c r="AC11" i="40"/>
  <c r="C18" i="9"/>
  <c r="D18" i="9"/>
  <c r="J83" i="43"/>
  <c r="J87" i="43"/>
  <c r="D81" i="43"/>
  <c r="E81" i="43"/>
  <c r="B79" i="43"/>
  <c r="C24" i="43"/>
  <c r="H83" i="43"/>
  <c r="H82" i="43"/>
  <c r="H85" i="43"/>
  <c r="H84" i="43"/>
  <c r="H86" i="43"/>
  <c r="H87" i="43"/>
  <c r="H81" i="43"/>
  <c r="H88" i="43"/>
  <c r="C94" i="9"/>
  <c r="C92" i="9"/>
  <c r="F28" i="15"/>
  <c r="C28" i="15"/>
  <c r="F54" i="9"/>
  <c r="M18" i="67"/>
  <c r="D68" i="9"/>
  <c r="C24" i="12"/>
  <c r="M18" i="15"/>
  <c r="F32" i="15"/>
  <c r="F60" i="15"/>
  <c r="F30" i="69"/>
  <c r="F32" i="67"/>
  <c r="F60" i="67"/>
  <c r="F31" i="12"/>
  <c r="C31" i="12"/>
  <c r="F28" i="67"/>
  <c r="C28" i="67"/>
  <c r="F30" i="11"/>
  <c r="F30" i="68"/>
  <c r="D23" i="67"/>
  <c r="C34" i="69"/>
  <c r="C38" i="69"/>
  <c r="T8" i="1"/>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F31" i="6"/>
  <c r="E56" i="39"/>
  <c r="E125" i="3"/>
  <c r="E56" i="40"/>
  <c r="D9" i="11"/>
  <c r="C9" i="11"/>
  <c r="D19" i="12"/>
  <c r="C19" i="12"/>
  <c r="T9" i="1"/>
  <c r="AR11" i="1"/>
  <c r="T11" i="1"/>
  <c r="AQ13" i="1"/>
  <c r="E16" i="6"/>
  <c r="E59" i="40"/>
  <c r="C36" i="11"/>
  <c r="B113" i="43"/>
  <c r="G101" i="43"/>
  <c r="J101" i="43"/>
  <c r="L101" i="43"/>
  <c r="D101" i="43"/>
  <c r="M101" i="43"/>
  <c r="I101" i="43"/>
  <c r="E101" i="43"/>
  <c r="J22" i="43"/>
  <c r="K101" i="43"/>
  <c r="F101" i="43"/>
  <c r="N101" i="43"/>
  <c r="C101" i="43"/>
  <c r="N104" i="46"/>
  <c r="H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P7" i="1"/>
  <c r="K15" i="1"/>
  <c r="K16" i="1"/>
  <c r="E30" i="6"/>
  <c r="E31" i="6"/>
  <c r="O9" i="1"/>
  <c r="P9" i="1"/>
  <c r="O8" i="1"/>
  <c r="P8" i="1"/>
  <c r="O14" i="1"/>
  <c r="P14" i="1"/>
  <c r="O11" i="1"/>
  <c r="P11" i="1"/>
  <c r="C5" i="43"/>
  <c r="D5" i="43"/>
  <c r="T35" i="4"/>
  <c r="A19" i="51"/>
  <c r="B14" i="72"/>
  <c r="G16" i="1"/>
  <c r="F10" i="40"/>
  <c r="D127" i="9"/>
  <c r="D13" i="52"/>
  <c r="I14" i="74"/>
  <c r="B8" i="74"/>
  <c r="D12" i="52"/>
  <c r="D19" i="53"/>
  <c r="G52" i="33"/>
  <c r="H52" i="33"/>
  <c r="E48" i="33"/>
  <c r="R49" i="33"/>
  <c r="J58" i="21"/>
  <c r="K58" i="21"/>
  <c r="L58" i="21"/>
  <c r="M58" i="21"/>
  <c r="N58" i="21"/>
  <c r="O58" i="21"/>
  <c r="H7" i="21"/>
  <c r="AC7" i="33"/>
  <c r="V48" i="33"/>
  <c r="I48" i="33"/>
  <c r="G53" i="33"/>
  <c r="H53" i="33"/>
  <c r="N63" i="40"/>
  <c r="K65" i="40"/>
  <c r="G48" i="35"/>
  <c r="C70" i="39"/>
  <c r="D68" i="39"/>
  <c r="F59" i="34"/>
  <c r="F52" i="37"/>
  <c r="E46" i="36"/>
  <c r="C23" i="12"/>
  <c r="B4" i="49"/>
  <c r="B9" i="49"/>
  <c r="E22" i="49"/>
  <c r="E16" i="49"/>
  <c r="E11" i="49"/>
  <c r="B10" i="49"/>
  <c r="E6" i="49"/>
  <c r="E8" i="49"/>
  <c r="E5" i="49"/>
  <c r="B8" i="49"/>
  <c r="B5" i="49"/>
  <c r="E21" i="49"/>
  <c r="E4" i="49"/>
  <c r="B14" i="49"/>
  <c r="B16" i="49"/>
  <c r="E13" i="49"/>
  <c r="E15" i="49"/>
  <c r="E9" i="49"/>
  <c r="B22" i="49"/>
  <c r="F70" i="67"/>
  <c r="F64" i="67"/>
  <c r="J57" i="15"/>
  <c r="J55" i="15"/>
  <c r="J58" i="15"/>
  <c r="Q50" i="15"/>
  <c r="I54" i="15"/>
  <c r="L56" i="15"/>
  <c r="F71" i="67"/>
  <c r="F66" i="15"/>
  <c r="F50" i="15"/>
  <c r="B10" i="70"/>
  <c r="F68" i="67"/>
  <c r="F66" i="67"/>
  <c r="L59" i="67"/>
  <c r="M59" i="67"/>
  <c r="N59" i="67"/>
  <c r="L58" i="67"/>
  <c r="F68" i="15"/>
  <c r="N59" i="15"/>
  <c r="L59" i="15"/>
  <c r="M59" i="15"/>
  <c r="L58" i="15"/>
  <c r="F65" i="15"/>
  <c r="Q71" i="67"/>
  <c r="B13" i="70"/>
  <c r="B8" i="70"/>
  <c r="C34" i="67"/>
  <c r="F63" i="67"/>
  <c r="C62" i="67"/>
  <c r="B20" i="31"/>
  <c r="B7" i="70"/>
  <c r="F69" i="67"/>
  <c r="J20" i="67"/>
  <c r="F71" i="15"/>
  <c r="F65" i="67"/>
  <c r="Q71" i="15"/>
  <c r="M7" i="67"/>
  <c r="J6" i="67"/>
  <c r="F50" i="67"/>
  <c r="F51" i="67"/>
  <c r="C6" i="67"/>
  <c r="B11" i="70"/>
  <c r="F51" i="15"/>
  <c r="F64" i="15"/>
  <c r="I54" i="67"/>
  <c r="J57" i="67"/>
  <c r="J55" i="67"/>
  <c r="J58" i="67"/>
  <c r="Q50" i="67"/>
  <c r="L56" i="67"/>
  <c r="C27" i="67"/>
  <c r="B12" i="70"/>
  <c r="B9" i="70"/>
  <c r="K1" i="73"/>
  <c r="F31" i="67"/>
  <c r="M17" i="67"/>
  <c r="M17" i="15"/>
  <c r="F59" i="67"/>
  <c r="F59" i="15"/>
  <c r="C17" i="67"/>
  <c r="C14" i="67"/>
  <c r="C16" i="67"/>
  <c r="C9" i="68"/>
  <c r="C35" i="69"/>
  <c r="Q52" i="15"/>
  <c r="C30" i="68"/>
  <c r="C48" i="68"/>
  <c r="C30" i="11"/>
  <c r="C48" i="11"/>
  <c r="C48" i="69"/>
  <c r="C30" i="69"/>
  <c r="E57" i="40"/>
  <c r="E62" i="39"/>
  <c r="E66" i="39"/>
  <c r="D3" i="21"/>
  <c r="C17" i="4"/>
  <c r="B4" i="52"/>
  <c r="B43" i="72"/>
  <c r="L18" i="9"/>
  <c r="D3" i="37"/>
  <c r="D3" i="34"/>
  <c r="D3" i="33"/>
  <c r="D19" i="11"/>
  <c r="C19" i="11"/>
  <c r="C20" i="11"/>
  <c r="D37" i="11"/>
  <c r="C37" i="11"/>
  <c r="D14" i="12"/>
  <c r="M18" i="9"/>
  <c r="B118" i="9"/>
  <c r="B14" i="74"/>
  <c r="B1" i="74"/>
  <c r="C7" i="74"/>
  <c r="AY103"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77" i="3"/>
  <c r="AY523" i="3"/>
  <c r="AY112" i="3"/>
  <c r="AY81" i="3"/>
  <c r="AY49" i="3"/>
  <c r="AY18" i="3"/>
  <c r="AY90" i="3"/>
  <c r="AY75"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63" i="3"/>
  <c r="AY366" i="3"/>
  <c r="AY441" i="3"/>
  <c r="AY260" i="3"/>
  <c r="AY310" i="3"/>
  <c r="AY549" i="3"/>
  <c r="AY97" i="3"/>
  <c r="AY44" i="3"/>
  <c r="AY154" i="3"/>
  <c r="AY283" i="3"/>
  <c r="AY230" i="3"/>
  <c r="AY360" i="3"/>
  <c r="AY56" i="3"/>
  <c r="AY295" i="3"/>
  <c r="AY353" i="3"/>
  <c r="AY475" i="3"/>
  <c r="AY398" i="3"/>
  <c r="AY534" i="3"/>
  <c r="AY501"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1" i="3"/>
  <c r="AY237" i="3"/>
  <c r="AY473" i="3"/>
  <c r="AY26" i="3"/>
  <c r="AY372" i="3"/>
  <c r="AY420" i="3"/>
  <c r="AY533" i="3"/>
  <c r="AY61" i="3"/>
  <c r="AY190" i="3"/>
  <c r="AY133" i="3"/>
  <c r="AY247" i="3"/>
  <c r="AY397" i="3"/>
  <c r="AY109" i="3"/>
  <c r="AY166" i="3"/>
  <c r="AY242" i="3"/>
  <c r="AY348" i="3"/>
  <c r="AY462" i="3"/>
  <c r="BQ6" i="3"/>
  <c r="AY495"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6" i="3"/>
  <c r="E6" i="3"/>
  <c r="F10" i="39"/>
  <c r="S10" i="39"/>
  <c r="K21" i="6"/>
  <c r="M21" i="6"/>
  <c r="I21" i="6"/>
  <c r="S21" i="6"/>
  <c r="K22" i="6"/>
  <c r="M22" i="6"/>
  <c r="I22" i="6"/>
  <c r="S22" i="6"/>
  <c r="K25" i="6"/>
  <c r="M25" i="6"/>
  <c r="I25" i="6"/>
  <c r="S25" i="6"/>
  <c r="K20" i="6"/>
  <c r="M20" i="6"/>
  <c r="I20" i="6"/>
  <c r="S20" i="6"/>
  <c r="K24" i="6"/>
  <c r="M24" i="6"/>
  <c r="I24" i="6"/>
  <c r="S24" i="6"/>
  <c r="K26" i="6"/>
  <c r="M26" i="6"/>
  <c r="I26" i="6"/>
  <c r="S26" i="6"/>
  <c r="K23" i="6"/>
  <c r="M23" i="6"/>
  <c r="I23" i="6"/>
  <c r="S23" i="6"/>
  <c r="N16" i="1"/>
  <c r="C34" i="11"/>
  <c r="L16" i="1"/>
  <c r="H107" i="43"/>
  <c r="H106" i="43"/>
  <c r="H105" i="43"/>
  <c r="H109" i="43"/>
  <c r="H102" i="43"/>
  <c r="H103" i="43"/>
  <c r="H104" i="43"/>
  <c r="C104" i="43"/>
  <c r="C105" i="43"/>
  <c r="C106"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5" i="43"/>
  <c r="J103" i="43"/>
  <c r="J109" i="43"/>
  <c r="J107" i="43"/>
  <c r="J102" i="43"/>
  <c r="J106" i="43"/>
  <c r="B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117" i="43"/>
  <c r="E117" i="43"/>
  <c r="F117" i="43"/>
  <c r="G117" i="43"/>
  <c r="H117" i="43"/>
  <c r="I115" i="43"/>
  <c r="J115" i="43"/>
  <c r="K115" i="43"/>
  <c r="L115" i="43"/>
  <c r="M115" i="43"/>
  <c r="D118" i="43"/>
  <c r="E118" i="43"/>
  <c r="F118" i="43"/>
  <c r="G118" i="43"/>
  <c r="H118" i="43"/>
  <c r="B118" i="43"/>
  <c r="C118" i="43"/>
  <c r="I116" i="43"/>
  <c r="J116" i="43"/>
  <c r="K116" i="43"/>
  <c r="L116" i="43"/>
  <c r="M116" i="43"/>
  <c r="F104" i="43"/>
  <c r="F107" i="43"/>
  <c r="F106" i="43"/>
  <c r="F105" i="43"/>
  <c r="F109" i="43"/>
  <c r="F102" i="43"/>
  <c r="F103"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3" i="43"/>
  <c r="G106" i="43"/>
  <c r="G107" i="43"/>
  <c r="G104" i="43"/>
  <c r="G109" i="43"/>
  <c r="P16" i="1"/>
  <c r="C11" i="12"/>
  <c r="O16" i="1"/>
  <c r="J10" i="39"/>
  <c r="AC10" i="39"/>
  <c r="H10" i="39"/>
  <c r="H10" i="40"/>
  <c r="J10" i="40"/>
  <c r="B38" i="72"/>
  <c r="D20" i="53"/>
  <c r="B40" i="72"/>
  <c r="H48" i="35"/>
  <c r="O63" i="40"/>
  <c r="O65" i="40"/>
  <c r="N65" i="40"/>
  <c r="F7" i="40"/>
  <c r="F7" i="21"/>
  <c r="J7" i="21"/>
  <c r="C49" i="33"/>
  <c r="B2" i="33"/>
  <c r="B3" i="33"/>
  <c r="C48" i="33"/>
  <c r="F46" i="36"/>
  <c r="G46" i="36"/>
  <c r="H46" i="36"/>
  <c r="I46" i="36"/>
  <c r="J46" i="36"/>
  <c r="K46" i="36"/>
  <c r="L46" i="36"/>
  <c r="M46" i="36"/>
  <c r="N46" i="36"/>
  <c r="O46" i="36"/>
  <c r="F7" i="36"/>
  <c r="G52" i="37"/>
  <c r="H52" i="37"/>
  <c r="I52" i="37"/>
  <c r="J52" i="37"/>
  <c r="K52" i="37"/>
  <c r="L52" i="37"/>
  <c r="M52" i="37"/>
  <c r="N52" i="37"/>
  <c r="O52" i="37"/>
  <c r="G59" i="34"/>
  <c r="H59" i="34"/>
  <c r="I59" i="34"/>
  <c r="J59" i="34"/>
  <c r="K59" i="34"/>
  <c r="L59" i="34"/>
  <c r="M59" i="34"/>
  <c r="N59" i="34"/>
  <c r="O59" i="34"/>
  <c r="H7" i="34"/>
  <c r="AA10" i="40"/>
  <c r="S10" i="40"/>
  <c r="D70" i="39"/>
  <c r="E68" i="39"/>
  <c r="J7" i="40"/>
  <c r="I53" i="33"/>
  <c r="J53" i="33"/>
  <c r="I52" i="33"/>
  <c r="J52" i="33"/>
  <c r="U7" i="21"/>
  <c r="AB7" i="21"/>
  <c r="T48" i="21"/>
  <c r="G48" i="21"/>
  <c r="H7" i="40"/>
  <c r="E53" i="33"/>
  <c r="F53" i="33"/>
  <c r="E52" i="33"/>
  <c r="F52" i="33"/>
  <c r="C49" i="67"/>
  <c r="C49" i="15"/>
  <c r="C18" i="67"/>
  <c r="C15" i="67"/>
  <c r="F11" i="67"/>
  <c r="M11" i="67"/>
  <c r="J10" i="67"/>
  <c r="J5" i="67"/>
  <c r="Q73" i="67"/>
  <c r="Q60" i="67"/>
  <c r="M17" i="43"/>
  <c r="N17" i="43"/>
  <c r="O17" i="43"/>
  <c r="Q60" i="15"/>
  <c r="Q73" i="15"/>
  <c r="Q74" i="15"/>
  <c r="Q61" i="15"/>
  <c r="Q61" i="67"/>
  <c r="Q74" i="67"/>
  <c r="C8" i="74"/>
  <c r="F69" i="15"/>
  <c r="S5" i="43"/>
  <c r="S3" i="43"/>
  <c r="S2" i="43"/>
  <c r="C23" i="43"/>
  <c r="S6" i="43"/>
  <c r="S7" i="43"/>
  <c r="S4" i="43"/>
  <c r="AY193" i="3"/>
  <c r="AY198" i="3"/>
  <c r="AY20" i="3"/>
  <c r="AY52" i="3"/>
  <c r="AY84" i="3"/>
  <c r="AY69" i="3"/>
  <c r="AY100" i="3"/>
  <c r="AY105" i="3"/>
  <c r="AY539" i="3"/>
  <c r="AY540" i="3"/>
  <c r="AY573" i="3"/>
  <c r="AY557" i="3"/>
  <c r="AY417" i="3"/>
  <c r="AY436" i="3"/>
  <c r="AY478" i="3"/>
  <c r="AY326" i="3"/>
  <c r="AY343" i="3"/>
  <c r="AY379" i="3"/>
  <c r="AY212" i="3"/>
  <c r="AY229" i="3"/>
  <c r="AY116" i="3"/>
  <c r="AY43" i="3"/>
  <c r="AY497" i="3"/>
  <c r="AY412" i="3"/>
  <c r="AY455" i="3"/>
  <c r="AY489" i="3"/>
  <c r="AY319" i="3"/>
  <c r="AY363" i="3"/>
  <c r="AY209" i="3"/>
  <c r="AY284" i="3"/>
  <c r="AY261" i="3"/>
  <c r="AY183" i="3"/>
  <c r="AY289" i="3"/>
  <c r="AY160" i="3"/>
  <c r="AY50" i="3"/>
  <c r="AA10" i="39"/>
  <c r="AQ6" i="1"/>
  <c r="S16" i="1"/>
  <c r="AR6" i="1"/>
  <c r="T16" i="1"/>
  <c r="W10" i="39"/>
  <c r="AY87" i="3"/>
  <c r="AY51" i="3"/>
  <c r="AY34" i="3"/>
  <c r="AY207" i="3"/>
  <c r="AY144" i="3"/>
  <c r="AY124" i="3"/>
  <c r="AY95" i="3"/>
  <c r="AY42" i="3"/>
  <c r="AY152" i="3"/>
  <c r="AY281" i="3"/>
  <c r="AY111" i="3"/>
  <c r="AY168" i="3"/>
  <c r="AY253" i="3"/>
  <c r="AY236" i="3"/>
  <c r="AY83" i="3"/>
  <c r="AY66" i="3"/>
  <c r="AY23" i="3"/>
  <c r="AY176" i="3"/>
  <c r="AY155" i="3"/>
  <c r="AY115" i="3"/>
  <c r="AY59" i="3"/>
  <c r="AY188" i="3"/>
  <c r="AY131" i="3"/>
  <c r="AY276" i="3"/>
  <c r="AY58" i="3"/>
  <c r="AY297" i="3"/>
  <c r="AY268" i="3"/>
  <c r="AY225" i="3"/>
  <c r="D17" i="12"/>
  <c r="C17" i="12"/>
  <c r="C14" i="12"/>
  <c r="D10" i="11"/>
  <c r="C10" i="11"/>
  <c r="D10" i="69"/>
  <c r="D20" i="12"/>
  <c r="C20" i="12"/>
  <c r="K27" i="6"/>
  <c r="H20" i="6"/>
  <c r="D25" i="6"/>
  <c r="M19" i="9"/>
  <c r="C118" i="9"/>
  <c r="C14" i="74"/>
  <c r="B2" i="74"/>
  <c r="D26" i="6"/>
  <c r="C18" i="4"/>
  <c r="D8" i="6"/>
  <c r="D23" i="6"/>
  <c r="D14" i="6"/>
  <c r="D6" i="6"/>
  <c r="D9" i="6"/>
  <c r="D10" i="6"/>
  <c r="L19" i="9"/>
  <c r="D29" i="6"/>
  <c r="H25" i="6"/>
  <c r="R25" i="6"/>
  <c r="H23" i="6"/>
  <c r="H26" i="6"/>
  <c r="D15" i="6"/>
  <c r="D22" i="6"/>
  <c r="D21" i="6"/>
  <c r="D24" i="6"/>
  <c r="D20" i="6"/>
  <c r="D5" i="6"/>
  <c r="D12" i="6"/>
  <c r="D11" i="6"/>
  <c r="D13" i="6"/>
  <c r="D28" i="6"/>
  <c r="D30" i="6"/>
  <c r="E61" i="40"/>
  <c r="H22" i="6"/>
  <c r="H21" i="6"/>
  <c r="R21" i="6"/>
  <c r="H24" i="6"/>
  <c r="C35" i="11"/>
  <c r="C38" i="11"/>
  <c r="C115" i="43"/>
  <c r="D113" i="43"/>
  <c r="F50" i="11"/>
  <c r="F50" i="68"/>
  <c r="F50" i="69"/>
  <c r="C15" i="12"/>
  <c r="C12" i="12"/>
  <c r="W10" i="40"/>
  <c r="AC10" i="40"/>
  <c r="AB10" i="39"/>
  <c r="U10" i="39"/>
  <c r="U10" i="40"/>
  <c r="AB10" i="40"/>
  <c r="AA7" i="40"/>
  <c r="R42" i="40"/>
  <c r="S7" i="40"/>
  <c r="G52" i="21"/>
  <c r="H52" i="21"/>
  <c r="W7" i="40"/>
  <c r="AC7" i="40"/>
  <c r="V42" i="40"/>
  <c r="I42" i="40"/>
  <c r="F7" i="34"/>
  <c r="J7" i="37"/>
  <c r="H7" i="37"/>
  <c r="H7" i="36"/>
  <c r="AC7" i="21"/>
  <c r="V48" i="21"/>
  <c r="I48" i="21"/>
  <c r="W7" i="21"/>
  <c r="I48" i="35"/>
  <c r="J7" i="34"/>
  <c r="AB7" i="40"/>
  <c r="T42" i="40"/>
  <c r="G42" i="40"/>
  <c r="U7" i="40"/>
  <c r="F68" i="39"/>
  <c r="E70" i="39"/>
  <c r="U7" i="34"/>
  <c r="AB7" i="34"/>
  <c r="T49" i="34"/>
  <c r="G49" i="34"/>
  <c r="S7" i="36"/>
  <c r="AA7" i="36"/>
  <c r="R36" i="36"/>
  <c r="S7" i="21"/>
  <c r="AA7" i="21"/>
  <c r="R48" i="21"/>
  <c r="J7" i="36"/>
  <c r="F7" i="37"/>
  <c r="C19" i="67"/>
  <c r="C20" i="67"/>
  <c r="C26" i="67"/>
  <c r="J24" i="67"/>
  <c r="J26" i="67"/>
  <c r="J29" i="67"/>
  <c r="J18" i="67"/>
  <c r="C53" i="67"/>
  <c r="C48" i="67"/>
  <c r="C10" i="67"/>
  <c r="C5" i="67"/>
  <c r="J24" i="15"/>
  <c r="J18" i="15"/>
  <c r="C53" i="15"/>
  <c r="C48" i="15"/>
  <c r="F24" i="67"/>
  <c r="C24" i="67"/>
  <c r="F22" i="11"/>
  <c r="F22" i="69"/>
  <c r="F25" i="12"/>
  <c r="T12" i="43"/>
  <c r="V12" i="43"/>
  <c r="T15" i="43"/>
  <c r="V15" i="43"/>
  <c r="T6" i="43"/>
  <c r="V6" i="43"/>
  <c r="T14" i="43"/>
  <c r="V14" i="43"/>
  <c r="T7" i="43"/>
  <c r="V7" i="43"/>
  <c r="T13" i="43"/>
  <c r="V13" i="43"/>
  <c r="T16" i="43"/>
  <c r="V16" i="43"/>
  <c r="T5" i="43"/>
  <c r="V5" i="43"/>
  <c r="T9" i="43"/>
  <c r="V9" i="43"/>
  <c r="T10" i="43"/>
  <c r="V10" i="43"/>
  <c r="T3" i="43"/>
  <c r="V3" i="43"/>
  <c r="T4" i="43"/>
  <c r="V4" i="43"/>
  <c r="T8" i="43"/>
  <c r="V8" i="43"/>
  <c r="T11" i="43"/>
  <c r="V11" i="43"/>
  <c r="T2" i="43"/>
  <c r="V2" i="43"/>
  <c r="C33" i="11"/>
  <c r="C39" i="11"/>
  <c r="C10" i="69"/>
  <c r="C8" i="69"/>
  <c r="C5" i="69"/>
  <c r="C23" i="69"/>
  <c r="D19" i="69"/>
  <c r="R20" i="6"/>
  <c r="D16" i="6"/>
  <c r="R26" i="6"/>
  <c r="R24" i="6"/>
  <c r="R22" i="6"/>
  <c r="D27" i="6"/>
  <c r="D31" i="6"/>
  <c r="R23" i="6"/>
  <c r="C4" i="52"/>
  <c r="B45" i="72"/>
  <c r="A10" i="51"/>
  <c r="B9" i="72"/>
  <c r="A7" i="51"/>
  <c r="B7" i="72"/>
  <c r="D7" i="74"/>
  <c r="D8" i="74"/>
  <c r="M27" i="6"/>
  <c r="C16" i="12"/>
  <c r="S7" i="37"/>
  <c r="AA7" i="37"/>
  <c r="R42" i="37"/>
  <c r="G68" i="39"/>
  <c r="F70" i="39"/>
  <c r="G47" i="40"/>
  <c r="H47" i="40"/>
  <c r="G46" i="40"/>
  <c r="H46" i="40"/>
  <c r="J48" i="35"/>
  <c r="K48" i="35"/>
  <c r="L48" i="35"/>
  <c r="M48" i="35"/>
  <c r="N48" i="35"/>
  <c r="O48" i="35"/>
  <c r="H7" i="35"/>
  <c r="F7" i="35"/>
  <c r="I52" i="21"/>
  <c r="J52" i="21"/>
  <c r="U7" i="37"/>
  <c r="AB7" i="37"/>
  <c r="T42" i="37"/>
  <c r="G42" i="37"/>
  <c r="S7" i="34"/>
  <c r="AA7" i="34"/>
  <c r="R49" i="34"/>
  <c r="R43" i="40"/>
  <c r="E42" i="40"/>
  <c r="I47" i="40"/>
  <c r="J47" i="40"/>
  <c r="W7" i="36"/>
  <c r="AC7" i="36"/>
  <c r="V36" i="36"/>
  <c r="I36" i="36"/>
  <c r="E48" i="21"/>
  <c r="R49" i="21"/>
  <c r="E36" i="36"/>
  <c r="R37" i="36"/>
  <c r="G53" i="34"/>
  <c r="H53" i="34"/>
  <c r="AC7" i="34"/>
  <c r="V49" i="34"/>
  <c r="I49" i="34"/>
  <c r="W7" i="34"/>
  <c r="J7" i="35"/>
  <c r="U7" i="36"/>
  <c r="AB7" i="36"/>
  <c r="T36" i="36"/>
  <c r="G36" i="36"/>
  <c r="AC7" i="37"/>
  <c r="V42" i="37"/>
  <c r="I42" i="37"/>
  <c r="W7" i="37"/>
  <c r="I46" i="40"/>
  <c r="J46" i="40"/>
  <c r="G53" i="21"/>
  <c r="H53" i="21"/>
  <c r="C26" i="12"/>
  <c r="D25" i="12"/>
  <c r="C44" i="11"/>
  <c r="D41" i="11"/>
  <c r="C23" i="11"/>
  <c r="C26" i="11"/>
  <c r="D22" i="11"/>
  <c r="C24" i="11"/>
  <c r="C25" i="11"/>
  <c r="C23" i="67"/>
  <c r="C29" i="67"/>
  <c r="C66" i="15"/>
  <c r="C60" i="15"/>
  <c r="C60" i="67"/>
  <c r="C66" i="67"/>
  <c r="C44" i="69"/>
  <c r="D41" i="69"/>
  <c r="C26" i="69"/>
  <c r="D22" i="69"/>
  <c r="C38" i="67"/>
  <c r="C32" i="67"/>
  <c r="C42" i="11"/>
  <c r="C18" i="12"/>
  <c r="C21" i="12"/>
  <c r="C22" i="12"/>
  <c r="G37" i="43"/>
  <c r="I37" i="43"/>
  <c r="G39" i="43"/>
  <c r="I39" i="43"/>
  <c r="G34" i="43"/>
  <c r="I34" i="43"/>
  <c r="G33" i="43"/>
  <c r="I33" i="43"/>
  <c r="G36" i="43"/>
  <c r="I36" i="43"/>
  <c r="G38" i="43"/>
  <c r="I38" i="43"/>
  <c r="C30" i="43"/>
  <c r="E30" i="43"/>
  <c r="G35" i="43"/>
  <c r="I35" i="43"/>
  <c r="C43" i="11"/>
  <c r="C19" i="69"/>
  <c r="C24" i="69"/>
  <c r="D37" i="69"/>
  <c r="C37" i="69"/>
  <c r="C33" i="69"/>
  <c r="C19" i="68"/>
  <c r="S19" i="6"/>
  <c r="S27" i="6"/>
  <c r="I27" i="6"/>
  <c r="I6" i="6"/>
  <c r="I5" i="6"/>
  <c r="AC7" i="35"/>
  <c r="V38" i="35"/>
  <c r="I38" i="35"/>
  <c r="W7" i="35"/>
  <c r="I53" i="34"/>
  <c r="J53" i="34"/>
  <c r="E40" i="36"/>
  <c r="F40" i="36"/>
  <c r="E41" i="36"/>
  <c r="F41" i="36"/>
  <c r="E52" i="21"/>
  <c r="F52" i="21"/>
  <c r="E53" i="21"/>
  <c r="F53" i="21"/>
  <c r="C43" i="40"/>
  <c r="C42" i="40"/>
  <c r="G40" i="36"/>
  <c r="H40" i="36"/>
  <c r="G41" i="36"/>
  <c r="H41" i="36"/>
  <c r="AB7" i="35"/>
  <c r="T38" i="35"/>
  <c r="G38" i="35"/>
  <c r="U7" i="35"/>
  <c r="E42" i="37"/>
  <c r="R43" i="37"/>
  <c r="I47" i="37"/>
  <c r="J47" i="37"/>
  <c r="I46" i="37"/>
  <c r="J46" i="37"/>
  <c r="G54" i="34"/>
  <c r="H54" i="34"/>
  <c r="C36" i="36"/>
  <c r="C37" i="36"/>
  <c r="B2" i="36"/>
  <c r="B3" i="36"/>
  <c r="C48" i="21"/>
  <c r="C49" i="21"/>
  <c r="B2" i="21"/>
  <c r="B3" i="21"/>
  <c r="I41" i="36"/>
  <c r="J41" i="36"/>
  <c r="I40" i="36"/>
  <c r="J40" i="36"/>
  <c r="E46" i="40"/>
  <c r="F46" i="40"/>
  <c r="E47" i="40"/>
  <c r="F47" i="40"/>
  <c r="R50" i="34"/>
  <c r="E49" i="34"/>
  <c r="I54" i="34"/>
  <c r="J54" i="34"/>
  <c r="G46" i="37"/>
  <c r="H46" i="37"/>
  <c r="G47" i="37"/>
  <c r="H47" i="37"/>
  <c r="I53" i="21"/>
  <c r="J53" i="21"/>
  <c r="AA7" i="35"/>
  <c r="R38" i="35"/>
  <c r="S7" i="35"/>
  <c r="G70" i="39"/>
  <c r="H68" i="39"/>
  <c r="J19" i="15"/>
  <c r="Q49" i="15"/>
  <c r="C57" i="15"/>
  <c r="J14" i="15"/>
  <c r="J59" i="15"/>
  <c r="C22" i="11"/>
  <c r="C33" i="67"/>
  <c r="C31" i="67"/>
  <c r="J14" i="67"/>
  <c r="C57" i="67"/>
  <c r="C13" i="67"/>
  <c r="J19" i="67"/>
  <c r="J17" i="67"/>
  <c r="Q49" i="67"/>
  <c r="C36" i="67"/>
  <c r="J59" i="67"/>
  <c r="J60" i="67"/>
  <c r="C41" i="11"/>
  <c r="C20" i="69"/>
  <c r="C25" i="69"/>
  <c r="C22" i="69"/>
  <c r="C27" i="12"/>
  <c r="C25" i="12"/>
  <c r="C27" i="43"/>
  <c r="C39" i="69"/>
  <c r="C42" i="69"/>
  <c r="H27" i="6"/>
  <c r="I68" i="39"/>
  <c r="H70" i="39"/>
  <c r="C49" i="34"/>
  <c r="C50" i="34"/>
  <c r="B2" i="34"/>
  <c r="B3" i="34"/>
  <c r="C42" i="37"/>
  <c r="C43" i="37"/>
  <c r="B2" i="37"/>
  <c r="B3" i="37"/>
  <c r="E38" i="35"/>
  <c r="R39" i="35"/>
  <c r="E54" i="34"/>
  <c r="F54" i="34"/>
  <c r="E53" i="34"/>
  <c r="F53" i="34"/>
  <c r="E47" i="37"/>
  <c r="F47" i="37"/>
  <c r="E46" i="37"/>
  <c r="F46" i="37"/>
  <c r="G42" i="35"/>
  <c r="H42" i="35"/>
  <c r="G43" i="35"/>
  <c r="H43" i="35"/>
  <c r="B57" i="40"/>
  <c r="F57" i="40"/>
  <c r="B58" i="40"/>
  <c r="F58" i="40"/>
  <c r="B59" i="40"/>
  <c r="F59" i="40"/>
  <c r="B52" i="40"/>
  <c r="F52" i="40"/>
  <c r="B56" i="40"/>
  <c r="F56" i="40"/>
  <c r="B51" i="40"/>
  <c r="F51" i="40"/>
  <c r="F61" i="40"/>
  <c r="B2" i="40"/>
  <c r="B3" i="40"/>
  <c r="B54" i="40"/>
  <c r="F54" i="40"/>
  <c r="B55" i="40"/>
  <c r="F55" i="40"/>
  <c r="B53" i="40"/>
  <c r="F53" i="40"/>
  <c r="B60" i="40"/>
  <c r="F60" i="40"/>
  <c r="I42" i="35"/>
  <c r="J42" i="35"/>
  <c r="I43" i="35"/>
  <c r="J43" i="35"/>
  <c r="Q48" i="67"/>
  <c r="L46" i="67"/>
  <c r="C75" i="67"/>
  <c r="C37" i="67"/>
  <c r="C30" i="67"/>
  <c r="C39" i="67"/>
  <c r="Q70" i="67"/>
  <c r="C56" i="67"/>
  <c r="C65" i="67"/>
  <c r="J13" i="67"/>
  <c r="J23" i="67"/>
  <c r="J22" i="67"/>
  <c r="Q48" i="15"/>
  <c r="J13" i="15"/>
  <c r="J23" i="15"/>
  <c r="J22" i="15"/>
  <c r="C61" i="67"/>
  <c r="C59" i="67"/>
  <c r="C64" i="67"/>
  <c r="Q70" i="15"/>
  <c r="C56" i="15"/>
  <c r="C65" i="15"/>
  <c r="C75" i="15"/>
  <c r="C61" i="15"/>
  <c r="C64" i="15"/>
  <c r="E6" i="76"/>
  <c r="B6" i="76"/>
  <c r="E2" i="76"/>
  <c r="B2" i="76"/>
  <c r="B3" i="43"/>
  <c r="R27" i="6"/>
  <c r="C43" i="69"/>
  <c r="C41" i="69"/>
  <c r="C38" i="35"/>
  <c r="C39" i="35"/>
  <c r="B2" i="35"/>
  <c r="B3" i="35"/>
  <c r="E43" i="35"/>
  <c r="F43" i="35"/>
  <c r="E42" i="35"/>
  <c r="F42" i="35"/>
  <c r="J68" i="39"/>
  <c r="I70" i="39"/>
  <c r="J16" i="67"/>
  <c r="J25" i="67"/>
  <c r="C40" i="67"/>
  <c r="Q69" i="67"/>
  <c r="Q68" i="67"/>
  <c r="C58" i="67"/>
  <c r="C67" i="67"/>
  <c r="C68" i="67"/>
  <c r="C80" i="67"/>
  <c r="C79" i="67"/>
  <c r="M21" i="15"/>
  <c r="L51" i="67"/>
  <c r="B3" i="76"/>
  <c r="F63" i="15"/>
  <c r="C62" i="15"/>
  <c r="C59" i="15"/>
  <c r="C58" i="15"/>
  <c r="C67" i="15"/>
  <c r="C68" i="15"/>
  <c r="C71" i="15"/>
  <c r="J20" i="15"/>
  <c r="J17" i="15"/>
  <c r="J16" i="15"/>
  <c r="J25" i="15"/>
  <c r="R16" i="1"/>
  <c r="K68" i="39"/>
  <c r="J70" i="39"/>
  <c r="Q67" i="67"/>
  <c r="L57" i="67"/>
  <c r="L60" i="67"/>
  <c r="C71" i="67"/>
  <c r="C45" i="67"/>
  <c r="C46" i="67"/>
  <c r="Q56" i="67"/>
  <c r="Q47" i="67"/>
  <c r="Q53" i="67"/>
  <c r="Q65" i="67"/>
  <c r="C43" i="67"/>
  <c r="D2" i="67"/>
  <c r="C83" i="67"/>
  <c r="C82" i="67"/>
  <c r="L51" i="15"/>
  <c r="Q67" i="15"/>
  <c r="L57" i="15"/>
  <c r="L60" i="15"/>
  <c r="Q69" i="15"/>
  <c r="Q68" i="15"/>
  <c r="C80" i="15"/>
  <c r="C79" i="15"/>
  <c r="L68" i="39"/>
  <c r="K70" i="39"/>
  <c r="Q66" i="67"/>
  <c r="Q75" i="67"/>
  <c r="Q57" i="67"/>
  <c r="Q62" i="67"/>
  <c r="B2" i="67"/>
  <c r="B3" i="67"/>
  <c r="Q66" i="15"/>
  <c r="Q57" i="15"/>
  <c r="Q65" i="15"/>
  <c r="Q75" i="15"/>
  <c r="C43" i="15"/>
  <c r="Q56" i="15"/>
  <c r="Q47" i="15"/>
  <c r="Q53" i="15"/>
  <c r="C83" i="15"/>
  <c r="C82" i="15"/>
  <c r="C46" i="15"/>
  <c r="M68" i="39"/>
  <c r="L70" i="39"/>
  <c r="AO6" i="1"/>
  <c r="Q62" i="15"/>
  <c r="D21" i="9"/>
  <c r="D102" i="9"/>
  <c r="B6" i="70"/>
  <c r="B2" i="70"/>
  <c r="B3" i="70"/>
  <c r="B3" i="15"/>
  <c r="N68" i="39"/>
  <c r="M70" i="39"/>
  <c r="D20" i="9"/>
  <c r="D103" i="9"/>
  <c r="O68" i="39"/>
  <c r="O70" i="39"/>
  <c r="N70" i="39"/>
  <c r="J7" i="39"/>
  <c r="H7" i="39"/>
  <c r="F7" i="39"/>
  <c r="S7" i="39"/>
  <c r="AA7" i="39"/>
  <c r="R47" i="39"/>
  <c r="AB7" i="39"/>
  <c r="T47" i="39"/>
  <c r="G47" i="39"/>
  <c r="U7" i="39"/>
  <c r="AC7" i="39"/>
  <c r="V47" i="39"/>
  <c r="I47" i="39"/>
  <c r="W7" i="39"/>
  <c r="I51" i="39"/>
  <c r="J51" i="39"/>
  <c r="G52" i="39"/>
  <c r="H52" i="39"/>
  <c r="G51" i="39"/>
  <c r="H51" i="39"/>
  <c r="E47" i="39"/>
  <c r="R48" i="39"/>
  <c r="E51" i="39"/>
  <c r="F51" i="39"/>
  <c r="E52" i="39"/>
  <c r="F52" i="39"/>
  <c r="C47" i="39"/>
  <c r="C48" i="39"/>
  <c r="I52" i="39"/>
  <c r="J52" i="39"/>
  <c r="B61" i="39"/>
  <c r="F61" i="39"/>
  <c r="B60" i="39"/>
  <c r="F60" i="39"/>
  <c r="B56" i="39"/>
  <c r="F56" i="39"/>
  <c r="F66" i="39"/>
  <c r="B2" i="39"/>
  <c r="B3" i="39"/>
  <c r="B58" i="39"/>
  <c r="F58" i="39"/>
  <c r="B59" i="39"/>
  <c r="F59" i="39"/>
  <c r="B64" i="39"/>
  <c r="F64" i="39"/>
  <c r="B65" i="39"/>
  <c r="F65" i="39"/>
  <c r="B57" i="39"/>
  <c r="F57" i="39"/>
  <c r="B63" i="39"/>
  <c r="F63" i="39"/>
  <c r="B62" i="39"/>
  <c r="F62" i="39"/>
  <c r="F15" i="74"/>
  <c r="E15" i="74"/>
  <c r="Q16" i="1"/>
  <c r="F27" i="68"/>
  <c r="C28" i="68"/>
  <c r="C27" i="68"/>
  <c r="C29" i="68"/>
  <c r="D27" i="68"/>
  <c r="C31" i="68"/>
  <c r="C46" i="68"/>
  <c r="C45" i="68"/>
  <c r="C47" i="68"/>
  <c r="D45" i="68"/>
  <c r="C49" i="68"/>
  <c r="C51" i="68"/>
  <c r="C52" i="68"/>
  <c r="B2" i="68"/>
  <c r="C19" i="9"/>
  <c r="G19" i="9"/>
  <c r="C32" i="9"/>
  <c r="H118" i="9"/>
  <c r="H101" i="9"/>
  <c r="H107" i="9"/>
  <c r="D122" i="9"/>
  <c r="G14" i="74"/>
  <c r="B6" i="74"/>
  <c r="C6" i="74"/>
  <c r="D6" i="74"/>
  <c r="D14" i="74"/>
  <c r="B5" i="74"/>
  <c r="D5" i="74"/>
  <c r="C5" i="74"/>
  <c r="M49" i="9"/>
  <c r="D45" i="9"/>
  <c r="D55" i="9"/>
  <c r="M53" i="9"/>
  <c r="C85" i="9"/>
  <c r="C93" i="9"/>
  <c r="C86" i="9"/>
  <c r="C95" i="9"/>
  <c r="C96" i="9"/>
  <c r="C97" i="9"/>
  <c r="D58" i="9"/>
  <c r="D56" i="9"/>
  <c r="M54" i="9"/>
  <c r="N57" i="9"/>
  <c r="N59" i="9"/>
  <c r="N61" i="9"/>
  <c r="N60" i="9"/>
  <c r="N58" i="9"/>
  <c r="P57" i="9"/>
  <c r="C72" i="9"/>
  <c r="C78" i="9"/>
  <c r="C73" i="9"/>
  <c r="C79" i="9"/>
  <c r="C80" i="9"/>
  <c r="C81" i="9"/>
  <c r="E80" i="9"/>
  <c r="E81" i="9"/>
  <c r="E96" i="9"/>
  <c r="E97" i="9"/>
  <c r="L63" i="9"/>
  <c r="M63" i="9"/>
  <c r="L64" i="9"/>
  <c r="M64" i="9"/>
  <c r="L65" i="9"/>
  <c r="M65" i="9"/>
  <c r="L66" i="9"/>
  <c r="M66" i="9"/>
  <c r="L67" i="9"/>
  <c r="M67" i="9"/>
  <c r="L68" i="9"/>
  <c r="M68" i="9"/>
  <c r="M69" i="9"/>
  <c r="N69" i="9"/>
  <c r="D13" i="53"/>
  <c r="D14" i="53"/>
  <c r="B32" i="72"/>
  <c r="B30" i="72"/>
  <c r="D123" i="9"/>
  <c r="D9" i="52"/>
  <c r="D8" i="52"/>
  <c r="C64" i="9"/>
  <c r="C63" i="9"/>
  <c r="C67" i="9"/>
  <c r="C68" i="9"/>
  <c r="D54" i="9"/>
  <c r="D53" i="9"/>
  <c r="D52" i="9"/>
  <c r="D5" i="53"/>
  <c r="B20" i="72"/>
  <c r="D6" i="53"/>
  <c r="B22" i="72"/>
  <c r="H108" i="9"/>
  <c r="D15" i="53"/>
  <c r="B31" i="72"/>
  <c r="I118" i="9"/>
  <c r="B3" i="68"/>
  <c r="C57" i="68"/>
  <c r="D35" i="9"/>
  <c r="C35" i="9"/>
  <c r="F118" i="9"/>
  <c r="G118" i="9"/>
  <c r="E118" i="9"/>
  <c r="E4" i="52"/>
  <c r="B48" i="72"/>
  <c r="C105" i="9"/>
  <c r="I4" i="52"/>
  <c r="H102" i="9"/>
  <c r="D7" i="53"/>
  <c r="B21" i="72"/>
  <c r="E14" i="74"/>
  <c r="F14" i="74"/>
  <c r="M48" i="9"/>
  <c r="C34" i="9"/>
  <c r="D118" i="9"/>
  <c r="D119" i="9"/>
  <c r="D5" i="52"/>
  <c r="B49" i="72"/>
  <c r="H4" i="52"/>
  <c r="C104" i="9"/>
  <c r="H119" i="9"/>
  <c r="H5" i="52"/>
  <c r="G4" i="52"/>
  <c r="B52" i="72"/>
  <c r="F4" i="52"/>
  <c r="B51" i="72"/>
  <c r="F119" i="9"/>
  <c r="F5" i="52"/>
  <c r="B53" i="72"/>
  <c r="D4" i="52"/>
  <c r="B47" i="72"/>
  <c r="G21" i="9"/>
  <c r="C20" i="9"/>
  <c r="G20" i="9"/>
  <c r="C56" i="68"/>
  <c r="D34" i="9"/>
  <c r="D22" i="9"/>
  <c r="C103" i="9"/>
  <c r="C102" i="9"/>
  <c r="C21" i="9"/>
  <c r="F27" i="69"/>
  <c r="C46" i="69"/>
  <c r="C45" i="69"/>
  <c r="C47" i="69"/>
  <c r="D45" i="69"/>
  <c r="C49" i="69"/>
  <c r="C51" i="69"/>
  <c r="C28" i="69"/>
  <c r="C27" i="69"/>
  <c r="C29" i="69"/>
  <c r="D27" i="69"/>
  <c r="C31" i="69"/>
  <c r="C52" i="69"/>
  <c r="C57" i="69"/>
  <c r="C56" i="69"/>
  <c r="B2" i="69"/>
  <c r="B3" i="69"/>
  <c r="F27" i="11"/>
  <c r="C46" i="11"/>
  <c r="C45" i="11"/>
  <c r="C47" i="11"/>
  <c r="D45" i="11"/>
  <c r="C49" i="11"/>
  <c r="C51" i="11"/>
  <c r="C28" i="11"/>
  <c r="C27" i="11"/>
  <c r="C29" i="11"/>
  <c r="D27" i="11"/>
  <c r="C31" i="11"/>
  <c r="C52" i="11"/>
  <c r="C56" i="11"/>
  <c r="C57" i="11"/>
  <c r="F28" i="12"/>
  <c r="C30" i="12"/>
  <c r="C28" i="12"/>
  <c r="C29" i="12"/>
  <c r="D28" i="12"/>
  <c r="C32" i="12"/>
  <c r="B2" i="12"/>
  <c r="B3" i="12"/>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<sst xmlns="http://schemas.openxmlformats.org/spreadsheetml/2006/main" count="7543" uniqueCount="3202">
  <si>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</si>
  <si>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</si>
  <si>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</si>
  <si>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</si>
  <si>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</si>
  <si>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</si>
  <si>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</si>
  <si>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</si>
  <si>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</si>
  <si>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</si>
  <si>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</si>
  <si>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</si>
  <si>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</si>
  <si>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</si>
  <si>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</si>
  <si>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</si>
  <si>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</si>
  <si>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</si>
  <si>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</si>
  <si>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</si>
  <si>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</si>
  <si>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</si>
  <si>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</si>
  <si>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</si>
  <si>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</si>
  <si>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</si>
  <si>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</si>
  <si>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</si>
  <si>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</si>
  <si>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</si>
  <si>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</si>
  <si>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</si>
  <si>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</si>
  <si>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</si>
  <si>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</si>
  <si>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</si>
  <si>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</si>
  <si>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</si>
  <si>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</si>
  <si>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</si>
  <si>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</si>
  <si>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</si>
  <si>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</si>
  <si>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</si>
  <si>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</si>
  <si>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</si>
  <si>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</si>
  <si>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</si>
  <si>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</si>
  <si>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</si>
  <si>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</si>
  <si>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</si>
  <si>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</si>
  <si>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</si>
  <si>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</si>
  <si>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</si>
  <si>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</si>
  <si>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</si>
  <si>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</si>
  <si>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</si>
  <si>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</si>
  <si>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</si>
  <si>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</si>
  <si>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</si>
  <si>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</si>
  <si>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</si>
  <si>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</si>
  <si>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</si>
  <si>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</si>
  <si>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</si>
  <si>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</si>
  <si>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</si>
  <si>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</si>
  <si>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</si>
  <si>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</si>
  <si>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</si>
  <si>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</si>
  <si>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</si>
  <si>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</si>
  <si>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</si>
  <si>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</si>
  <si>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</si>
  <si>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</si>
  <si>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</si>
  <si>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</si>
  <si>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</si>
  <si>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</si>
  <si>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</si>
  <si>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</si>
  <si>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</si>
  <si>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</si>
  <si>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</si>
  <si>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</si>
  <si>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</si>
  <si>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</si>
  <si>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</si>
  <si>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</si>
  <si>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</si>
  <si>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</si>
  <si>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</si>
  <si>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</si>
  <si>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</si>
  <si>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</si>
  <si>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</si>
  <si>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</si>
  <si>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</si>
  <si>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</si>
  <si>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</si>
  <si>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</si>
  <si>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</si>
  <si>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</si>
  <si>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</si>
  <si>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</si>
  <si>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</si>
  <si>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</si>
  <si>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</si>
  <si>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</si>
  <si>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</si>
  <si>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</si>
  <si>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</si>
  <si>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</si>
  <si>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</si>
  <si>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</si>
  <si>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</si>
  <si>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</si>
  <si>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</si>
  <si>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</si>
  <si>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</si>
  <si>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</si>
  <si>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</si>
  <si>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</si>
  <si>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</si>
  <si>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</si>
  <si>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</si>
  <si>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</si>
  <si>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</si>
  <si>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</si>
  <si>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</si>
  <si>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</si>
  <si>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</si>
  <si>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</si>
  <si>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</si>
  <si>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</si>
  <si>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</si>
  <si>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</si>
  <si>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</si>
  <si>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</si>
  <si>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</si>
  <si>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</si>
  <si>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</si>
  <si>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</si>
  <si>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</si>
  <si>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</si>
  <si>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</si>
  <si>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</si>
  <si>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</si>
  <si>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</si>
  <si>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</si>
  <si>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</si>
  <si>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</si>
  <si>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</si>
  <si>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</si>
  <si>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</si>
  <si>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</si>
  <si>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</si>
  <si>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</si>
  <si>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</si>
  <si>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</si>
  <si>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</si>
  <si>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</si>
  <si>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</si>
  <si>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</si>
  <si>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</si>
  <si>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</si>
  <si>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</si>
  <si>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</si>
  <si>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</si>
  <si>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</si>
  <si>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</si>
  <si>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</si>
  <si>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</si>
  <si>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</si>
  <si>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</si>
  <si>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</si>
  <si>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</si>
  <si>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</si>
  <si>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</si>
  <si>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</si>
  <si>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</si>
  <si>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</si>
  <si>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</si>
  <si>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</si>
  <si>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</si>
  <si>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</si>
  <si>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</si>
  <si>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</si>
  <si>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</si>
  <si>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</si>
  <si>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</si>
  <si>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</si>
  <si>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</si>
  <si>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</si>
  <si>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</si>
  <si>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</si>
  <si>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</si>
  <si>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</si>
  <si>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</si>
  <si>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</si>
  <si>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</si>
  <si>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</si>
  <si>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</si>
  <si>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</si>
  <si>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</si>
  <si>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</si>
  <si>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</si>
  <si>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</si>
  <si>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</si>
  <si>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</si>
  <si>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</si>
  <si>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</si>
  <si>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</si>
  <si>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</si>
  <si>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</si>
  <si>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</si>
  <si>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</si>
  <si>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</si>
  <si>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</si>
  <si>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</si>
  <si>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</si>
  <si>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</si>
  <si>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</si>
  <si>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</si>
  <si>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</si>
  <si>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</si>
  <si>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</si>
  <si>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</si>
  <si>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</si>
  <si>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</si>
  <si>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</si>
  <si>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</si>
  <si>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</si>
  <si>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</si>
  <si>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</si>
  <si>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</si>
  <si>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</si>
  <si>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</si>
  <si>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</si>
  <si>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</si>
  <si>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</si>
  <si>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</si>
  <si>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</si>
  <si>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</si>
  <si>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</si>
  <si>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</si>
  <si>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</si>
  <si>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</si>
  <si>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</si>
  <si>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</si>
  <si>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</si>
  <si>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</si>
  <si>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</si>
  <si>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</si>
  <si>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</si>
  <si>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</si>
  <si>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</si>
  <si>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</si>
  <si>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</si>
  <si>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</si>
  <si>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</si>
  <si>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</si>
  <si>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</si>
  <si>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</si>
  <si>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</si>
  <si>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</si>
  <si>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</si>
  <si>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</si>
  <si>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</si>
  <si>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</si>
  <si>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</si>
  <si>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</si>
  <si>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</si>
  <si>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</si>
  <si>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</si>
  <si>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</si>
  <si>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</si>
  <si>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</si>
  <si>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</si>
  <si>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</si>
  <si>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</si>
  <si>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</si>
  <si>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</si>
  <si>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</si>
  <si>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</si>
  <si>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</si>
  <si>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</si>
  <si>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</si>
  <si>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</si>
  <si>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</si>
  <si>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</si>
  <si>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</si>
  <si>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</si>
  <si>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</si>
  <si>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</si>
  <si>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</si>
  <si>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</si>
  <si>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</si>
  <si>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</si>
  <si>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</si>
  <si>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</si>
  <si>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</si>
  <si>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</si>
  <si>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</si>
  <si>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</si>
  <si>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</si>
  <si>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</si>
  <si>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</si>
  <si>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</si>
  <si>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</si>
  <si>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</si>
  <si>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</si>
  <si>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</si>
  <si>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</si>
  <si>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</si>
  <si>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</si>
  <si>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</si>
  <si>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</si>
  <si>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</si>
  <si>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</si>
  <si>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</si>
  <si>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</si>
  <si>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</si>
  <si>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</si>
  <si>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</si>
  <si>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</si>
  <si>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</si>
  <si>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</si>
  <si>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</si>
  <si>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</si>
  <si>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</si>
  <si>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</si>
  <si>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</si>
  <si>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</si>
  <si>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</si>
  <si>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</si>
  <si>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</si>
  <si>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</si>
  <si>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</si>
  <si>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</si>
  <si>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</si>
  <si>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</si>
  <si>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</si>
  <si>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</si>
  <si>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</si>
  <si>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</si>
  <si>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</si>
  <si>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</si>
  <si>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</si>
  <si>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</si>
  <si>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</si>
  <si>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</si>
  <si>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</si>
  <si>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</si>
  <si>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</si>
  <si>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</si>
  <si>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</si>
  <si>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</si>
  <si>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</si>
  <si>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</si>
  <si>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</si>
  <si>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</si>
  <si>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</si>
  <si>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</si>
  <si>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</si>
  <si>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</si>
  <si>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</si>
  <si>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</si>
  <si>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</si>
  <si>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</si>
  <si>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</si>
  <si>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</si>
  <si>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</si>
  <si>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</si>
  <si>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</si>
  <si>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</si>
  <si>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</si>
  <si>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</si>
  <si>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</si>
  <si>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</si>
  <si>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</si>
  <si>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</si>
  <si>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</si>
  <si>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</si>
  <si>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</si>
  <si>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</si>
  <si>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</si>
  <si>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</si>
  <si>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</si>
  <si>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</si>
  <si>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</si>
  <si>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</si>
  <si>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</si>
  <si>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</si>
  <si>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</si>
  <si>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</si>
  <si>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</si>
  <si>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</si>
  <si>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</si>
  <si>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</si>
  <si>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</si>
  <si>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</si>
  <si>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</si>
  <si>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</si>
  <si>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</si>
  <si>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</si>
  <si>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</si>
  <si>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</si>
  <si>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</si>
  <si>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</si>
  <si>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</si>
  <si>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</si>
  <si>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</si>
  <si>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</si>
  <si>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</si>
  <si>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</si>
  <si>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</si>
  <si>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</si>
  <si>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</si>
  <si>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</si>
  <si>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</si>
  <si>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</si>
  <si>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</si>
  <si>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</si>
  <si>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</si>
  <si>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</si>
  <si>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</si>
  <si>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</si>
  <si>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</si>
  <si>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</si>
  <si>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</si>
  <si>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</si>
  <si>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</si>
  <si>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</si>
  <si>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</si>
  <si>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</si>
  <si>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</si>
  <si>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</si>
  <si>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</si>
  <si>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</si>
  <si>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</si>
  <si>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</si>
  <si>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</si>
  <si>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</si>
  <si>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</si>
  <si>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</si>
  <si>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</si>
  <si>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</si>
  <si>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</si>
  <si>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</si>
  <si>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</si>
  <si>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</si>
  <si>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</si>
  <si>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</si>
  <si>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</si>
  <si>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</si>
  <si>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</si>
  <si>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</si>
  <si>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</si>
  <si>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</si>
  <si>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</si>
  <si>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</si>
  <si>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</si>
  <si>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</si>
  <si>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</si>
  <si>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</si>
  <si>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</si>
  <si>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</si>
  <si>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</si>
  <si>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</si>
  <si>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</si>
  <si>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</si>
  <si>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</si>
  <si>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</si>
  <si>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</si>
  <si>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</si>
  <si>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</si>
  <si>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</si>
  <si>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</si>
  <si>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</si>
  <si>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</si>
  <si>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</si>
  <si>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</si>
  <si>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</si>
  <si>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</si>
  <si>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</si>
  <si>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</si>
  <si>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</si>
  <si>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</si>
  <si>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</si>
  <si>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</si>
  <si>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</si>
  <si>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</si>
  <si>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</si>
  <si>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</si>
  <si>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</si>
  <si>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</si>
  <si>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</si>
  <si>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</si>
  <si>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</si>
  <si>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</si>
  <si>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</si>
  <si>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</si>
  <si>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</si>
  <si>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</si>
  <si>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</si>
  <si>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</si>
  <si>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</si>
  <si>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</si>
  <si>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</si>
  <si>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</si>
  <si>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</si>
  <si>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</si>
  <si>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</si>
  <si>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</si>
  <si>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</si>
  <si>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</si>
  <si>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</si>
  <si>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</si>
  <si>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</si>
  <si>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</si>
  <si>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</si>
  <si>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</si>
  <si>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</si>
  <si>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</si>
  <si>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</si>
  <si>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</si>
  <si>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</si>
  <si>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</si>
  <si>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</si>
  <si>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</si>
  <si>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</si>
  <si>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</si>
  <si>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</si>
  <si>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</si>
  <si>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</si>
  <si>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</si>
  <si>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</si>
  <si>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</si>
  <si>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</si>
  <si>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</si>
  <si>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</si>
  <si>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</si>
  <si>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</si>
  <si>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</si>
  <si>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</si>
  <si>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</si>
  <si>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</si>
  <si>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</si>
  <si>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</si>
  <si>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</si>
  <si>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</si>
  <si>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</si>
  <si>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</si>
  <si>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</si>
  <si>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</si>
  <si>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</si>
  <si>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</si>
  <si>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</si>
  <si>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</si>
  <si>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</si>
  <si>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</si>
  <si>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</si>
  <si>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</si>
  <si>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</si>
  <si>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</si>
  <si>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</si>
  <si>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</si>
  <si>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</si>
  <si>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</si>
  <si>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</si>
  <si>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</si>
  <si>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</si>
  <si>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</si>
  <si>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</si>
  <si>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</si>
  <si>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</si>
  <si>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</si>
  <si>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</si>
  <si>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</si>
  <si>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</si>
  <si>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</si>
  <si>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</si>
  <si>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</si>
  <si>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</si>
  <si>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</si>
  <si>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</si>
  <si>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</si>
  <si>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</si>
  <si>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</si>
  <si>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</si>
  <si>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</si>
  <si>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</si>
  <si>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</si>
  <si>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</si>
  <si>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</si>
  <si>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</si>
  <si>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</si>
  <si>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</si>
  <si>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</si>
  <si>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</si>
  <si>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</si>
  <si>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</si>
  <si>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</si>
  <si>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</si>
  <si>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</si>
  <si>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</si>
  <si>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</si>
  <si>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</si>
  <si>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</si>
  <si>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</si>
  <si>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</si>
  <si>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</si>
  <si>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</si>
  <si>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</si>
  <si>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</si>
  <si>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</si>
  <si>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</si>
  <si>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</si>
  <si>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</si>
  <si>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</si>
  <si>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</si>
  <si>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</si>
  <si>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</si>
  <si>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</si>
  <si>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</si>
  <si>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</si>
  <si>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</si>
  <si>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</si>
  <si>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</si>
  <si>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</si>
  <si>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</si>
  <si>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</si>
  <si>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</si>
  <si>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</si>
  <si>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</si>
  <si>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</si>
  <si>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</si>
  <si>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</si>
  <si>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</si>
  <si>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</si>
  <si>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</si>
  <si>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</si>
  <si>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</si>
  <si>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</si>
  <si>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</si>
  <si>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</si>
  <si>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</si>
  <si>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</si>
  <si>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</si>
  <si>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</si>
  <si>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</si>
  <si>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</si>
  <si>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</si>
  <si>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</si>
  <si>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</si>
  <si>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</si>
  <si>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</si>
  <si>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</si>
  <si>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</si>
  <si>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</si>
  <si>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</si>
  <si>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</si>
  <si>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</si>
  <si>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</si>
  <si>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</si>
  <si>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</si>
  <si>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</si>
  <si>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</si>
  <si>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</si>
  <si>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</si>
  <si>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</si>
  <si>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</si>
  <si>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</si>
  <si>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</si>
  <si>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</si>
  <si>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</si>
  <si>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</si>
  <si>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</si>
  <si>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</si>
  <si>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</si>
  <si>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</si>
  <si>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</si>
  <si>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</si>
  <si>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</si>
  <si>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</si>
  <si>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</si>
  <si>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</si>
  <si>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</si>
  <si>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</si>
  <si>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</si>
  <si>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</si>
  <si>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</si>
  <si>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</si>
  <si>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</si>
  <si>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</si>
  <si>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</si>
  <si>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</si>
  <si>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</si>
  <si>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</si>
  <si>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</si>
  <si>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</si>
  <si>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</si>
  <si>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</si>
  <si>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</si>
  <si>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</si>
  <si>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</si>
  <si>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</si>
  <si>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</si>
  <si>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</si>
  <si>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</si>
  <si>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</si>
  <si>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</si>
  <si>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</si>
  <si>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</si>
  <si>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</si>
  <si>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</si>
  <si>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</si>
  <si>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</si>
  <si>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</si>
  <si>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</si>
  <si>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</si>
  <si>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</si>
  <si>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</si>
  <si>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</si>
  <si>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</si>
  <si>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</si>
  <si>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</si>
  <si>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</si>
  <si>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</si>
  <si>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</si>
  <si>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</si>
  <si>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</si>
  <si>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</si>
  <si>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</si>
  <si>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</si>
  <si>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</si>
  <si>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</si>
  <si>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</si>
  <si>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</si>
  <si>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</si>
  <si>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</si>
  <si>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</si>
  <si>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</si>
  <si>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</si>
  <si>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</si>
  <si>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</si>
  <si>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</si>
  <si>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</si>
  <si>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</si>
  <si>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</si>
  <si>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</si>
  <si>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</si>
  <si>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</si>
  <si>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</si>
  <si>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</si>
  <si>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</si>
  <si>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</si>
  <si>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</si>
  <si>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</si>
  <si>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</si>
  <si>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</si>
  <si>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</si>
  <si>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</si>
  <si>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</si>
  <si>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</si>
  <si>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</si>
  <si>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</si>
  <si>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</si>
  <si>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</si>
  <si>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</si>
  <si>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</si>
  <si>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</si>
  <si>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</si>
  <si>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</si>
  <si>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</si>
  <si>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</si>
  <si>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</si>
  <si>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</si>
  <si>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</si>
  <si>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</si>
  <si>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</si>
  <si>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</si>
  <si>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</si>
  <si>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</si>
  <si>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</si>
  <si>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</si>
  <si>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</si>
  <si>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</si>
  <si>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</si>
  <si>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</si>
  <si>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</si>
  <si>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</si>
  <si>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</si>
  <si>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</si>
  <si>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</si>
  <si>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</si>
  <si>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</si>
  <si>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</si>
  <si>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</si>
  <si>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</si>
  <si>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</si>
  <si>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</si>
  <si>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</si>
  <si>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</si>
  <si>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</si>
  <si>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</si>
  <si>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</si>
  <si>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</si>
  <si>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</si>
  <si>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</si>
  <si>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</si>
  <si>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</si>
  <si>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</si>
  <si>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</si>
  <si>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</si>
  <si>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</si>
  <si>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</si>
  <si>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</si>
  <si>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</si>
  <si>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</si>
  <si>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</si>
  <si>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</si>
  <si>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</si>
  <si>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</si>
  <si>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</si>
  <si>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</si>
  <si>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</si>
  <si>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</si>
  <si>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</si>
  <si>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</si>
  <si>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</si>
  <si>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</si>
  <si>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</si>
  <si>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</si>
  <si>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</si>
  <si>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</si>
  <si>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</si>
  <si>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</si>
  <si>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</si>
  <si>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</si>
  <si>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</si>
  <si>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</si>
  <si>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</si>
  <si>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</si>
  <si>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</si>
  <si>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</si>
  <si>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</si>
  <si>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</si>
  <si>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</si>
  <si>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</si>
  <si>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</si>
  <si>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</si>
  <si>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</si>
  <si>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</si>
  <si>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</si>
  <si>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</si>
  <si>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</si>
  <si>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</si>
  <si>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</si>
  <si>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</si>
  <si>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</si>
  <si>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</si>
  <si>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</si>
  <si>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</si>
  <si>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</si>
  <si>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</si>
  <si>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</si>
  <si>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</si>
  <si>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</si>
  <si>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</si>
  <si>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</si>
  <si>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</si>
  <si>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</si>
  <si>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</si>
  <si>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</si>
  <si>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</si>
  <si>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</si>
  <si>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</si>
  <si>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</si>
  <si>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</si>
  <si>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</si>
  <si>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</si>
  <si>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</si>
  <si>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</si>
  <si>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</si>
  <si>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</si>
  <si>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</si>
  <si>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</si>
  <si>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</si>
  <si>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</si>
  <si>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</si>
  <si>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</si>
  <si>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</si>
  <si>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</si>
  <si>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</si>
  <si>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</si>
  <si>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</si>
  <si>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</si>
  <si>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</si>
  <si>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</si>
  <si>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</si>
  <si>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</si>
  <si>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</si>
  <si>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</si>
  <si>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</si>
  <si>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</si>
  <si>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</si>
  <si>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</si>
  <si>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</si>
  <si>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</si>
  <si>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</si>
  <si>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</si>
  <si>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</si>
  <si>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</si>
  <si>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</si>
  <si>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</si>
  <si>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</si>
  <si>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</si>
  <si>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</si>
  <si>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</si>
  <si>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</si>
  <si>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</si>
  <si>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</si>
  <si>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</si>
  <si>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</si>
  <si>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</si>
  <si>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</si>
  <si>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</si>
  <si>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</si>
  <si>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</si>
  <si>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</si>
  <si>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</si>
  <si>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</si>
  <si>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</si>
  <si>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</si>
  <si>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</si>
  <si>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</si>
  <si>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</si>
  <si>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</si>
  <si>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</si>
  <si>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</si>
  <si>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</si>
  <si>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</si>
  <si>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</si>
  <si>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</si>
  <si>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</si>
  <si>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</si>
  <si>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</si>
  <si>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</si>
  <si>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</si>
  <si>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</si>
  <si>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</si>
  <si>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</si>
  <si>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</si>
  <si>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</si>
  <si>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</si>
  <si>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</si>
  <si>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</si>
  <si>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</si>
  <si>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</si>
  <si>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</si>
  <si>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</si>
  <si>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</si>
  <si>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</si>
  <si>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</si>
  <si>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</si>
  <si>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</si>
  <si>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</si>
  <si>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</si>
  <si>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</si>
  <si>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</si>
  <si>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</si>
  <si>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</si>
  <si>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</si>
  <si>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</si>
  <si>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</si>
  <si>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</si>
  <si>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</si>
  <si>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</si>
  <si>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</si>
  <si>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</si>
  <si>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</si>
  <si>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</si>
  <si>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</si>
  <si>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</si>
  <si>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</si>
  <si>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</si>
  <si>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</si>
  <si>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</si>
  <si>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</si>
  <si>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</si>
  <si>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</si>
  <si>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</si>
  <si>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</si>
  <si>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</si>
  <si>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</si>
  <si>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</si>
  <si>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</si>
  <si>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</si>
  <si>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</si>
  <si>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</si>
  <si>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</si>
  <si>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</si>
  <si>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</si>
  <si>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</si>
  <si>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</si>
  <si>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</si>
  <si>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</si>
  <si>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</si>
  <si>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</si>
  <si>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</si>
  <si>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</si>
  <si>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</si>
  <si>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</si>
  <si>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</si>
  <si>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</si>
  <si>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</si>
  <si>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</si>
  <si>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</si>
  <si>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</si>
  <si>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</si>
  <si>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</si>
  <si>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</si>
  <si>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</si>
  <si>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</si>
  <si>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</si>
  <si>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</si>
  <si>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</si>
  <si>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</si>
  <si>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</si>
  <si>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</si>
  <si>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</si>
  <si>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</si>
  <si>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</si>
  <si>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</si>
  <si>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</si>
  <si>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</si>
  <si>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</si>
  <si>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</si>
  <si>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</si>
  <si>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</si>
  <si>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</si>
  <si>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</si>
  <si>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</si>
  <si>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</si>
  <si>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</si>
  <si>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</si>
  <si>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</si>
  <si>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</si>
  <si>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</si>
  <si>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</si>
  <si>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</si>
  <si>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</si>
  <si>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</si>
  <si>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</si>
  <si>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</si>
  <si>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</si>
  <si>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</si>
  <si>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</si>
  <si>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</si>
  <si>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</si>
  <si>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</si>
  <si>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</si>
  <si>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</si>
  <si>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</si>
  <si>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</si>
  <si>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</si>
  <si>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</si>
  <si>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</si>
  <si>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</si>
  <si>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</si>
  <si>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</si>
  <si>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</si>
  <si>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</si>
  <si>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</si>
  <si>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</si>
  <si>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</si>
  <si>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</si>
  <si>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</si>
  <si>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</si>
  <si>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</si>
  <si>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</si>
  <si>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</si>
  <si>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</si>
  <si>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</si>
  <si>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</si>
  <si>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</si>
  <si>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</si>
  <si>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</si>
  <si>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</si>
  <si>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</si>
  <si>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</si>
  <si>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</si>
  <si>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</si>
  <si>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</si>
  <si>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</si>
  <si>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</si>
  <si>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</si>
  <si>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</si>
  <si>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</si>
  <si>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</si>
  <si>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</si>
  <si>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</si>
  <si>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</si>
  <si>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</si>
  <si>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</si>
  <si>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</si>
  <si>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</si>
  <si>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</si>
  <si>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</si>
  <si>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</si>
  <si>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</si>
  <si>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</si>
  <si>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</si>
  <si>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</si>
  <si>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</si>
  <si>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</si>
  <si>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</si>
  <si>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</si>
  <si>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</si>
  <si>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</si>
  <si>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</si>
  <si>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</si>
  <si>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</si>
  <si>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</si>
  <si>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</si>
  <si>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</si>
  <si>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</si>
  <si>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</si>
  <si>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</si>
  <si>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</si>
  <si>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</si>
  <si>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</si>
  <si>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</si>
  <si>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</si>
  <si>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</si>
  <si>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</si>
  <si>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</si>
  <si>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</si>
  <si>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</si>
  <si>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</si>
  <si>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</si>
  <si>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</si>
  <si>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</si>
  <si>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</si>
  <si>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</si>
  <si>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</si>
  <si>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</si>
  <si>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</si>
  <si>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</si>
  <si>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</si>
  <si>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</si>
  <si>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</si>
  <si>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</si>
  <si>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</si>
  <si>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</si>
  <si>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</si>
  <si>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</si>
  <si>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</si>
  <si>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</si>
  <si>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</si>
  <si>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</si>
  <si>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</si>
  <si>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</si>
  <si>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</si>
  <si>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</si>
  <si>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</si>
  <si>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</si>
  <si>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</si>
  <si>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</si>
  <si>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</si>
  <si>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</si>
  <si>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</si>
  <si>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</si>
  <si>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</si>
  <si>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</si>
  <si>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</si>
  <si>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</si>
  <si>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</si>
  <si>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</si>
  <si>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</si>
  <si>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</si>
  <si>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</si>
  <si>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</si>
  <si>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</si>
  <si>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</si>
  <si>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</si>
  <si>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</si>
  <si>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</si>
  <si>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</si>
  <si>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</si>
  <si>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</si>
  <si>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</si>
  <si>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</si>
  <si>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</si>
  <si>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</si>
  <si>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</si>
  <si>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</si>
  <si>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</si>
  <si>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</si>
  <si>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</si>
  <si>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</si>
  <si>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</si>
  <si>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</si>
  <si>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</si>
  <si>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</si>
  <si>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</si>
  <si>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</si>
  <si>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</si>
  <si>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</si>
  <si>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</si>
  <si>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</si>
  <si>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</si>
  <si>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</si>
  <si>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</si>
  <si>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</si>
  <si>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</si>
  <si>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</si>
  <si>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</si>
  <si>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</si>
  <si>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</si>
  <si>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</si>
  <si>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</si>
  <si>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</si>
  <si>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</si>
  <si>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</si>
  <si>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</si>
  <si>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</si>
  <si>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</si>
  <si>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</si>
  <si>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</si>
  <si>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</si>
  <si>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</si>
  <si>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</si>
  <si>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</si>
  <si>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</si>
  <si>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</si>
  <si>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</si>
  <si>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</si>
  <si>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</si>
  <si>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</si>
  <si>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</si>
  <si>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</si>
  <si>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</si>
  <si>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</si>
  <si>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</si>
  <si>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</si>
  <si>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</si>
  <si>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</si>
  <si>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</si>
  <si>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</si>
  <si>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</si>
  <si>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</si>
  <si>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</si>
  <si>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</si>
  <si>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</si>
  <si>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</si>
  <si>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</si>
  <si>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</si>
  <si>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</si>
  <si>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</si>
  <si>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</si>
  <si>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</si>
  <si>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</si>
  <si>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</si>
  <si>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</si>
  <si>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</si>
  <si>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</si>
  <si>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</si>
  <si>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</si>
  <si>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</si>
  <si>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</si>
  <si>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</si>
  <si>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</si>
  <si>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</si>
  <si>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</si>
  <si>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</si>
  <si>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</si>
  <si>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</si>
  <si>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</si>
  <si>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</si>
  <si>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</si>
  <si>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</si>
  <si>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</si>
  <si>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</si>
  <si>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</si>
  <si>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</si>
  <si>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</si>
  <si>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</si>
  <si>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</si>
  <si>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</si>
  <si>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</si>
  <si>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</si>
  <si>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</si>
  <si>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</si>
  <si>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</si>
  <si>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</si>
  <si>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</si>
  <si>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</si>
  <si>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</si>
  <si>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</si>
  <si>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</si>
  <si>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</si>
  <si>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</si>
  <si>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</si>
  <si>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</si>
  <si>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</si>
  <si>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</si>
  <si>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</si>
  <si>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</si>
  <si>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</si>
  <si>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</si>
  <si>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</si>
  <si>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</si>
  <si>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</si>
  <si>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</si>
  <si>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</si>
  <si>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</si>
  <si>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</si>
  <si>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</si>
  <si>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</si>
  <si>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</si>
  <si>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</si>
  <si>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</si>
  <si>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</si>
  <si>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</si>
  <si>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</si>
  <si>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</si>
  <si>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</si>
  <si>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</si>
  <si>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</si>
  <si>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</si>
  <si>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</si>
  <si>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</si>
  <si>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</si>
  <si>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</si>
  <si>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</si>
  <si>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</si>
  <si>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</si>
  <si>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</si>
  <si>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</si>
  <si>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</si>
  <si>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</si>
  <si>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</si>
  <si>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</si>
  <si>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</si>
  <si>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</si>
  <si>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</si>
  <si>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</si>
  <si>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</si>
  <si>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</si>
  <si>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</si>
  <si>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</si>
  <si>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</si>
  <si>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</si>
  <si>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</si>
  <si>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</si>
  <si>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</si>
  <si>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</si>
  <si>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</si>
  <si>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</si>
  <si>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</si>
  <si>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</si>
  <si>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</si>
  <si>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</si>
  <si>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</si>
  <si>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</si>
  <si>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</si>
  <si>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</si>
  <si>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</si>
  <si>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</si>
  <si>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</si>
  <si>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</si>
  <si>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</si>
  <si>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</si>
  <si>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</si>
  <si>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</si>
  <si>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</si>
  <si>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</si>
  <si>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</si>
  <si>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</si>
  <si>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</si>
  <si>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</si>
  <si>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</si>
  <si>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</si>
  <si>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</si>
  <si>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</si>
  <si>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</si>
  <si>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</si>
  <si>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</si>
  <si>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</si>
  <si>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</si>
  <si>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</si>
  <si>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</si>
  <si>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</si>
  <si>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</si>
  <si>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</si>
  <si>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</si>
  <si>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</si>
  <si>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</si>
  <si>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</si>
  <si>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</si>
  <si>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</si>
  <si>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</si>
  <si>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</si>
  <si>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</si>
  <si>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</si>
  <si>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</si>
  <si>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</si>
  <si>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</si>
  <si>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</si>
  <si>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</si>
  <si>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</si>
  <si>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</si>
  <si>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</si>
  <si>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</si>
  <si>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</si>
  <si>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</si>
  <si>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</si>
  <si>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</si>
  <si>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</si>
  <si>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</si>
  <si>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</si>
  <si>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</si>
  <si>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</si>
  <si>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</si>
  <si>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</si>
  <si>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</si>
  <si>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</si>
  <si>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</si>
  <si>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</si>
  <si>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</si>
  <si>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</si>
  <si>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</si>
  <si>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</si>
  <si>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</si>
  <si>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</si>
  <si>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</si>
  <si>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</si>
  <si>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</si>
  <si>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</si>
  <si>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</si>
  <si>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</si>
  <si>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</si>
  <si>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</si>
  <si>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</si>
  <si>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</si>
  <si>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</si>
  <si>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</si>
  <si>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</si>
  <si>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</si>
  <si>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</si>
  <si>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</si>
  <si>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</si>
  <si>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</si>
  <si>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</si>
  <si>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</si>
  <si>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</si>
  <si>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</si>
  <si>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</si>
  <si>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</si>
  <si>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</si>
  <si>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</si>
  <si>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</si>
  <si>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</si>
  <si>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</si>
  <si>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</si>
  <si>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</si>
  <si>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</si>
  <si>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</si>
  <si>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</si>
  <si>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</si>
  <si>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</si>
  <si>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</si>
  <si>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</si>
  <si>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</si>
  <si>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</si>
  <si>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</si>
  <si>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</si>
  <si>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</si>
  <si>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</si>
  <si>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</si>
  <si>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</si>
  <si>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</si>
  <si>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</si>
  <si>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</si>
  <si>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</si>
  <si>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</si>
  <si>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</si>
  <si>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</si>
  <si>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</si>
  <si>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</si>
  <si>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</si>
  <si>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</si>
  <si>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</si>
  <si>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</si>
  <si>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</si>
  <si>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</si>
  <si>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</si>
  <si>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</si>
  <si>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</si>
  <si>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</si>
  <si>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</si>
  <si>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</si>
  <si>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</si>
  <si>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</si>
  <si>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</si>
  <si>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</si>
  <si>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</si>
  <si>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</si>
  <si>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</si>
  <si>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</si>
  <si>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</si>
  <si>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</si>
  <si>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</si>
  <si>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</si>
  <si>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</si>
  <si>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</si>
  <si>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</si>
  <si>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</si>
  <si>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</si>
  <si>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</si>
  <si>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</si>
  <si>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</si>
  <si>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</si>
  <si>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</si>
  <si>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</si>
  <si>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</si>
  <si>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</si>
  <si>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</si>
  <si>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</si>
  <si>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</si>
  <si>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</si>
  <si>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</si>
  <si>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</si>
  <si>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</si>
  <si>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</si>
  <si>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</si>
  <si>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</si>
  <si>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</si>
  <si>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</si>
  <si>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</si>
  <si>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</si>
  <si>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</si>
  <si>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</si>
  <si>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</si>
  <si>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</si>
  <si>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</si>
  <si>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</si>
  <si>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</si>
  <si>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</si>
  <si>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</si>
  <si>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</si>
  <si>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</si>
  <si>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</si>
  <si>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</si>
  <si>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</si>
  <si>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</si>
  <si>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</si>
  <si>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</si>
  <si>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</si>
  <si>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</si>
  <si>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</si>
  <si>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</si>
  <si>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</si>
  <si>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</si>
  <si>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</si>
  <si>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</si>
  <si>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</si>
  <si>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</si>
  <si>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</si>
  <si>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</si>
  <si>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</si>
  <si>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</si>
  <si>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</si>
  <si>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</si>
  <si>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</si>
  <si>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</si>
  <si>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</si>
  <si>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</si>
  <si>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</si>
  <si>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</si>
  <si>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</si>
  <si>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</si>
  <si>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</si>
  <si>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</si>
  <si>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</si>
  <si>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</si>
  <si>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</si>
  <si>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</si>
  <si>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</si>
  <si>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</si>
  <si>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</si>
  <si>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</si>
  <si>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</si>
  <si>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</si>
  <si>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</si>
  <si>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</si>
  <si>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</si>
  <si>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</si>
  <si>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</si>
  <si>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</si>
  <si>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</si>
  <si>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</si>
  <si>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</si>
  <si>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</si>
  <si>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</si>
  <si>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</si>
  <si>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</si>
  <si>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</si>
  <si>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</si>
  <si>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</si>
  <si>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</si>
  <si>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</si>
  <si>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</si>
  <si>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</si>
  <si>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</si>
  <si>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</si>
  <si>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</si>
  <si>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</si>
  <si>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</si>
  <si>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</si>
  <si>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</si>
  <si>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</si>
  <si>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</si>
  <si>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</si>
  <si>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</si>
  <si>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</si>
  <si>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</si>
  <si>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</si>
  <si>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</si>
  <si>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</si>
  <si>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</si>
  <si>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</si>
  <si>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</si>
  <si>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</si>
  <si>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</si>
  <si>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</si>
  <si>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</si>
  <si>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</si>
  <si>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</si>
  <si>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</si>
  <si>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</si>
  <si>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</si>
  <si>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</si>
  <si>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</si>
  <si>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</si>
  <si>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</si>
  <si>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</si>
  <si>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</si>
  <si>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</si>
  <si>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</si>
  <si>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</si>
  <si>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</si>
  <si>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</si>
  <si>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</si>
  <si>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</si>
  <si>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</si>
  <si>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</si>
  <si>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</si>
  <si>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</si>
  <si>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</si>
  <si>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</si>
  <si>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</si>
  <si>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</si>
  <si>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</si>
  <si>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</si>
  <si>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</si>
  <si>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</si>
  <si>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</si>
  <si>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</si>
  <si>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</si>
  <si>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</si>
  <si>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</si>
  <si>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</si>
  <si>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</si>
  <si>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</si>
  <si>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</si>
  <si>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</si>
  <si>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</si>
  <si>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</si>
  <si>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</si>
  <si>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</si>
  <si>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</si>
  <si>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</si>
  <si>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</si>
  <si>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</si>
  <si>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</si>
  <si>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</si>
  <si>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</si>
  <si>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</si>
  <si>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</si>
  <si>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</si>
  <si>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</si>
  <si>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</si>
  <si>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</si>
  <si>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</si>
  <si>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</si>
  <si>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</si>
  <si>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</si>
  <si>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</si>
  <si>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</si>
  <si>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</si>
  <si>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</si>
  <si>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</si>
  <si>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</si>
  <si>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</si>
  <si>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</si>
  <si>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</si>
  <si>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</si>
  <si>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</si>
  <si>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</si>
  <si>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</si>
  <si>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</si>
  <si>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</si>
  <si>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</si>
  <si>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</si>
  <si>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</si>
  <si>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</si>
  <si>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</si>
  <si>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</si>
  <si>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</si>
  <si>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</si>
  <si>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</si>
  <si>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</si>
  <si>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</si>
  <si>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</si>
  <si>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</si>
  <si>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</si>
  <si>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</si>
  <si>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</si>
  <si>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</si>
  <si>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</si>
  <si>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</si>
  <si>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</si>
  <si>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</si>
  <si>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</si>
  <si>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</si>
  <si>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</si>
  <si>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</si>
  <si>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</si>
  <si>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</si>
  <si>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</si>
  <si>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</si>
  <si>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</si>
  <si>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</si>
  <si>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</si>
  <si>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</si>
  <si>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</si>
  <si>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</si>
  <si>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</si>
  <si>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</si>
  <si>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</si>
  <si>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</si>
  <si>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</si>
  <si>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</si>
  <si>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</si>
  <si>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</si>
  <si>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</si>
  <si>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</si>
  <si>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</si>
  <si>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</si>
  <si>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</si>
  <si>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</si>
  <si>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</si>
  <si>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</si>
  <si>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</si>
  <si>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</si>
  <si>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</si>
  <si>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</si>
  <si>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</si>
  <si>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</si>
  <si>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</si>
  <si>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</si>
  <si>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</si>
  <si>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</si>
  <si>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</si>
  <si>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</si>
  <si>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</si>
  <si>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</si>
  <si>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</si>
  <si>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</si>
  <si>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</si>
  <si>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</si>
  <si>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</si>
  <si>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</si>
  <si>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</si>
  <si>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</si>
  <si>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</si>
  <si>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</si>
  <si>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</si>
  <si>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</si>
  <si>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</si>
  <si>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</si>
  <si>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</si>
  <si>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</si>
  <si>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</si>
  <si>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</si>
  <si>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</si>
  <si>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</si>
  <si>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</si>
  <si>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</si>
  <si>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</si>
  <si>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</si>
  <si>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</si>
  <si>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</si>
  <si>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</si>
  <si>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</si>
  <si>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</si>
  <si>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</si>
  <si>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</si>
  <si>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</si>
  <si>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</si>
  <si>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</si>
  <si>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</si>
  <si>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</si>
  <si>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</si>
  <si>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</si>
  <si>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</si>
  <si>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</si>
  <si>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</si>
  <si>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</si>
  <si>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</si>
  <si>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</si>
  <si>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</si>
  <si>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</si>
  <si>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</si>
  <si>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</si>
  <si>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</si>
  <si>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</si>
  <si>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</si>
  <si>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</si>
  <si>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</si>
  <si>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</si>
  <si>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</si>
  <si>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</si>
  <si>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</si>
  <si>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</si>
  <si>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</si>
  <si>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</si>
  <si>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</si>
  <si>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</si>
  <si>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</si>
  <si>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</si>
  <si>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</si>
  <si>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</si>
  <si>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</si>
  <si>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</si>
  <si>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</si>
  <si>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</si>
  <si>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</si>
  <si>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</si>
  <si>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</si>
  <si>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</si>
  <si>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</si>
  <si>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</si>
  <si>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</si>
  <si>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</si>
  <si>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</si>
  <si>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</si>
  <si>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</si>
  <si>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</si>
  <si>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</si>
  <si>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</si>
  <si>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</si>
  <si>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</si>
  <si>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</si>
  <si>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</si>
  <si>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</si>
  <si>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</si>
  <si>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</si>
  <si>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</si>
  <si>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</si>
  <si>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</si>
  <si>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</si>
  <si>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</si>
  <si>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</si>
  <si>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</si>
  <si>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</si>
  <si>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</si>
  <si>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</si>
  <si>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</si>
  <si>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</si>
  <si>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</si>
  <si>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</si>
  <si>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</si>
  <si>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</si>
  <si>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</si>
  <si>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</si>
  <si>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</si>
  <si>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</si>
  <si>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</si>
  <si>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</si>
  <si>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</si>
  <si>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</si>
  <si>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</si>
  <si>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</si>
  <si>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</si>
  <si>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</si>
  <si>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</si>
  <si>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</si>
  <si>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</si>
  <si>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</si>
  <si>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</si>
  <si>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</si>
  <si>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</si>
  <si>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</si>
  <si>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</si>
  <si>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</si>
  <si>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</si>
  <si>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</si>
  <si>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</si>
  <si>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</si>
  <si>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</si>
  <si>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</si>
  <si>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</si>
  <si>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</si>
  <si>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</si>
  <si>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</si>
  <si>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</si>
  <si>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</si>
  <si>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</si>
  <si>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</si>
  <si>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</si>
  <si>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</si>
  <si>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</si>
  <si>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</si>
  <si>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</si>
  <si>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</si>
  <si>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</si>
  <si>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</si>
  <si>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</si>
  <si>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</si>
  <si>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</si>
  <si>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</si>
  <si>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</si>
  <si>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</si>
  <si>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</si>
  <si>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</si>
  <si>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</si>
  <si>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</si>
  <si>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</si>
  <si>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</si>
  <si>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</si>
  <si>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</si>
  <si>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</si>
  <si>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</si>
  <si>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</si>
  <si>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</si>
  <si>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</si>
  <si>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</si>
  <si>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</si>
  <si>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</si>
  <si>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</si>
  <si>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</si>
  <si>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</si>
  <si>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</si>
  <si>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</si>
  <si>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</si>
  <si>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</si>
  <si>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</si>
  <si>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</si>
  <si>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</si>
  <si>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</si>
  <si>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</si>
  <si>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</si>
  <si>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</si>
  <si>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</si>
  <si>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</si>
  <si>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</si>
  <si>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</si>
  <si>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</si>
  <si>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</si>
  <si>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</si>
  <si>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</si>
  <si>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</si>
  <si>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</si>
  <si>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</si>
  <si>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</si>
  <si>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</si>
  <si>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</si>
  <si>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</si>
  <si>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</si>
  <si>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</si>
  <si>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</si>
  <si>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</si>
  <si>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</si>
  <si>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</si>
  <si>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</si>
  <si>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</si>
  <si>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</si>
  <si>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</si>
  <si>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</si>
  <si>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</si>
  <si>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</si>
  <si>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</si>
  <si>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</si>
  <si>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</si>
  <si>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</si>
  <si>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</si>
  <si>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</si>
  <si>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</si>
  <si>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</si>
  <si>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</si>
  <si>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</si>
  <si>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</si>
  <si>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</si>
  <si>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</si>
  <si>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</si>
  <si>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</si>
  <si>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</si>
  <si>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</si>
  <si>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</si>
  <si>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</si>
  <si>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</si>
  <si>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</si>
  <si>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</si>
  <si>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</si>
  <si>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</si>
  <si>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</si>
  <si>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</si>
  <si>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</si>
  <si>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</si>
  <si>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</si>
  <si>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</si>
  <si>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</si>
  <si>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</si>
  <si>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</si>
  <si>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</si>
  <si>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</si>
  <si>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</si>
  <si>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</si>
  <si>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</si>
  <si>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</si>
  <si>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</si>
  <si>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</si>
  <si>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</si>
  <si>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</si>
  <si>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</si>
  <si>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</si>
  <si>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</si>
  <si>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</si>
  <si>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</si>
  <si>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</si>
  <si>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</si>
  <si>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</si>
  <si>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</si>
  <si>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</si>
  <si>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</si>
  <si>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</si>
  <si>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</si>
  <si>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</si>
  <si>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</si>
  <si>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</si>
  <si>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</si>
  <si>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</si>
  <si>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</si>
  <si>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</si>
  <si>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</si>
  <si>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</si>
  <si>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</si>
  <si>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</si>
  <si>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</si>
  <si>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</si>
  <si>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</si>
  <si>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</si>
  <si>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</si>
  <si>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</si>
  <si>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</si>
  <si>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</si>
  <si>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</si>
  <si>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</si>
  <si>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</si>
  <si>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</si>
  <si>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</si>
  <si>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</si>
  <si>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</si>
  <si>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</si>
  <si>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</si>
  <si>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</si>
  <si>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</si>
  <si>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</si>
  <si>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</si>
  <si>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</si>
  <si>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</si>
  <si>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</si>
  <si>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</si>
  <si>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</si>
  <si>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</si>
  <si>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</si>
  <si>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</si>
  <si>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</si>
  <si>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</si>
  <si>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</si>
  <si>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</si>
  <si>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</si>
  <si>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</si>
  <si>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</si>
  <si>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</si>
  <si>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</si>
  <si>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</si>
  <si>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</si>
  <si>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</si>
  <si>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</si>
  <si>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</si>
  <si>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</si>
  <si>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</si>
  <si>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</si>
  <si>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</si>
  <si>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</si>
  <si>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</si>
  <si>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</si>
  <si>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</si>
  <si>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</si>
  <si>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</si>
  <si>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</si>
  <si>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</si>
  <si>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</si>
  <si>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</si>
  <si>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</si>
  <si>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</si>
  <si>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</si>
  <si>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</si>
  <si>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</si>
  <si>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</si>
  <si>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</si>
  <si>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</si>
  <si>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</si>
  <si>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</si>
  <si>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</si>
  <si>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</si>
  <si>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</si>
  <si>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</si>
  <si>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</si>
  <si>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</si>
  <si>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</si>
  <si>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</si>
  <si>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</si>
  <si>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</si>
  <si>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</si>
  <si>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</si>
  <si>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</si>
  <si>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</si>
  <si>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</si>
  <si>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</si>
  <si>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</si>
  <si>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</si>
  <si>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</si>
  <si>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</si>
  <si>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</si>
  <si>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</si>
  <si>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</si>
  <si>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</si>
  <si>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</si>
  <si>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</si>
  <si>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</si>
  <si>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</si>
  <si>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</si>
  <si>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</si>
  <si>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</si>
  <si>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</si>
  <si>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</si>
  <si>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</si>
  <si>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</si>
  <si>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</si>
  <si>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</si>
  <si>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</si>
  <si>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</si>
  <si>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</si>
  <si>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</si>
  <si>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</si>
  <si>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</si>
  <si>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</si>
  <si>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</si>
  <si>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</si>
  <si>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</si>
  <si>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</si>
  <si>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</si>
  <si>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</si>
  <si>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</si>
  <si>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</si>
  <si>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</si>
  <si>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</si>
  <si>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</si>
  <si>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</si>
  <si>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</si>
  <si>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</si>
  <si>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</si>
  <si>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</si>
  <si>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</si>
  <si>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</si>
  <si>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</si>
  <si>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</si>
  <si>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</si>
  <si>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</si>
  <si>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</si>
  <si>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</si>
  <si>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</si>
  <si>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</si>
  <si>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</si>
  <si>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</si>
  <si>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</si>
  <si>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</si>
  <si>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</si>
  <si>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</si>
  <si>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</si>
  <si>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</si>
  <si>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</si>
  <si>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</si>
  <si>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</si>
  <si>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</si>
  <si>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</si>
  <si>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</si>
  <si>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</si>
  <si>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</si>
  <si>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</si>
  <si>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</si>
  <si>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</si>
  <si>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</si>
  <si>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</si>
  <si>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</si>
  <si>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</si>
  <si>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</si>
  <si>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</si>
  <si>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</si>
  <si>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</si>
  <si>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</si>
  <si>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</si>
  <si>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</si>
  <si>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</si>
  <si>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</si>
  <si>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</si>
  <si>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</si>
  <si>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</si>
  <si>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</si>
  <si>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</si>
  <si>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</si>
  <si>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</si>
  <si>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</si>
  <si>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</si>
  <si>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</si>
  <si>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</si>
  <si>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</si>
  <si>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</si>
  <si>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</si>
  <si>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</si>
  <si>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</si>
  <si>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</si>
  <si>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</si>
  <si>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</si>
  <si>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</si>
  <si>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</si>
  <si>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</si>
  <si>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</si>
  <si>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</si>
  <si>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</si>
  <si>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</si>
  <si>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</si>
  <si>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</si>
  <si>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</si>
  <si>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</si>
  <si>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</si>
  <si>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</si>
  <si>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</si>
  <si>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</si>
  <si>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</si>
  <si>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</si>
  <si>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</si>
  <si>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</si>
  <si>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</si>
  <si>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</si>
  <si>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</si>
  <si>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</si>
  <si>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</si>
  <si>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</si>
  <si>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</si>
  <si>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</si>
  <si>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</si>
  <si>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</si>
  <si>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</si>
  <si>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</si>
  <si>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</si>
  <si>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</si>
  <si>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</si>
  <si>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</si>
  <si>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</si>
  <si>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</si>
  <si>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</si>
  <si>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</si>
  <si>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</si>
  <si>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</si>
  <si>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</si>
  <si>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</si>
  <si>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</si>
  <si>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</si>
  <si>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</si>
  <si>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</si>
  <si>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</si>
  <si>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</si>
  <si>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</si>
  <si>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</si>
  <si>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</si>
  <si>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</si>
  <si>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</si>
  <si>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</si>
  <si>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</si>
  <si>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</si>
  <si>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</si>
  <si>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</si>
  <si>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</si>
  <si>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</si>
  <si>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</si>
  <si>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</si>
  <si>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</si>
  <si>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</si>
  <si>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</si>
  <si>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</si>
  <si>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</si>
  <si>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</si>
  <si>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</si>
  <si>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</si>
  <si>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</si>
  <si>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</si>
  <si>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</si>
  <si>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</si>
  <si>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</si>
  <si>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</si>
  <si>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</si>
  <si>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</si>
  <si>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</si>
  <si>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</si>
  <si>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</si>
  <si>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</si>
  <si>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</si>
  <si>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</si>
  <si>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</si>
  <si>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</si>
  <si>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</si>
  <si>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</si>
  <si>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</si>
  <si>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</si>
  <si>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</si>
  <si>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</si>
  <si>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</si>
  <si>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</si>
  <si>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</si>
  <si>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</si>
  <si>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</si>
  <si>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</si>
  <si>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</si>
  <si>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</si>
  <si>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</si>
  <si>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</si>
  <si>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</si>
  <si>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</si>
  <si>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</si>
  <si>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</si>
  <si>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</si>
  <si>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</si>
  <si>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</si>
  <si>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</si>
  <si>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</si>
  <si>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</si>
  <si>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</si>
  <si>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</si>
  <si>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</si>
  <si>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</si>
  <si>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</si>
  <si>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</si>
  <si>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</si>
  <si>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</si>
  <si>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</si>
  <si>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</si>
  <si>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</si>
  <si>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</si>
  <si>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</si>
  <si>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</si>
  <si>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</si>
  <si>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</si>
  <si>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</si>
  <si>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</si>
  <si>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</si>
  <si>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</si>
  <si>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</si>
  <si>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</si>
  <si>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</si>
  <si>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</si>
  <si>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</si>
  <si>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</si>
  <si>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</si>
  <si>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</si>
  <si>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</si>
  <si>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</si>
  <si>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</si>
  <si>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</si>
  <si>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</si>
  <si>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</si>
  <si>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</si>
  <si>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</si>
  <si>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</si>
  <si>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</si>
  <si>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</si>
  <si>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</si>
  <si>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</si>
  <si>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</si>
  <si>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</si>
  <si>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</si>
  <si>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</si>
  <si>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</si>
  <si>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</si>
  <si>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</si>
  <si>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</si>
  <si>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</si>
  <si>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</si>
  <si>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</si>
  <si>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</si>
  <si>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</si>
  <si>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</si>
  <si>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</si>
  <si>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</si>
  <si>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</si>
  <si>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</si>
  <si>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</si>
  <si>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</si>
  <si>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</si>
  <si>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</si>
  <si>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</si>
  <si>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</si>
  <si>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</si>
  <si>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</si>
  <si>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</si>
  <si>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</si>
  <si>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</si>
  <si>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</si>
  <si>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</si>
  <si>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</si>
  <si>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</si>
  <si>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</si>
  <si>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</si>
  <si>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</si>
  <si>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</si>
  <si>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</si>
  <si>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</si>
  <si>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</si>
  <si>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</si>
  <si>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</si>
  <si>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</si>
  <si>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</si>
  <si>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</si>
  <si>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</si>
  <si>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</si>
  <si>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</si>
  <si>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</si>
  <si>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</si>
  <si>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</si>
  <si>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</si>
  <si>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</si>
  <si>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</si>
  <si>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</si>
  <si>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</si>
  <si>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</si>
  <si>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</si>
  <si>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</si>
  <si>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</si>
  <si>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</si>
  <si>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</si>
  <si>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</si>
  <si>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</si>
  <si>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</si>
  <si>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</si>
  <si>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</si>
  <si>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</si>
  <si>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</si>
  <si>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</si>
  <si>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</si>
  <si>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</si>
  <si>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</si>
  <si>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</si>
  <si>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</si>
  <si>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</si>
  <si>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</si>
  <si>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</si>
  <si>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</si>
  <si>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</si>
  <si>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</si>
  <si>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</si>
  <si>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</si>
  <si>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</si>
  <si>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</si>
  <si>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</si>
  <si>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</si>
  <si>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</si>
  <si>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</si>
  <si>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</si>
  <si>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</si>
  <si>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</si>
  <si>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</si>
  <si>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</si>
  <si>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</si>
  <si>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</si>
  <si>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</si>
  <si>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</si>
  <si>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</si>
  <si>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</si>
  <si>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</si>
  <si>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</si>
  <si>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</si>
  <si>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</si>
  <si>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</si>
  <si>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</si>
  <si>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</si>
  <si>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</si>
  <si>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</si>
  <si>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</si>
  <si>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</si>
  <si>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</si>
  <si>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</si>
  <si>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</si>
  <si>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</si>
  <si>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</si>
  <si>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</si>
  <si>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</si>
  <si>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</si>
  <si>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</si>
  <si>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</si>
  <si>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</si>
  <si>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</si>
  <si>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</si>
  <si>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</si>
  <si>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</si>
  <si>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</si>
  <si>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</si>
  <si>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</si>
  <si>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</si>
  <si>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</si>
  <si>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</si>
  <si>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</si>
  <si>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</si>
  <si>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</si>
  <si>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</si>
  <si>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</si>
  <si>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</si>
  <si>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</si>
  <si>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</si>
  <si>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</si>
  <si>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</si>
  <si>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</si>
  <si>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</si>
  <si>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</si>
  <si>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</si>
  <si>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</si>
  <si>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</si>
  <si>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</si>
  <si>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</si>
  <si>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</si>
  <si>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</si>
  <si>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</si>
  <si>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</si>
  <si>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</si>
  <si>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</si>
  <si>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</si>
  <si>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</si>
  <si>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</si>
  <si>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</si>
  <si>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</si>
  <si>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</si>
  <si>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</si>
  <si>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</si>
  <si>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</si>
  <si>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</si>
  <si>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</si>
  <si>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</si>
  <si>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</si>
  <si>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</si>
  <si>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</si>
  <si>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</si>
  <si>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</si>
  <si>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</si>
  <si>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</si>
  <si>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</si>
  <si>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</si>
  <si>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</si>
  <si>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</si>
  <si>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</si>
  <si>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</si>
  <si>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</si>
  <si>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</si>
  <si>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</si>
  <si>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</si>
  <si>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</si>
  <si>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</si>
  <si>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</si>
  <si>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</si>
  <si>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</si>
  <si>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</si>
  <si>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</si>
  <si>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</si>
  <si>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</si>
  <si>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</si>
  <si>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</si>
  <si>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</si>
  <si>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</si>
  <si>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</si>
  <si>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</si>
  <si>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</si>
  <si>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</si>
  <si>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</si>
  <si>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</si>
  <si>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</si>
  <si>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</si>
  <si>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</si>
  <si>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</si>
  <si>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</si>
  <si>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</si>
  <si>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</si>
  <si>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</si>
  <si>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</si>
  <si>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</si>
  <si>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</si>
  <si>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</si>
  <si>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</si>
  <si>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</si>
  <si>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</si>
  <si>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</si>
  <si>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</si>
  <si>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</si>
  <si>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</si>
  <si>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</si>
  <si>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</si>
  <si>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</si>
  <si>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</si>
  <si>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</si>
  <si>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</si>
  <si>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</si>
  <si>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</si>
  <si>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</si>
  <si>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</si>
  <si>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</si>
  <si>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</si>
  <si>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</si>
  <si>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</si>
  <si>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</si>
  <si>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</si>
  <si>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</si>
  <si>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</si>
  <si>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</si>
  <si>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</si>
  <si>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</si>
  <si>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</si>
  <si>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</si>
  <si>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</si>
  <si>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</si>
  <si>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</si>
  <si>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</si>
  <si>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</si>
  <si>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</si>
  <si>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</si>
  <si>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</si>
  <si>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</si>
  <si>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</si>
  <si>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</si>
  <si>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</si>
  <si>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</si>
  <si>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</si>
  <si>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</si>
  <si>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</si>
  <si>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</si>
  <si>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</si>
  <si>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</si>
  <si>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</si>
  <si>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</si>
  <si>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</si>
  <si>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</si>
  <si>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</si>
  <si>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</si>
  <si>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</si>
  <si>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</si>
  <si>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</si>
  <si>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</si>
  <si>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</si>
  <si>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</si>
  <si>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</si>
  <si>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</si>
  <si>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</si>
  <si>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</si>
  <si>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</si>
  <si>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</si>
  <si>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</si>
  <si>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</si>
  <si>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</si>
  <si>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</si>
  <si>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</si>
  <si>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</si>
  <si>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</si>
  <si>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</si>
  <si>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</si>
  <si>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</si>
  <si>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</si>
  <si>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</si>
  <si>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</si>
  <si>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</si>
  <si>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</si>
  <si>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</si>
  <si>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</si>
  <si>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</si>
  <si>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</si>
  <si>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</si>
  <si>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</si>
  <si>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</si>
  <si>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</si>
  <si>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</si>
  <si>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</si>
  <si>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</si>
  <si>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</si>
  <si>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</si>
  <si>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</si>
  <si>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</si>
  <si>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</si>
  <si>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</si>
  <si>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</si>
  <si>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</si>
  <si>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</si>
  <si>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</si>
  <si>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</si>
  <si>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</si>
  <si>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</si>
  <si>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</si>
  <si>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</si>
  <si>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</si>
  <si>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</si>
  <si>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</si>
  <si>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</si>
  <si>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</si>
  <si>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</si>
  <si>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</si>
  <si>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</si>
  <si>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</si>
  <si>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</si>
  <si>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</si>
  <si>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</si>
  <si>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</si>
  <si>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</si>
  <si>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</si>
  <si>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</si>
  <si>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</si>
  <si>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</si>
  <si>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</si>
  <si>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</si>
  <si>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</si>
  <si>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</si>
  <si>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</si>
  <si>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</si>
  <si>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</si>
  <si>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</si>
  <si>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</si>
  <si>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</si>
  <si>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</si>
  <si>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</si>
  <si>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</si>
  <si>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</si>
  <si>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</si>
  <si>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</si>
  <si>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</si>
  <si>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</si>
  <si>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</si>
  <si>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</si>
  <si>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</si>
  <si>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</si>
  <si>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</si>
  <si>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</si>
  <si>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</si>
  <si>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</si>
  <si>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</si>
  <si>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</si>
  <si>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</si>
  <si>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</si>
  <si>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</si>
  <si>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</si>
  <si>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</si>
  <si>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</si>
  <si>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</si>
  <si>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</si>
  <si>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</si>
  <si>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</si>
  <si>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</si>
  <si>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</si>
  <si>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</si>
  <si>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</si>
  <si>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</si>
  <si>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</si>
  <si>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</si>
  <si>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</si>
  <si>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</si>
  <si>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</si>
  <si>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</si>
  <si>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</si>
  <si>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</si>
  <si>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</si>
  <si>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</si>
  <si>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</si>
  <si>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</si>
  <si>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</si>
  <si>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</si>
  <si>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</si>
  <si>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</si>
  <si>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</si>
  <si>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</si>
  <si>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</si>
  <si>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</si>
  <si>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</si>
  <si>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</si>
  <si>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</si>
  <si>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</si>
  <si>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</si>
  <si>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</si>
  <si>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</si>
  <si>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</si>
  <si>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</si>
  <si>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</si>
  <si>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</si>
  <si>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</si>
  <si>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</si>
  <si>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</si>
  <si>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</si>
  <si>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</si>
  <si>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</si>
  <si>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</si>
  <si>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</si>
  <si>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</si>
  <si>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</si>
  <si>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</si>
  <si>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</si>
  <si>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</si>
  <si>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</si>
  <si>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</si>
  <si>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</si>
  <si>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</si>
  <si>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</si>
  <si>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</si>
  <si>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</si>
  <si>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</si>
  <si>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</si>
  <si>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</si>
  <si>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</si>
  <si>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</si>
  <si>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</si>
  <si>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</si>
  <si>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</si>
  <si>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</si>
  <si>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</si>
  <si>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</si>
  <si>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</si>
  <si>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</si>
  <si>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</si>
  <si>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</si>
  <si>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</si>
  <si>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</si>
  <si>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</si>
  <si>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</si>
  <si>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</si>
  <si>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</si>
  <si>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</si>
  <si>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</si>
  <si>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</si>
  <si>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</si>
  <si>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</si>
  <si>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</si>
  <si>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</si>
  <si>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</si>
  <si>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</si>
  <si>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</si>
  <si>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</si>
  <si>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</si>
  <si>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</si>
  <si>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</si>
  <si>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</si>
  <si>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</si>
  <si>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</si>
  <si>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</si>
  <si>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</si>
  <si>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</si>
  <si>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</si>
  <si>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</si>
  <si>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</si>
  <si>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</si>
  <si>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</si>
  <si>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</si>
  <si>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</si>
  <si>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</si>
  <si>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</si>
  <si>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</si>
  <si>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</si>
  <si>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</si>
  <si>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</si>
  <si>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</si>
  <si>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</si>
  <si>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</si>
  <si>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</si>
  <si>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</si>
  <si>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</si>
  <si>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</si>
  <si>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</si>
  <si>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</si>
  <si>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</si>
  <si>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</si>
  <si>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</si>
  <si>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</si>
  <si>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</si>
  <si>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</si>
  <si>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</si>
  <si>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</si>
  <si>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</si>
  <si>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</si>
  <si>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</si>
  <si>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</si>
  <si>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</si>
  <si>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</si>
  <si>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</si>
  <si>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</si>
  <si>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</si>
  <si>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</si>
  <si>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</si>
  <si>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</si>
  <si>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</si>
  <si>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</si>
  <si>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</si>
  <si>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</si>
  <si>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</si>
  <si>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</si>
  <si>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</si>
  <si>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</si>
  <si>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</si>
  <si>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</si>
  <si>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</si>
  <si>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</si>
  <si>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</si>
  <si>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</si>
  <si>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</si>
  <si>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</si>
  <si>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</si>
  <si>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</si>
  <si>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</si>
  <si>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</si>
  <si>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</si>
  <si>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</si>
  <si>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</si>
  <si>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</si>
  <si>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</si>
  <si>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</si>
  <si>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</si>
  <si>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</si>
  <si>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</si>
  <si>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</si>
  <si>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</si>
  <si>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</si>
  <si>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</si>
  <si>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</si>
  <si>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</si>
  <si>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</si>
  <si>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</si>
  <si>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</si>
  <si>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</si>
  <si>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</si>
  <si>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</si>
  <si>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</si>
  <si>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</si>
  <si>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</si>
  <si>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</si>
  <si>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</si>
  <si>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</si>
  <si>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</si>
  <si>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</si>
  <si>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</si>
  <si>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</si>
  <si>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</si>
  <si>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</si>
  <si>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</si>
  <si>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</si>
  <si>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</si>
  <si>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</si>
  <si>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</si>
  <si>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</si>
  <si>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</si>
  <si>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</si>
  <si>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</si>
  <si>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</si>
  <si>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</si>
  <si>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</si>
  <si>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</si>
  <si>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</si>
  <si>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</si>
  <si>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</si>
  <si>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</si>
  <si>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</si>
  <si>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</si>
  <si>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</si>
  <si>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</si>
  <si>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</si>
  <si>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</si>
  <si>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</si>
  <si>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</si>
  <si>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</si>
  <si>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</si>
  <si>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</si>
  <si>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</si>
  <si>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</si>
  <si>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</si>
  <si>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</si>
  <si>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</si>
  <si>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</si>
  <si>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</si>
  <si>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</si>
  <si>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</si>
  <si>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</si>
  <si>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</si>
  <si>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</si>
  <si>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</si>
  <si>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</si>
  <si>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</si>
  <si>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</si>
  <si>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</si>
  <si>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</si>
  <si>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</si>
  <si>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</si>
  <si>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</si>
  <si>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</si>
  <si>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</si>
  <si>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</si>
  <si>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</si>
  <si>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</si>
  <si>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</si>
  <si>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</si>
  <si>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</si>
  <si>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</si>
  <si>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</si>
  <si>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</si>
  <si>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抵押</t>
  </si>
  <si>
    <t>房地产抵押价值</t>
  </si>
  <si>
    <t>北京市</t>
  </si>
  <si>
    <t>顺义区</t>
    <phoneticPr fontId="6" type="noConversion"/>
  </si>
  <si>
    <r>
      <rPr>
        <sz val="12"/>
        <color theme="9" tint="-0.249977111117893"/>
        <rFont val="宋体"/>
        <family val="3"/>
        <charset val="134"/>
      </rPr>
      <t>安祥街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phoneticPr fontId="6" type="noConversion"/>
  </si>
  <si>
    <t>企业</t>
  </si>
  <si>
    <t>出让</t>
  </si>
  <si>
    <t>工业</t>
    <phoneticPr fontId="6" type="noConversion"/>
  </si>
  <si>
    <t>工业项目</t>
  </si>
  <si>
    <t>现房</t>
  </si>
  <si>
    <t>通路</t>
  </si>
  <si>
    <t>通电</t>
  </si>
  <si>
    <t>通讯</t>
  </si>
  <si>
    <t>通上水</t>
  </si>
  <si>
    <t>通下水</t>
  </si>
  <si>
    <t>燃气</t>
  </si>
  <si>
    <r>
      <t>1</t>
    </r>
    <r>
      <rPr>
        <sz val="10"/>
        <color indexed="8"/>
        <rFont val="宋体"/>
        <family val="3"/>
        <charset val="134"/>
      </rPr>
      <t>号楼</t>
    </r>
    <phoneticPr fontId="3" type="noConversion"/>
  </si>
  <si>
    <t>是</t>
  </si>
  <si>
    <t>地上</t>
  </si>
  <si>
    <r>
      <t>2</t>
    </r>
    <r>
      <rPr>
        <sz val="10"/>
        <color indexed="8"/>
        <rFont val="宋体"/>
        <family val="3"/>
        <charset val="134"/>
      </rPr>
      <t>号楼</t>
    </r>
    <phoneticPr fontId="3" type="noConversion"/>
  </si>
  <si>
    <t>工业</t>
    <phoneticPr fontId="7" type="noConversion"/>
  </si>
  <si>
    <t>成新度</t>
  </si>
  <si>
    <t>收益法</t>
  </si>
  <si>
    <t>成本法</t>
  </si>
  <si>
    <t>押一</t>
  </si>
  <si>
    <t>工业用地</t>
  </si>
  <si>
    <t>缺少</t>
  </si>
  <si>
    <t>通热</t>
  </si>
  <si>
    <t>五通一平</t>
  </si>
  <si>
    <t>容积率修正</t>
  </si>
  <si>
    <t>较好</t>
  </si>
  <si>
    <t>一般</t>
  </si>
  <si>
    <t>好</t>
  </si>
  <si>
    <t>季度增幅（自定义）</t>
  </si>
  <si>
    <t>全部缴纳</t>
  </si>
  <si>
    <t>未包含在土地购买价格中</t>
  </si>
  <si>
    <t>已包含在土地取得成本中</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</si>
  <si>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</si>
  <si>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</si>
  <si>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</si>
  <si>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</si>
  <si>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</si>
  <si>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</si>
  <si>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</si>
  <si>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</si>
  <si>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</si>
  <si>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</si>
  <si>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</si>
  <si>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</si>
  <si>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</si>
  <si>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</si>
  <si>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</si>
  <si>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</si>
  <si>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</si>
  <si>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</si>
  <si>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</si>
  <si>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</si>
  <si>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</si>
  <si>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</si>
  <si>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</si>
  <si>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</si>
  <si>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</si>
  <si>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</si>
  <si>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</si>
  <si>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</si>
  <si>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</si>
  <si>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</si>
  <si>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</si>
  <si>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</si>
  <si>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</si>
  <si>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</si>
  <si>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</si>
  <si>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</si>
  <si>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</si>
  <si>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</si>
  <si>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</si>
  <si>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</si>
  <si>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</si>
  <si>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</si>
  <si>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</si>
  <si>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</si>
  <si>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</si>
  <si>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</si>
  <si>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</si>
  <si>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</si>
  <si>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</si>
  <si>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</si>
  <si>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</si>
  <si>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</si>
  <si>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</si>
  <si>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</si>
  <si>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</si>
  <si>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顺义区赵全营镇SY19-0107-0001至0003(即SY10-0107-6003)地块</t>
    <phoneticPr fontId="143" type="noConversion"/>
  </si>
  <si>
    <t>顺义新城第14街区SY00-0014-6001M1一类工业用地项目</t>
    <phoneticPr fontId="143" type="noConversion"/>
  </si>
  <si>
    <t>北京经济技术开发区路南区N12M1地块</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</si>
  <si>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</si>
  <si>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</si>
  <si>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</si>
  <si>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</si>
  <si>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</si>
  <si>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</si>
  <si>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</si>
  <si>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</si>
  <si>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</si>
  <si>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</si>
  <si>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</si>
  <si>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</si>
  <si>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</si>
  <si>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</si>
  <si>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</si>
  <si>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</si>
  <si>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</si>
  <si>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</si>
  <si>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</si>
  <si>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</si>
  <si>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</si>
  <si>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</si>
  <si>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</si>
  <si>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</si>
  <si>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</si>
  <si>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</si>
  <si>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</si>
  <si>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</si>
  <si>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</si>
  <si>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</si>
  <si>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</si>
  <si>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</si>
  <si>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</si>
  <si>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</si>
  <si>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</si>
  <si>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</si>
  <si>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</si>
  <si>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</si>
  <si>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</si>
  <si>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</si>
  <si>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单位面积地价</t>
  </si>
  <si>
    <t>成本比率</t>
  </si>
  <si>
    <t>2019-1-0011-P01DYGJ1</t>
    <phoneticPr fontId="6" type="noConversion"/>
  </si>
  <si>
    <t>崔锴</t>
  </si>
  <si>
    <t>郑燚</t>
  </si>
  <si>
    <r>
      <rPr>
        <sz val="12"/>
        <color theme="9" tint="-0.249977111117893"/>
        <rFont val="宋体"/>
        <family val="3"/>
        <charset val="134"/>
      </rPr>
      <t>工业</t>
    </r>
    <r>
      <rPr>
        <sz val="12"/>
        <color theme="9" tint="-0.249977111117893"/>
        <rFont val="Arial"/>
        <family val="2"/>
      </rPr>
      <t>35.62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</si>
  <si>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）顺义区不动产权第</t>
    </r>
    <r>
      <rPr>
        <sz val="12"/>
        <color theme="9" tint="-0.249977111117893"/>
        <rFont val="Arial"/>
        <family val="2"/>
      </rPr>
      <t>0010455</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</si>
  <si>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00082</t>
    </r>
    <r>
      <rPr>
        <sz val="12"/>
        <color theme="9" tint="-0.249977111117893"/>
        <rFont val="宋体"/>
        <family val="3"/>
        <charset val="134"/>
      </rPr>
      <t>号</t>
    </r>
    <r>
      <rPr>
        <sz val="12"/>
        <color theme="9" tint="-0.249977111117893"/>
        <rFont val="Arial"/>
        <family val="2"/>
      </rPr>
      <t>]</t>
    </r>
    <phoneticPr fontId="6" type="noConversion"/>
  </si>
  <si>
    <t>否</t>
  </si>
  <si>
    <t>《不动产权证书》</t>
  </si>
  <si>
    <t>原件</t>
  </si>
  <si>
    <t>无</t>
  </si>
  <si>
    <r>
      <t>6-11</t>
    </r>
    <r>
      <rPr>
        <sz val="10"/>
        <color indexed="8"/>
        <rFont val="宋体"/>
        <family val="3"/>
        <charset val="134"/>
      </rPr>
      <t>号楼</t>
    </r>
    <phoneticPr fontId="3" type="noConversion"/>
  </si>
  <si>
    <t>地下</t>
  </si>
  <si>
    <t>车库</t>
  </si>
  <si>
    <t>办公</t>
    <phoneticPr fontId="143" type="noConversion"/>
  </si>
  <si>
    <t>食堂、宿舍</t>
    <phoneticPr fontId="143" type="noConversion"/>
  </si>
  <si>
    <t>车间</t>
    <phoneticPr fontId="143" type="noConversion"/>
  </si>
  <si>
    <t>北京益安利乐投资有限公司</t>
    <phoneticPr fontId="6" type="noConversion"/>
  </si>
  <si>
    <t>北京农村商业银行卢沟桥支行</t>
    <phoneticPr fontId="6" type="noConversion"/>
  </si>
  <si>
    <t>项目局部</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</si>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</sst>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xf numFmtId="0" fontId="99" fillId="5" borderId="0" xfId="0" applyFont="1" applyFill="1" applyAlignment="1"/>
    <xf numFmtId="0" fontId="0" fillId="5" borderId="0" xfId="0" applyFill="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10</xdr:row>
      <xdr:rowOff>123825</xdr:rowOff>
    </xdr:from>
    <xdr:to>
      <xdr:col>11</xdr:col>
      <xdr:colOff>504826</xdr:colOff>
      <xdr:row>42</xdr:row>
      <xdr:rowOff>10481</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6" y="1838325"/>
          <a:ext cx="8001000" cy="5373056"/>
        </a:xfrm>
        <a:prstGeom prst="rect">
          <a:avLst/>
        </a:prstGeom>
      </xdr:spPr>
    </xdr:pic>
    <xdr:clientData/>
  </xdr:twoCellAnchor>
  <xdr:twoCellAnchor editAs="oneCell">
    <xdr:from>
      <xdr:col>0</xdr:col>
      <xdr:colOff>238125</xdr:colOff>
      <xdr:row>43</xdr:row>
      <xdr:rowOff>38100</xdr:rowOff>
    </xdr:from>
    <xdr:to>
      <xdr:col>12</xdr:col>
      <xdr:colOff>495300</xdr:colOff>
      <xdr:row>53</xdr:row>
      <xdr:rowOff>97558</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7410450"/>
          <a:ext cx="8639175" cy="1773958"/>
        </a:xfrm>
        <a:prstGeom prst="rect">
          <a:avLst/>
        </a:prstGeom>
      </xdr:spPr>
    </xdr:pic>
    <xdr:clientData/>
  </xdr:twoCellAnchor>
  <xdr:twoCellAnchor editAs="oneCell">
    <xdr:from>
      <xdr:col>0</xdr:col>
      <xdr:colOff>696398</xdr:colOff>
      <xdr:row>55</xdr:row>
      <xdr:rowOff>0</xdr:rowOff>
    </xdr:from>
    <xdr:to>
      <xdr:col>13</xdr:col>
      <xdr:colOff>56009</xdr:colOff>
      <xdr:row>87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96398" y="9429750"/>
          <a:ext cx="8427411" cy="5638800"/>
        </a:xfrm>
        <a:prstGeom prst="rect">
          <a:avLst/>
        </a:prstGeom>
      </xdr:spPr>
    </xdr:pic>
    <xdr:clientData/>
  </xdr:twoCellAnchor>
  <xdr:twoCellAnchor editAs="oneCell">
    <xdr:from>
      <xdr:col>1</xdr:col>
      <xdr:colOff>1</xdr:colOff>
      <xdr:row>90</xdr:row>
      <xdr:rowOff>0</xdr:rowOff>
    </xdr:from>
    <xdr:to>
      <xdr:col>13</xdr:col>
      <xdr:colOff>152401</xdr:colOff>
      <xdr:row>112</xdr:row>
      <xdr:rowOff>167081</xdr:rowOff>
    </xdr:to>
    <xdr:pic>
      <xdr:nvPicPr>
        <xdr:cNvPr id="5" name="图片 4"/>
        <xdr:cNvPicPr>
          <a:picLocks noChangeAspect="1"/>
        </xdr:cNvPicPr>
      </xdr:nvPicPr>
      <xdr:blipFill>
        <a:blip xmlns:r="http://schemas.openxmlformats.org/officeDocument/2006/relationships" r:embed="rId4"/>
        <a:stretch>
          <a:fillRect/>
        </a:stretch>
      </xdr:blipFill>
      <xdr:spPr>
        <a:xfrm>
          <a:off x="800101" y="15430500"/>
          <a:ext cx="8420100" cy="3938981"/>
        </a:xfrm>
        <a:prstGeom prst="rect">
          <a:avLst/>
        </a:prstGeom>
      </xdr:spPr>
    </xdr:pic>
    <xdr:clientData/>
  </xdr:twoCellAnchor>
  <xdr:twoCellAnchor editAs="oneCell">
    <xdr:from>
      <xdr:col>1</xdr:col>
      <xdr:colOff>28576</xdr:colOff>
      <xdr:row>113</xdr:row>
      <xdr:rowOff>66675</xdr:rowOff>
    </xdr:from>
    <xdr:to>
      <xdr:col>13</xdr:col>
      <xdr:colOff>351353</xdr:colOff>
      <xdr:row>120</xdr:row>
      <xdr:rowOff>85573</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6" y="19440525"/>
          <a:ext cx="8590477"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2825;&#3148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比较法-工业"/>
      <sheetName val="修正"/>
      <sheetName val="区片价"/>
      <sheetName val="容积率修正"/>
      <sheetName val="因素修正幅度"/>
      <sheetName val="基准地价（汇总）"/>
      <sheetName val="收益还原法"/>
      <sheetName val="地价"/>
      <sheetName val="不动产收益法"/>
      <sheetName val="不动产收益法(地下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29378.809999999998</v>
          </cell>
          <cell r="C14">
            <v>13764.69</v>
          </cell>
          <cell r="D14">
            <v>2468</v>
          </cell>
          <cell r="G14">
            <v>2468</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北京市安祥街6号院1号楼1至3层101；2号楼1至5层101房地产抵押价值预评估</v>
      </c>
    </row>
    <row r="3" spans="1:2" s="1596" customFormat="1">
      <c r="A3" s="1594" t="s">
        <v>1217</v>
      </c>
      <c r="B3" s="1595" t="str">
        <f>'预评函-封皮'!B40</f>
        <v>北京益安利乐投资有限公司</v>
      </c>
    </row>
    <row r="4" spans="1:2" s="1596" customFormat="1">
      <c r="A4" s="1594" t="s">
        <v>1218</v>
      </c>
      <c r="B4" s="1595" t="str">
        <f ca="1">'预评函-封皮'!B46</f>
        <v>崔锴（注册号：1120100036)、郑燚（注册号：1120070131)</v>
      </c>
    </row>
    <row r="5" spans="1:2" s="1590" customFormat="1" ht="15" thickBot="1">
      <c r="A5" s="1597" t="s">
        <v>1219</v>
      </c>
      <c r="B5" s="1598" t="str">
        <f>'预评函-封皮'!B49</f>
        <v>康正预评字2019-1-0011-P01DYGJ1号</v>
      </c>
    </row>
    <row r="6" spans="1:2" s="1593" customFormat="1" ht="15" thickTop="1">
      <c r="A6" s="1591" t="s">
        <v>1220</v>
      </c>
      <c r="B6" s="1592" t="str">
        <f>'预评函-1'!A4</f>
        <v>受贵公司委托，我公司对北京市安祥街6号院1号楼1至3层101；2号楼1至5层101房地产抵押价值进行了预评估。</v>
      </c>
    </row>
    <row r="7" spans="1:2" s="1596" customFormat="1">
      <c r="A7" s="1594" t="s">
        <v>1260</v>
      </c>
      <c r="B7" s="1595" t="str">
        <f>'预评函-1'!A7</f>
        <v>估价对象为北京市安祥街6号院1号楼1至3层101；2号楼1至5层101房地产，为北京益安利乐投资有限公司所有。根据《国有土地使用证》[京顺国用（2012出）第00082号]，估价对象（分摊）出让国有建设用地使用权面积为9161.21平方米。根据《不动产权证书》[京（2016）顺义区不动产权第0010455号]，估价对象建筑面积为19553.34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安祥街6号院1号楼1至3层101；2号楼1至5层101房地产,属北京益安利乐投资有限公司开发建设的工业项目，该项目尚在开发建设中。根据《国有土地使用证》[京顺国用（2012出）第00082号]，估价对象（分摊）出让国有建设用地使用权面积为9161.21平方米。根据《不动产权证书》[京（2016）顺义区不动产权第0010455号]，估价对象规划建筑面积为19553.34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为估价委托人在向北京农村商业银行卢沟桥支行办理贷款手续过程中，确定房地产抵押贷款额度提供参考依据而评估房地产抵押价值。</v>
      </c>
    </row>
    <row r="12" spans="1:2" s="1596" customFormat="1">
      <c r="A12" s="1594" t="s">
        <v>1222</v>
      </c>
      <c r="B12" s="1595" t="str">
        <f>'预评函-1'!A15</f>
        <v>2019年1月8日（评估专业人员实地查勘之日）</v>
      </c>
    </row>
    <row r="13" spans="1:2" s="1596" customFormat="1">
      <c r="A13" s="1594" t="s">
        <v>1223</v>
      </c>
      <c r="B13" s="1595" t="str">
        <f>'预评函-1'!A18</f>
        <v>本次估价的“房地产价值”是指在正常市场情况下，在价值时点2019年1月8日，估价对象规划用途为工业，土地取得方式为出让，出让国有建设用地使用权剩余土地使用年限为工业35.62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六通”（即通路、通电、通讯、通上水、通下水、燃气）、红线内场地平整条件下，剩余土地使用年限为工业35.62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18435</v>
      </c>
    </row>
    <row r="21" spans="1:2" s="1596" customFormat="1">
      <c r="A21" s="1594" t="s">
        <v>1231</v>
      </c>
      <c r="B21" s="1595">
        <f ca="1">'预评函-2'!D7</f>
        <v>9428</v>
      </c>
    </row>
    <row r="22" spans="1:2" s="1596" customFormat="1">
      <c r="A22" s="1594" t="s">
        <v>1232</v>
      </c>
      <c r="B22" s="1595" t="str">
        <f ca="1">'预评函-2'!D6</f>
        <v>壹亿捌仟肆佰叁拾伍万元整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18435</v>
      </c>
    </row>
    <row r="31" spans="1:2" s="1596" customFormat="1">
      <c r="A31" s="1594" t="s">
        <v>1270</v>
      </c>
      <c r="B31" s="1595">
        <f ca="1">'预评函-2'!D15</f>
        <v>9428</v>
      </c>
    </row>
    <row r="32" spans="1:2" s="1596" customFormat="1">
      <c r="A32" s="1594" t="s">
        <v>1237</v>
      </c>
      <c r="B32" s="1595" t="str">
        <f ca="1">'预评函-2'!D14</f>
        <v>壹亿捌仟肆佰叁拾伍万元整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北京市安祥街6号院1号楼1至3层101；2号楼1至5层101房地产</v>
      </c>
    </row>
    <row r="42" spans="1:2" s="1596" customFormat="1">
      <c r="A42" s="1594" t="s">
        <v>1284</v>
      </c>
      <c r="B42" s="1595" t="str">
        <f>'预评函-3'!B2</f>
        <v>建筑面积</v>
      </c>
    </row>
    <row r="43" spans="1:2" s="1596" customFormat="1">
      <c r="A43" s="1594" t="s">
        <v>1285</v>
      </c>
      <c r="B43" s="1595">
        <f>'预评函-3'!B4</f>
        <v>19553.34</v>
      </c>
    </row>
    <row r="44" spans="1:2" s="1596" customFormat="1">
      <c r="A44" s="1594" t="s">
        <v>1269</v>
      </c>
      <c r="B44" s="1595" t="str">
        <f>'预评函-3'!C2</f>
        <v>(分摊)土地面积</v>
      </c>
    </row>
    <row r="45" spans="1:2" s="1596" customFormat="1">
      <c r="A45" s="1594" t="s">
        <v>1241</v>
      </c>
      <c r="B45" s="1595">
        <f>'预评函-3'!C4</f>
        <v>9161.2099999999991</v>
      </c>
    </row>
    <row r="46" spans="1:2" s="1596" customFormat="1">
      <c r="A46" s="1594" t="s">
        <v>1267</v>
      </c>
      <c r="B46" s="1595" t="str">
        <f>'预评函-3'!D2</f>
        <v>出让国有建设用地使用权价值</v>
      </c>
    </row>
    <row r="47" spans="1:2" s="1596" customFormat="1">
      <c r="A47" s="1594" t="s">
        <v>1242</v>
      </c>
      <c r="B47" s="1595">
        <f ca="1">'预评函-3'!D4</f>
        <v>6379</v>
      </c>
    </row>
    <row r="48" spans="1:2" s="1596" customFormat="1">
      <c r="A48" s="1594" t="s">
        <v>1243</v>
      </c>
      <c r="B48" s="1595">
        <f ca="1">'预评函-3'!E4</f>
        <v>3262</v>
      </c>
    </row>
    <row r="49" spans="1:2" s="1596" customFormat="1">
      <c r="A49" s="1594" t="s">
        <v>1244</v>
      </c>
      <c r="B49" s="1595" t="str">
        <f ca="1">'预评函-3'!D5</f>
        <v>陆仟叁佰柒拾玖万元整</v>
      </c>
    </row>
    <row r="50" spans="1:2" s="1596" customFormat="1">
      <c r="A50" s="1594" t="s">
        <v>1268</v>
      </c>
      <c r="B50" s="1595" t="str">
        <f>'预评函-3'!F2</f>
        <v>在建建筑物价值</v>
      </c>
    </row>
    <row r="51" spans="1:2" s="1596" customFormat="1">
      <c r="A51" s="1594" t="s">
        <v>1245</v>
      </c>
      <c r="B51" s="1595">
        <f ca="1">'预评函-3'!F4</f>
        <v>12056</v>
      </c>
    </row>
    <row r="52" spans="1:2" s="1596" customFormat="1">
      <c r="A52" s="1594" t="s">
        <v>1246</v>
      </c>
      <c r="B52" s="1595">
        <f ca="1">'预评函-3'!G4</f>
        <v>6166</v>
      </c>
    </row>
    <row r="53" spans="1:2" s="1596" customFormat="1">
      <c r="A53" s="1594" t="s">
        <v>1274</v>
      </c>
      <c r="B53" s="1595" t="str">
        <f ca="1">'预评函-3'!F5</f>
        <v>壹亿贰仟零伍拾陆万元整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（1）根据估价对象《不动产权证书》原件、《国有土地使用权》原件，截至价值时点，估价对象抵押权未见登记。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0" sqref="Y30"/>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为估价委托人在向北京农村商业银行卢沟桥支行办理贷款手续过程中，确定房地产抵押贷款额度提供参考依据而评估房地产抵押价值。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益安利乐投资有限公司拟使用北京市安祥街6号院1号楼1至3层101；2号楼1至5层101房地产作为抵押担保物，向北京农村商业银行卢沟桥支行办理贷款手续。北京农村商业银行卢沟桥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0"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0"/>
      <c r="B54" s="2025" t="s">
        <v>861</v>
      </c>
      <c r="C54" s="2022" t="s">
        <v>1277</v>
      </c>
    </row>
    <row r="55" spans="1:4">
      <c r="A55" s="3000"/>
      <c r="B55" s="2025" t="s">
        <v>862</v>
      </c>
      <c r="C55" s="2022" t="s">
        <v>1278</v>
      </c>
    </row>
    <row r="56" spans="1:4">
      <c r="A56" s="3000"/>
      <c r="B56" s="2025" t="s">
        <v>863</v>
      </c>
      <c r="C56" s="2022" t="s">
        <v>1282</v>
      </c>
    </row>
    <row r="57" spans="1:4">
      <c r="A57" s="3000"/>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01" t="str">
        <f>IF(B10="北京市","北京市",C10)&amp;F10&amp;IF(结果表!G1="在建","出让国有建设用地使用权及在建建筑物",IF(结果表!G1="土地","出让国有建设用地使用权",))&amp;B9&amp;"预评估"</f>
        <v>北京市安祥街6号院1号楼1至3层101；2号楼1至5层101房地产抵押价值预评估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北京市安祥街6号院1号楼1至3层101；2号楼1至5层101房地产抵押价值</v>
      </c>
    </row>
    <row r="2" spans="1:19" ht="18" customHeight="1">
      <c r="A2" s="2029" t="s">
        <v>1773</v>
      </c>
      <c r="B2" s="1042" t="s">
        <v>3182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北京市安祥街6号院1号楼1至3层101；2号楼1至5层101房地产</v>
      </c>
    </row>
    <row r="3" spans="1:19" ht="18" customHeight="1">
      <c r="A3" s="2038" t="s">
        <v>1774</v>
      </c>
      <c r="B3" s="2039">
        <v>43473</v>
      </c>
      <c r="C3" s="2040" t="s">
        <v>1775</v>
      </c>
      <c r="D3" s="2039">
        <f>B3</f>
        <v>43473</v>
      </c>
      <c r="E3" s="2029"/>
      <c r="F3" s="2029"/>
      <c r="G3" s="2029"/>
      <c r="H3" s="2029"/>
      <c r="I3" s="2029"/>
      <c r="J3" s="2029"/>
      <c r="K3" s="2030"/>
      <c r="L3" s="2031"/>
      <c r="M3" s="2031"/>
      <c r="N3" s="2032"/>
      <c r="O3" s="2033"/>
      <c r="P3" s="2032"/>
      <c r="Q3" s="2032"/>
      <c r="R3" s="2032"/>
      <c r="S3" s="2034"/>
    </row>
    <row r="4" spans="1:19" ht="18" customHeight="1" thickBot="1">
      <c r="A4" s="2041" t="s">
        <v>1776</v>
      </c>
      <c r="B4" s="2042" t="s">
        <v>3183</v>
      </c>
      <c r="C4" s="1040">
        <f ca="1">SUMIF(注册房地产估价师,B4,估价师及机构信息!B3:B24)</f>
        <v>1120100036</v>
      </c>
      <c r="D4" s="2042" t="s">
        <v>3184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崔锴（注册号：1120100036)、郑燚（注册号：1120070131)</v>
      </c>
      <c r="L4" s="2031"/>
      <c r="M4" s="2031"/>
      <c r="N4" s="2032"/>
      <c r="O4" s="2033"/>
      <c r="P4" s="2032"/>
      <c r="Q4" s="2032"/>
      <c r="R4" s="2032"/>
      <c r="S4" s="2034"/>
    </row>
    <row r="5" spans="1:19" ht="18" customHeight="1" thickTop="1">
      <c r="A5" s="2047" t="s">
        <v>1777</v>
      </c>
      <c r="B5" s="2952" t="s">
        <v>3198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3" t="s">
        <v>3199</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1" t="str">
        <f>B5</f>
        <v>北京益安利乐投资有限公司</v>
      </c>
      <c r="C7" s="2052"/>
      <c r="D7" s="2053"/>
      <c r="E7" s="2037"/>
      <c r="F7" s="2045"/>
      <c r="G7" s="2045"/>
      <c r="H7" s="2045"/>
      <c r="I7" s="2045"/>
      <c r="J7" s="2045"/>
      <c r="K7" s="2055"/>
      <c r="L7" s="2031"/>
      <c r="M7" s="2031"/>
      <c r="N7" s="2032"/>
      <c r="O7" s="2033"/>
      <c r="P7" s="2032"/>
      <c r="Q7" s="2032"/>
      <c r="R7" s="2032"/>
    </row>
    <row r="8" spans="1:19" ht="18" customHeight="1">
      <c r="A8" s="2050" t="s">
        <v>1780</v>
      </c>
      <c r="B8" s="2056" t="s">
        <v>3045</v>
      </c>
      <c r="C8" s="2057"/>
      <c r="D8" s="3004" t="s">
        <v>1781</v>
      </c>
      <c r="E8" s="2058" t="s">
        <v>3046</v>
      </c>
      <c r="F8" s="2059"/>
      <c r="G8" s="2029"/>
      <c r="H8" s="2029"/>
      <c r="I8" s="2029"/>
      <c r="J8" s="2045"/>
      <c r="K8" s="2046"/>
      <c r="L8" s="2031"/>
      <c r="M8" s="2031"/>
      <c r="N8" s="2032"/>
      <c r="O8" s="2033"/>
      <c r="P8" s="2032"/>
      <c r="Q8" s="2032"/>
      <c r="R8" s="2032"/>
    </row>
    <row r="9" spans="1:19" ht="18" customHeight="1" thickBot="1">
      <c r="A9" s="2043" t="s">
        <v>1782</v>
      </c>
      <c r="B9" s="2060" t="s">
        <v>3046</v>
      </c>
      <c r="C9" s="2061"/>
      <c r="D9" s="3005"/>
      <c r="E9" s="2060" t="s">
        <v>70</v>
      </c>
      <c r="F9" s="2062"/>
      <c r="G9" s="2063"/>
      <c r="H9" s="2063"/>
      <c r="I9" s="2063"/>
      <c r="J9" s="2045"/>
      <c r="K9" s="2055"/>
      <c r="L9" s="2031"/>
      <c r="M9" s="2031"/>
      <c r="N9" s="2032"/>
      <c r="O9" s="2033"/>
      <c r="P9" s="2032"/>
      <c r="Q9" s="2032"/>
      <c r="R9" s="2032"/>
    </row>
    <row r="10" spans="1:19" ht="18" customHeight="1" thickTop="1">
      <c r="A10" s="2064" t="s">
        <v>1783</v>
      </c>
      <c r="B10" s="2065" t="s">
        <v>3047</v>
      </c>
      <c r="C10" s="2947" t="s">
        <v>3048</v>
      </c>
      <c r="D10" s="2049"/>
      <c r="E10" s="2066" t="s">
        <v>1784</v>
      </c>
      <c r="F10" s="2067" t="s">
        <v>3049</v>
      </c>
      <c r="G10" s="2068"/>
      <c r="H10" s="2069"/>
      <c r="I10" s="2049"/>
      <c r="J10" s="2045"/>
      <c r="K10" s="2055"/>
      <c r="L10" s="2031"/>
      <c r="M10" s="2031"/>
      <c r="N10" s="2032"/>
      <c r="O10" s="2033"/>
      <c r="P10" s="2032"/>
      <c r="Q10" s="2032"/>
      <c r="R10" s="2032"/>
    </row>
    <row r="11" spans="1:19" ht="18" customHeight="1">
      <c r="A11" s="2070" t="s">
        <v>1785</v>
      </c>
      <c r="B11" s="2071" t="s">
        <v>3050</v>
      </c>
      <c r="C11" s="2954" t="str">
        <f>B5</f>
        <v>北京益安利乐投资有限公司</v>
      </c>
      <c r="D11" s="2072"/>
      <c r="E11" s="2045"/>
      <c r="F11" s="2045"/>
      <c r="G11" s="2045"/>
      <c r="H11" s="2045"/>
      <c r="I11" s="2045"/>
      <c r="J11" s="2045"/>
      <c r="K11" s="2055"/>
      <c r="L11" s="2031"/>
      <c r="M11" s="2031"/>
      <c r="N11" s="2032"/>
      <c r="O11" s="2033"/>
      <c r="P11" s="2032"/>
      <c r="Q11" s="2032"/>
      <c r="R11" s="2032"/>
    </row>
    <row r="12" spans="1:19" ht="18" customHeight="1">
      <c r="A12" s="2073" t="s">
        <v>1786</v>
      </c>
      <c r="B12" s="2071" t="s">
        <v>3051</v>
      </c>
      <c r="C12" s="2074" t="s">
        <v>1787</v>
      </c>
      <c r="D12" s="2075" t="s">
        <v>1788</v>
      </c>
      <c r="E12" s="2075" t="s">
        <v>1789</v>
      </c>
      <c r="F12" s="2075" t="s">
        <v>1790</v>
      </c>
      <c r="G12" s="2075" t="s">
        <v>1791</v>
      </c>
      <c r="H12" s="2075" t="s">
        <v>1792</v>
      </c>
      <c r="I12" s="2075" t="s">
        <v>1793</v>
      </c>
      <c r="J12" s="2045"/>
      <c r="K12" s="2055"/>
      <c r="L12" s="2031"/>
      <c r="M12" s="2031"/>
      <c r="N12" s="2032"/>
      <c r="O12" s="2033"/>
      <c r="P12" s="2032"/>
      <c r="Q12" s="2032"/>
      <c r="R12" s="2032"/>
    </row>
    <row r="13" spans="1:19" ht="18" customHeight="1">
      <c r="A13" s="2076"/>
      <c r="B13" s="2077"/>
      <c r="C13" s="2078" t="s">
        <v>1794</v>
      </c>
      <c r="D13" s="2079"/>
      <c r="E13" s="2079"/>
      <c r="F13" s="2079"/>
      <c r="G13" s="2079"/>
      <c r="H13" s="2079"/>
      <c r="I13" s="1050">
        <v>56477</v>
      </c>
      <c r="J13" s="2045"/>
      <c r="K13" s="2055"/>
      <c r="L13" s="2031"/>
      <c r="M13" s="2031"/>
      <c r="N13" s="2032"/>
      <c r="O13" s="2033"/>
      <c r="P13" s="2032"/>
      <c r="Q13" s="2032"/>
      <c r="R13" s="2032"/>
    </row>
    <row r="14" spans="1:19" ht="18" customHeight="1">
      <c r="A14" s="2076"/>
      <c r="B14" s="2077"/>
      <c r="C14" s="2078" t="s">
        <v>1795</v>
      </c>
      <c r="D14" s="1053"/>
      <c r="E14" s="1053"/>
      <c r="F14" s="1053"/>
      <c r="G14" s="1053"/>
      <c r="H14" s="1053"/>
      <c r="I14" s="1053">
        <v>50</v>
      </c>
      <c r="J14" s="2045"/>
      <c r="K14" s="2080"/>
      <c r="L14" s="2031"/>
      <c r="M14" s="2031"/>
      <c r="N14" s="2032"/>
      <c r="O14" s="2033"/>
      <c r="P14" s="2032"/>
      <c r="Q14" s="2032"/>
      <c r="R14" s="2032"/>
    </row>
    <row r="15" spans="1:19" ht="18" customHeight="1">
      <c r="A15" s="2064"/>
      <c r="B15" s="2081"/>
      <c r="C15" s="2078"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35.619999999999997</v>
      </c>
      <c r="J15" s="2045"/>
      <c r="K15" s="2082"/>
      <c r="L15" s="2083"/>
      <c r="M15" s="2083"/>
      <c r="N15" s="2084"/>
      <c r="O15" s="2083"/>
      <c r="P15" s="2084"/>
      <c r="Q15" s="2032"/>
      <c r="R15" s="2032"/>
    </row>
    <row r="16" spans="1:19" ht="30.75" customHeight="1">
      <c r="A16" s="2066" t="s">
        <v>1797</v>
      </c>
      <c r="B16" s="3011" t="s">
        <v>3052</v>
      </c>
      <c r="C16" s="3012"/>
      <c r="D16" s="3013"/>
      <c r="E16" s="2085" t="s">
        <v>1798</v>
      </c>
      <c r="F16" s="3014" t="s">
        <v>3185</v>
      </c>
      <c r="G16" s="3015"/>
      <c r="H16" s="3015"/>
      <c r="I16" s="3016"/>
      <c r="J16" s="2032"/>
      <c r="K16" s="2082"/>
      <c r="L16" s="2083"/>
      <c r="M16" s="2083"/>
      <c r="N16" s="2084"/>
      <c r="O16" s="2083"/>
      <c r="P16" s="2084"/>
      <c r="Q16" s="2032"/>
      <c r="R16" s="2032"/>
    </row>
    <row r="17" spans="1:22" ht="18" customHeight="1">
      <c r="A17" s="2086" t="s">
        <v>1799</v>
      </c>
      <c r="B17" s="2038" t="s">
        <v>1800</v>
      </c>
      <c r="C17" s="1057">
        <f>'数据-汇总表'!E3</f>
        <v>19553.34</v>
      </c>
      <c r="D17" s="2087" t="s">
        <v>1801</v>
      </c>
      <c r="E17" s="3017" t="s">
        <v>3186</v>
      </c>
      <c r="F17" s="3018"/>
      <c r="G17" s="3018"/>
      <c r="H17" s="3018"/>
      <c r="I17" s="3019"/>
      <c r="J17" s="2032"/>
      <c r="K17" s="2088"/>
      <c r="L17" s="2083"/>
      <c r="M17" s="2083"/>
      <c r="N17" s="2084"/>
      <c r="O17" s="2083"/>
      <c r="P17" s="2084"/>
      <c r="Q17" s="2032"/>
      <c r="R17" s="2032"/>
      <c r="S17" s="2032"/>
      <c r="T17" s="2032"/>
      <c r="U17" s="2032"/>
      <c r="V17" s="2032"/>
    </row>
    <row r="18" spans="1:22" ht="36" customHeight="1" thickBot="1">
      <c r="A18" s="2089" t="s">
        <v>70</v>
      </c>
      <c r="B18" s="2041" t="s">
        <v>1802</v>
      </c>
      <c r="C18" s="1447">
        <f>'数据-汇总表'!D3</f>
        <v>9161.2099999999991</v>
      </c>
      <c r="D18" s="2090" t="s">
        <v>1801</v>
      </c>
      <c r="E18" s="3020" t="s">
        <v>3187</v>
      </c>
      <c r="F18" s="3021"/>
      <c r="G18" s="3021"/>
      <c r="H18" s="3021"/>
      <c r="I18" s="3022"/>
      <c r="J18" s="2032"/>
      <c r="K18" s="2088"/>
      <c r="L18" s="2083"/>
      <c r="M18" s="2083"/>
      <c r="N18" s="2084"/>
      <c r="O18" s="2083"/>
      <c r="P18" s="2084"/>
      <c r="Q18" s="2032"/>
      <c r="R18" s="2032"/>
      <c r="S18" s="2032"/>
      <c r="T18" s="2032"/>
      <c r="U18" s="2032"/>
      <c r="V18" s="2032"/>
    </row>
    <row r="19" spans="1:22" ht="37.5" customHeight="1" thickTop="1" thickBot="1">
      <c r="A19" s="373" t="s">
        <v>1803</v>
      </c>
      <c r="B19" s="352" t="s">
        <v>1804</v>
      </c>
      <c r="C19" s="2091" t="s">
        <v>3188</v>
      </c>
      <c r="D19" s="2092" t="s">
        <v>1805</v>
      </c>
      <c r="E19" s="2093" t="s">
        <v>3188</v>
      </c>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1806</v>
      </c>
      <c r="B20" s="3007" t="s">
        <v>1807</v>
      </c>
      <c r="C20" s="3008"/>
      <c r="D20" s="3009" t="s">
        <v>1808</v>
      </c>
      <c r="E20" s="3010"/>
      <c r="F20" s="2097" t="s">
        <v>1809</v>
      </c>
      <c r="G20" s="2045"/>
      <c r="H20" s="2045"/>
      <c r="I20" s="2045"/>
      <c r="J20" s="2045"/>
      <c r="K20" s="3006" t="s">
        <v>1810</v>
      </c>
      <c r="L20" s="748" t="str">
        <f>"根据估价对象"&amp;IF(B22="——",B21&amp;C21,B21&amp;C21&amp;"、"&amp;B22&amp;C22)&amp;"，"&amp;IF(C19="是","截至价值时点，估价对象已设定抵押。","截至价值时点，估价对象抵押权未见登记。")</f>
        <v>根据估价对象《不动产权证书》原件、《国有土地使用权》原件，截至价值时点，估价对象抵押权未见登记。</v>
      </c>
      <c r="M20" s="2031"/>
      <c r="N20" s="2084"/>
      <c r="O20" s="2083"/>
      <c r="P20" s="2084"/>
      <c r="Q20" s="2032"/>
      <c r="R20" s="2032"/>
      <c r="S20" s="2032"/>
      <c r="T20" s="2032"/>
      <c r="U20" s="2032"/>
      <c r="V20" s="2032"/>
    </row>
    <row r="21" spans="1:22" ht="24.75" customHeight="1">
      <c r="A21" s="2096"/>
      <c r="B21" s="2098" t="s">
        <v>3189</v>
      </c>
      <c r="C21" s="2099" t="s">
        <v>1811</v>
      </c>
      <c r="D21" s="2100" t="s">
        <v>1812</v>
      </c>
      <c r="E21" s="2101" t="s">
        <v>70</v>
      </c>
      <c r="F21" s="2102"/>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1813</v>
      </c>
      <c r="C22" s="2099" t="s">
        <v>3190</v>
      </c>
      <c r="D22" s="2029"/>
      <c r="E22" s="2029"/>
      <c r="F22" s="2104"/>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1814</v>
      </c>
      <c r="B23" s="183" t="s">
        <v>1815</v>
      </c>
      <c r="C23" s="2106"/>
      <c r="D23" s="2107" t="s">
        <v>1815</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1816</v>
      </c>
      <c r="C24" s="2111"/>
      <c r="D24" s="2105" t="s">
        <v>1816</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1817</v>
      </c>
      <c r="C25" s="2111"/>
      <c r="D25" s="2105" t="s">
        <v>1817</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1818</v>
      </c>
      <c r="C26" s="2115"/>
      <c r="D26" s="2116" t="s">
        <v>1819</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24" t="s">
        <v>1820</v>
      </c>
      <c r="B27" s="2064" t="s">
        <v>1821</v>
      </c>
      <c r="C27" s="2119" t="s">
        <v>3053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4"/>
      <c r="B28" s="2038" t="s">
        <v>1822</v>
      </c>
      <c r="C28" s="2121" t="s">
        <v>3191</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4"/>
      <c r="B29" s="2038" t="s">
        <v>1823</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5"/>
      <c r="B30" s="2038" t="s">
        <v>1824</v>
      </c>
      <c r="C30" s="3026"/>
      <c r="D30" s="302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8" t="s">
        <v>1825</v>
      </c>
      <c r="B31" s="2126" t="s">
        <v>3054</v>
      </c>
      <c r="C31" s="2127" t="str">
        <f>IF(B31="现房","成新及维护状况正常否",IF(B31="在建","工程状态是否正常",IF(B31="土地","是否闲置","-")))</f>
        <v>成新及维护状况正常否</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29"/>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29"/>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1826</v>
      </c>
      <c r="B34" s="2133" t="s">
        <v>3055</v>
      </c>
      <c r="C34" s="2133" t="s">
        <v>3056</v>
      </c>
      <c r="D34" s="2133" t="s">
        <v>3057</v>
      </c>
      <c r="E34" s="2133" t="s">
        <v>3058</v>
      </c>
      <c r="F34" s="2133" t="s">
        <v>3059</v>
      </c>
      <c r="G34" s="2133" t="s">
        <v>3060</v>
      </c>
      <c r="H34" s="2133" t="s">
        <v>70</v>
      </c>
      <c r="I34" s="2045"/>
      <c r="J34" s="2045"/>
      <c r="K34" s="1798">
        <f>COUNTIF(B34:H34,"——")</f>
        <v>1</v>
      </c>
      <c r="L34" s="2074" t="s">
        <v>1827</v>
      </c>
      <c r="M34" s="2074" t="s">
        <v>1828</v>
      </c>
      <c r="N34" s="2074" t="s">
        <v>1829</v>
      </c>
      <c r="O34" s="2074" t="s">
        <v>1830</v>
      </c>
      <c r="P34" s="2074" t="s">
        <v>1831</v>
      </c>
      <c r="Q34" s="2074" t="s">
        <v>1832</v>
      </c>
      <c r="R34" s="2074" t="s">
        <v>1833</v>
      </c>
      <c r="S34" s="3023" t="s">
        <v>1834</v>
      </c>
      <c r="T34" s="2134" t="str">
        <f>NUMBERSTRING(7-K34,1)&amp;"通"</f>
        <v>六通</v>
      </c>
      <c r="U34" s="2032"/>
      <c r="V34" s="2032"/>
    </row>
    <row r="35" spans="1:22" ht="18" customHeight="1">
      <c r="A35" s="2135"/>
      <c r="B35" s="3030" t="s">
        <v>1835</v>
      </c>
      <c r="C35" s="3030"/>
      <c r="D35" s="3030"/>
      <c r="E35" s="3030"/>
      <c r="F35" s="2136" t="str">
        <f>C10</f>
        <v>顺义区</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通路、通电、通讯、通上水、通下水、燃气</v>
      </c>
      <c r="U35" s="2032"/>
      <c r="V35" s="2032"/>
    </row>
    <row r="36" spans="1:22" ht="18" customHeight="1">
      <c r="A36" s="2137"/>
      <c r="B36" s="2136" t="s">
        <v>1836</v>
      </c>
      <c r="C36" s="2136" t="s">
        <v>1837</v>
      </c>
      <c r="D36" s="2136" t="s">
        <v>1838</v>
      </c>
      <c r="E36" s="2136" t="s">
        <v>1839</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1840</v>
      </c>
      <c r="B37" s="2140"/>
      <c r="C37" s="2140"/>
      <c r="D37" s="2140"/>
      <c r="E37" s="2140" t="s">
        <v>526</v>
      </c>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1841</v>
      </c>
      <c r="B38" s="2142"/>
      <c r="C38" s="2142"/>
      <c r="D38" s="2142"/>
      <c r="E38" s="2142" t="s">
        <v>378</v>
      </c>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1843</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1844</v>
      </c>
      <c r="B42" s="1798" t="s">
        <v>1845</v>
      </c>
      <c r="C42" s="1798" t="s">
        <v>1846</v>
      </c>
      <c r="D42" s="1798" t="s">
        <v>1847</v>
      </c>
      <c r="E42" s="1798" t="s">
        <v>1848</v>
      </c>
      <c r="F42" s="1798" t="s">
        <v>1849</v>
      </c>
      <c r="G42" s="1798" t="s">
        <v>1850</v>
      </c>
      <c r="H42" s="1798" t="s">
        <v>1851</v>
      </c>
      <c r="I42" s="1798" t="s">
        <v>1852</v>
      </c>
      <c r="J42" s="2152" t="s">
        <v>1853</v>
      </c>
      <c r="K42" s="2075" t="s">
        <v>1854</v>
      </c>
      <c r="L42" s="2075" t="s">
        <v>1855</v>
      </c>
      <c r="M42" s="2075" t="s">
        <v>1856</v>
      </c>
      <c r="N42" s="1798" t="s">
        <v>1857</v>
      </c>
      <c r="O42" s="1798" t="s">
        <v>1858</v>
      </c>
      <c r="P42" s="1798" t="s">
        <v>1859</v>
      </c>
      <c r="Q42" s="2074" t="s">
        <v>1860</v>
      </c>
      <c r="R42" s="2074" t="s">
        <v>1861</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1864</v>
      </c>
      <c r="B2" s="11" t="s">
        <v>1865</v>
      </c>
      <c r="C2" s="11" t="s">
        <v>1866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1867</v>
      </c>
      <c r="AZ2" s="1273" t="s">
        <v>1868</v>
      </c>
      <c r="BA2" s="11" t="s">
        <v>1869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22925.9</v>
      </c>
      <c r="B3" s="14">
        <f>IF(C3="否",G5-AT5,G5)</f>
        <v>48932.149999999994</v>
      </c>
      <c r="C3" s="2168" t="s">
        <v>3062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1870</v>
      </c>
      <c r="B5" s="1806"/>
      <c r="C5" s="1806"/>
      <c r="D5" s="1809"/>
      <c r="E5" s="16" t="s">
        <v>1</v>
      </c>
      <c r="F5" s="16">
        <f>SUM(F13:F587)</f>
        <v>0</v>
      </c>
      <c r="G5" s="16">
        <f>SUM(G13:G587)</f>
        <v>48932.149999999994</v>
      </c>
      <c r="H5" s="16">
        <f t="shared" ref="H5:AT5" si="0">SUM(H13:H656)</f>
        <v>31343.15</v>
      </c>
      <c r="I5" s="16">
        <f t="shared" si="0"/>
        <v>31343.15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29</v>
      </c>
      <c r="AM5" s="16">
        <f t="shared" si="0"/>
        <v>0</v>
      </c>
      <c r="AN5" s="16">
        <f t="shared" si="0"/>
        <v>17560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19553.34</v>
      </c>
      <c r="BA5" s="18">
        <f t="shared" si="1"/>
        <v>19553.34</v>
      </c>
      <c r="BB5" s="18">
        <f t="shared" si="1"/>
        <v>19553.34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1871</v>
      </c>
      <c r="B6" s="2174"/>
      <c r="C6" s="2174"/>
      <c r="D6" s="2175"/>
      <c r="E6" s="16">
        <f>H6+AC6+AT6</f>
        <v>22925.910000000003</v>
      </c>
      <c r="F6" s="16" t="s">
        <v>1</v>
      </c>
      <c r="G6" s="16" t="s">
        <v>2</v>
      </c>
      <c r="H6" s="20">
        <f>SUMIF(I$12:AB$12,"总值",I6:AB6)</f>
        <v>14685.03</v>
      </c>
      <c r="I6" s="16">
        <f t="shared" ref="I6:AB6" si="2">ROUND($A$3*I5/$B$3,2)</f>
        <v>14685.03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8240.880000000001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13.59</v>
      </c>
      <c r="AM6" s="16">
        <f t="shared" si="3"/>
        <v>0</v>
      </c>
      <c r="AN6" s="16">
        <f t="shared" si="3"/>
        <v>8227.2900000000009</v>
      </c>
      <c r="AO6" s="16">
        <f t="shared" si="3"/>
        <v>0</v>
      </c>
      <c r="AP6" s="16">
        <f t="shared" si="3"/>
        <v>0</v>
      </c>
      <c r="AQ6" s="16">
        <f t="shared" si="3"/>
        <v>0</v>
      </c>
      <c r="AR6" s="16">
        <f t="shared" si="3"/>
        <v>0</v>
      </c>
      <c r="AS6" s="16">
        <f t="shared" si="3"/>
        <v>0</v>
      </c>
      <c r="AT6" s="20">
        <f>IF(C3="是",ROUND($A$3*AT5/$B$3,2),0)</f>
        <v>0</v>
      </c>
      <c r="AU6" s="2176"/>
      <c r="AV6" s="15" t="s">
        <v>1871</v>
      </c>
      <c r="AW6" s="2174"/>
      <c r="AX6" s="2174"/>
      <c r="AY6" s="21">
        <f>IF(AY3&gt;0,AY3,ROUND($A$3*AZ5/$B$3,2))</f>
        <v>9161.2099999999991</v>
      </c>
      <c r="AZ6" s="16" t="s">
        <v>3</v>
      </c>
      <c r="BA6" s="16">
        <f>ROUND($AY$6*BA5/$AZ$5,2)</f>
        <v>9161.2099999999991</v>
      </c>
      <c r="BB6" s="16">
        <f>ROUND($AY$6*BB5/$AZ$5,2)</f>
        <v>9161.2099999999991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1872</v>
      </c>
      <c r="B7" s="2109" t="s">
        <v>1873</v>
      </c>
      <c r="C7" s="2109" t="s">
        <v>1874</v>
      </c>
      <c r="D7" s="2109" t="s">
        <v>1875</v>
      </c>
      <c r="E7" s="2109" t="s">
        <v>1876</v>
      </c>
      <c r="F7" s="2109" t="s">
        <v>1877</v>
      </c>
      <c r="G7" s="2178" t="s">
        <v>1878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1879</v>
      </c>
      <c r="AV7" s="23" t="s">
        <v>1880</v>
      </c>
      <c r="AW7" s="2166" t="s">
        <v>1881</v>
      </c>
      <c r="AX7" s="23" t="s">
        <v>1874</v>
      </c>
      <c r="AY7" s="1806" t="s">
        <v>1882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1883</v>
      </c>
      <c r="H8" s="2184" t="s">
        <v>1884</v>
      </c>
      <c r="I8" s="2185"/>
      <c r="J8" s="1821"/>
      <c r="K8" s="1821"/>
      <c r="L8" s="1821"/>
      <c r="M8" s="1821"/>
      <c r="N8" s="1821"/>
      <c r="O8" s="1821"/>
      <c r="P8" s="1821"/>
      <c r="Q8" s="1821"/>
      <c r="R8" s="1821"/>
      <c r="S8" s="1821"/>
      <c r="T8" s="1821"/>
      <c r="U8" s="1821"/>
      <c r="V8" s="2186"/>
      <c r="W8" s="1821"/>
      <c r="X8" s="1821"/>
      <c r="Y8" s="1821"/>
      <c r="Z8" s="1821"/>
      <c r="AA8" s="2186"/>
      <c r="AB8" s="2187"/>
      <c r="AC8" s="984" t="s">
        <v>1885</v>
      </c>
      <c r="AD8" s="2188"/>
      <c r="AE8" s="2180"/>
      <c r="AF8" s="1821"/>
      <c r="AG8" s="1821"/>
      <c r="AH8" s="1821"/>
      <c r="AI8" s="1821"/>
      <c r="AJ8" s="1821"/>
      <c r="AK8" s="1821"/>
      <c r="AL8" s="1821"/>
      <c r="AM8" s="1821"/>
      <c r="AN8" s="1821"/>
      <c r="AO8" s="1821"/>
      <c r="AP8" s="1821"/>
      <c r="AQ8" s="1821"/>
      <c r="AR8" s="1821"/>
      <c r="AS8" s="1821"/>
      <c r="AT8" s="1295" t="s">
        <v>1886</v>
      </c>
      <c r="AU8" s="2182" t="s">
        <v>1887</v>
      </c>
      <c r="AV8" s="1295"/>
      <c r="AW8" s="2165"/>
      <c r="AX8" s="1295"/>
      <c r="AY8" s="2166"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1890</v>
      </c>
      <c r="I9" s="2191" t="s">
        <v>3063</v>
      </c>
      <c r="J9" s="984"/>
      <c r="K9" s="2191" t="s">
        <v>3193</v>
      </c>
      <c r="L9" s="984"/>
      <c r="M9" s="2191"/>
      <c r="N9" s="984"/>
      <c r="O9" s="2191"/>
      <c r="P9" s="984"/>
      <c r="Q9" s="2191"/>
      <c r="R9" s="984"/>
      <c r="S9" s="2191"/>
      <c r="T9" s="984"/>
      <c r="U9" s="2191"/>
      <c r="V9" s="984"/>
      <c r="W9" s="2191"/>
      <c r="X9" s="2192"/>
      <c r="Y9" s="2191"/>
      <c r="Z9" s="984"/>
      <c r="AA9" s="2191"/>
      <c r="AB9" s="984"/>
      <c r="AC9" s="2183"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3"/>
      <c r="AT9" s="2182"/>
      <c r="AU9" s="2182" t="s">
        <v>1893</v>
      </c>
      <c r="AV9" s="1295"/>
      <c r="AW9" s="2165"/>
      <c r="AX9" s="1295"/>
      <c r="AY9" s="28"/>
      <c r="AZ9" s="28" t="s">
        <v>1883</v>
      </c>
      <c r="BA9" s="2194" t="s">
        <v>1894</v>
      </c>
      <c r="BB9" s="2195"/>
      <c r="BC9" s="1341"/>
      <c r="BD9" s="1341"/>
      <c r="BE9" s="1341"/>
      <c r="BF9" s="1341"/>
      <c r="BG9" s="1341"/>
      <c r="BH9" s="1341"/>
      <c r="BI9" s="1341"/>
      <c r="BJ9" s="1341"/>
      <c r="BK9" s="2196"/>
      <c r="BL9" s="15" t="s">
        <v>1895</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t="s">
        <v>3194</v>
      </c>
      <c r="L10" s="984"/>
      <c r="M10" s="2197"/>
      <c r="N10" s="984"/>
      <c r="O10" s="2197"/>
      <c r="P10" s="984"/>
      <c r="Q10" s="2197"/>
      <c r="R10" s="984"/>
      <c r="S10" s="2197"/>
      <c r="T10" s="984"/>
      <c r="U10" s="2197"/>
      <c r="V10" s="984"/>
      <c r="W10" s="2197"/>
      <c r="X10" s="984"/>
      <c r="Y10" s="2197"/>
      <c r="Z10" s="984"/>
      <c r="AA10" s="2197"/>
      <c r="AB10" s="984"/>
      <c r="AC10" s="1295"/>
      <c r="AD10" s="15" t="s">
        <v>1896</v>
      </c>
      <c r="AE10" s="2198"/>
      <c r="AF10" s="15" t="s">
        <v>1896</v>
      </c>
      <c r="AG10" s="2198"/>
      <c r="AH10" s="15" t="s">
        <v>1897</v>
      </c>
      <c r="AI10" s="2198"/>
      <c r="AJ10" s="15" t="s">
        <v>1897</v>
      </c>
      <c r="AK10" s="2198"/>
      <c r="AL10" s="15" t="s">
        <v>1898</v>
      </c>
      <c r="AM10" s="1301"/>
      <c r="AN10" s="15" t="s">
        <v>1898</v>
      </c>
      <c r="AO10" s="1301"/>
      <c r="AP10" s="15" t="s">
        <v>1899</v>
      </c>
      <c r="AQ10" s="1301"/>
      <c r="AR10" s="15" t="s">
        <v>1899</v>
      </c>
      <c r="AS10" s="1301"/>
      <c r="AT10" s="2182"/>
      <c r="AU10" s="2182"/>
      <c r="AV10" s="1295"/>
      <c r="AW10" s="2165"/>
      <c r="AX10" s="1295"/>
      <c r="AY10" s="28"/>
      <c r="AZ10" s="28"/>
      <c r="BA10" s="2199" t="s">
        <v>1890</v>
      </c>
      <c r="BB10" s="2200" t="str">
        <f>I9</f>
        <v>地上</v>
      </c>
      <c r="BC10" s="29" t="str">
        <f>K9</f>
        <v>地下</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1900</v>
      </c>
      <c r="AE11" s="1822"/>
      <c r="AF11" s="2204" t="s">
        <v>1900</v>
      </c>
      <c r="AG11" s="1822"/>
      <c r="AH11" s="2204" t="s">
        <v>1901</v>
      </c>
      <c r="AI11" s="2205"/>
      <c r="AJ11" s="2204" t="s">
        <v>1901</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t="str">
        <f>K10</f>
        <v>车库</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9"/>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7" t="s">
        <v>1903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3061</v>
      </c>
      <c r="D13" s="2213" t="s">
        <v>3062</v>
      </c>
      <c r="E13" s="16">
        <f>IF($C$3="是",ROUND($A$3*G13/$B$3,2),ROUND($A$3*(G13-AT13)/$B$3,2))</f>
        <v>7239.82</v>
      </c>
      <c r="F13" s="32"/>
      <c r="G13" s="33">
        <f>H13+AC13+AT13</f>
        <v>15452.4</v>
      </c>
      <c r="H13" s="20">
        <f>SUMIF(I$12:AB$12,"总值",I13:AB13)</f>
        <v>15452.4</v>
      </c>
      <c r="I13" s="2214">
        <v>15452.4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1号楼</v>
      </c>
      <c r="AY13" s="1809">
        <f>ROUND($AY$6*AZ13/$AZ$5,2)</f>
        <v>7239.82</v>
      </c>
      <c r="AZ13" s="16">
        <f>BA13+BL13</f>
        <v>15452.4</v>
      </c>
      <c r="BA13" s="16">
        <f>SUM(BB13:BK13)</f>
        <v>15452.4</v>
      </c>
      <c r="BB13" s="16">
        <f>IF($D13="是",I13-J13,0)</f>
        <v>15452.4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t="s">
        <v>3064</v>
      </c>
      <c r="D14" s="2213" t="s">
        <v>3062</v>
      </c>
      <c r="E14" s="16">
        <f>IF($C$3="是",ROUND($A$3*G14/$B$3,2),ROUND($A$3*(G14-AT14)/$B$3,2))</f>
        <v>1921.39</v>
      </c>
      <c r="F14" s="32"/>
      <c r="G14" s="33">
        <f>H14+AC14+AT14</f>
        <v>4100.9399999999996</v>
      </c>
      <c r="H14" s="20">
        <f>SUMIF(I$12:AB$12,"总值",I14:AB14)</f>
        <v>4100.9399999999996</v>
      </c>
      <c r="I14" s="2214">
        <v>4100.9399999999996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2号楼</v>
      </c>
      <c r="AY14" s="1809">
        <f>ROUND($AY$6*AZ14/$AZ$5,2)</f>
        <v>1921.39</v>
      </c>
      <c r="AZ14" s="16">
        <f>BA14+BL14</f>
        <v>4100.9399999999996</v>
      </c>
      <c r="BA14" s="16">
        <f>SUM(BB14:BK14)</f>
        <v>4100.9399999999996</v>
      </c>
      <c r="BB14" s="16">
        <f>IF($D14="是",I14-J14,0)</f>
        <v>4100.9399999999996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t="s">
        <v>3192</v>
      </c>
      <c r="D15" s="2213" t="s">
        <v>3188</v>
      </c>
      <c r="E15" s="16">
        <f>IF($C$3="是",ROUND($A$3*G15/$B$3,2),ROUND($A$3*(G15-AT15)/$B$3,2))</f>
        <v>13764.69</v>
      </c>
      <c r="F15" s="32"/>
      <c r="G15" s="33">
        <f>H15+AC15+AT15</f>
        <v>29378.809999999998</v>
      </c>
      <c r="H15" s="20">
        <f>SUMIF(I$12:AB$12,"总值",I15:AB15)</f>
        <v>11789.81</v>
      </c>
      <c r="I15" s="2214">
        <v>11789.81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17589</v>
      </c>
      <c r="AD15" s="2215"/>
      <c r="AE15" s="2215"/>
      <c r="AF15" s="2215"/>
      <c r="AG15" s="2215"/>
      <c r="AH15" s="2215"/>
      <c r="AI15" s="2215"/>
      <c r="AJ15" s="2215"/>
      <c r="AK15" s="2215"/>
      <c r="AL15" s="2215">
        <v>29</v>
      </c>
      <c r="AM15" s="2215"/>
      <c r="AN15" s="2215">
        <f>17560</f>
        <v>17560</v>
      </c>
      <c r="AO15" s="2215"/>
      <c r="AP15" s="2215"/>
      <c r="AQ15" s="2215"/>
      <c r="AR15" s="2215"/>
      <c r="AS15" s="2215"/>
      <c r="AT15" s="2216"/>
      <c r="AU15" s="2217"/>
      <c r="AV15" s="11">
        <f t="shared" si="6"/>
        <v>0</v>
      </c>
      <c r="AW15" s="11">
        <f t="shared" si="6"/>
        <v>0</v>
      </c>
      <c r="AX15" s="11" t="str">
        <f t="shared" si="6"/>
        <v>6-11号楼</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9" sqref="H2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1929</v>
      </c>
      <c r="B1" s="1395"/>
      <c r="C1" s="1395"/>
      <c r="D1" s="1395"/>
      <c r="E1" s="1395"/>
      <c r="F1" s="1395"/>
      <c r="G1" s="1395"/>
      <c r="H1" s="1395"/>
      <c r="I1" s="1395"/>
      <c r="J1" s="1395"/>
      <c r="K1" s="1395"/>
      <c r="L1" s="1395"/>
      <c r="M1" s="1395"/>
      <c r="N1" s="1395"/>
      <c r="O1" s="1395"/>
      <c r="P1" s="1395"/>
    </row>
    <row r="2" spans="1:16" ht="15">
      <c r="A2" s="3042" t="s">
        <v>1930</v>
      </c>
      <c r="B2" s="3042"/>
      <c r="C2" s="3042"/>
      <c r="D2" s="970" t="s">
        <v>1906</v>
      </c>
      <c r="E2" s="2227" t="s">
        <v>1907</v>
      </c>
      <c r="F2" s="1395"/>
      <c r="G2" s="2228"/>
      <c r="H2" s="2229"/>
      <c r="I2" s="2230" t="s">
        <v>1931</v>
      </c>
      <c r="J2" s="1395"/>
      <c r="K2" s="1395"/>
      <c r="L2" s="1395"/>
      <c r="M2" s="1395"/>
      <c r="N2" s="1430"/>
      <c r="O2" s="1395"/>
      <c r="P2" s="1395"/>
    </row>
    <row r="3" spans="1:16" ht="15.75" thickBot="1">
      <c r="A3" s="3043" t="s">
        <v>1904</v>
      </c>
      <c r="B3" s="3043"/>
      <c r="C3" s="3043"/>
      <c r="D3" s="46">
        <f>'数据-基础表'!AY6</f>
        <v>9161.2099999999991</v>
      </c>
      <c r="E3" s="46">
        <f>'数据-基础表'!AZ5</f>
        <v>19553.34</v>
      </c>
      <c r="F3" s="1395"/>
      <c r="G3" s="1402"/>
      <c r="H3" s="1250" t="s">
        <v>1905</v>
      </c>
      <c r="I3" s="55">
        <f>ROUND('数据-基础表'!B3/'数据-基础表'!A3,2)</f>
        <v>2.13</v>
      </c>
      <c r="J3" s="1395"/>
      <c r="K3" s="1395"/>
      <c r="L3" s="1395"/>
      <c r="M3" s="1395"/>
      <c r="N3" s="1430"/>
      <c r="O3" s="1395"/>
      <c r="P3" s="1395"/>
    </row>
    <row r="4" spans="1:16" ht="15">
      <c r="A4" s="3044"/>
      <c r="B4" s="3045"/>
      <c r="C4" s="3046"/>
      <c r="D4" s="2231" t="s">
        <v>1906</v>
      </c>
      <c r="E4" s="2232" t="s">
        <v>1907</v>
      </c>
      <c r="F4" s="1395"/>
      <c r="G4" s="2233" t="s">
        <v>1932</v>
      </c>
      <c r="H4" s="1250" t="s">
        <v>1912</v>
      </c>
      <c r="I4" s="55">
        <f>ROUND(SUMIF('数据-基础表'!I9:AS9,"地上",'数据-基础表'!I5:AS5)/'数据-基础表'!A3,2)</f>
        <v>1.37</v>
      </c>
      <c r="J4" s="1395"/>
      <c r="K4" s="1395"/>
      <c r="L4" s="1395"/>
      <c r="M4" s="1395"/>
      <c r="N4" s="1430"/>
      <c r="O4" s="1395"/>
      <c r="P4" s="1395"/>
    </row>
    <row r="5" spans="1:16">
      <c r="A5" s="47" t="s">
        <v>1908</v>
      </c>
      <c r="B5" s="3047" t="s">
        <v>1909</v>
      </c>
      <c r="C5" s="3047"/>
      <c r="D5" s="48">
        <f>ROUND($D$3*E5/$E$3,2)</f>
        <v>0</v>
      </c>
      <c r="E5" s="49">
        <f>SUMIF('数据-基础表'!$11:$11,"住宅",'数据-基础表'!$5:$5)</f>
        <v>0</v>
      </c>
      <c r="F5" s="1395"/>
      <c r="G5" s="1402"/>
      <c r="H5" s="1250" t="s">
        <v>1905</v>
      </c>
      <c r="I5" s="55">
        <f>ROUND(E31/D31,2)</f>
        <v>2.13</v>
      </c>
      <c r="J5" s="1395"/>
      <c r="K5" s="1395"/>
      <c r="L5" s="1395"/>
      <c r="M5" s="1395"/>
      <c r="N5" s="1395"/>
      <c r="O5" s="1395"/>
      <c r="P5" s="1395"/>
    </row>
    <row r="6" spans="1:16" ht="15" thickBot="1">
      <c r="A6" s="2234"/>
      <c r="B6" s="3047" t="s">
        <v>1910</v>
      </c>
      <c r="C6" s="3047"/>
      <c r="D6" s="48">
        <f>ROUND($D$3*E6/$E$3,2)</f>
        <v>9161.2099999999991</v>
      </c>
      <c r="E6" s="49">
        <f>E3-E5</f>
        <v>19553.34</v>
      </c>
      <c r="F6" s="1395"/>
      <c r="G6" s="2235" t="s">
        <v>1911</v>
      </c>
      <c r="H6" s="1402" t="s">
        <v>1912</v>
      </c>
      <c r="I6" s="942">
        <f>ROUND(F31/D31,2)</f>
        <v>2.13</v>
      </c>
      <c r="J6" s="1395"/>
      <c r="K6" s="1395"/>
      <c r="L6" s="1395"/>
      <c r="M6" s="1395"/>
      <c r="N6" s="1395"/>
      <c r="O6" s="1395"/>
      <c r="P6" s="1395"/>
    </row>
    <row r="7" spans="1:16" ht="15">
      <c r="A7" s="3039"/>
      <c r="B7" s="3040"/>
      <c r="C7" s="3041"/>
      <c r="D7" s="2231" t="s">
        <v>1906</v>
      </c>
      <c r="E7" s="2236" t="s">
        <v>1913</v>
      </c>
      <c r="F7" s="1395"/>
      <c r="G7" s="2228" t="s">
        <v>1914</v>
      </c>
      <c r="H7" s="64"/>
      <c r="I7" s="420">
        <v>1.99</v>
      </c>
      <c r="J7" s="1395"/>
      <c r="K7" s="1395"/>
      <c r="L7" s="1395"/>
      <c r="M7" s="1395"/>
      <c r="N7" s="1395"/>
      <c r="O7" s="1395"/>
      <c r="P7" s="1395"/>
    </row>
    <row r="8" spans="1:16">
      <c r="A8" s="47" t="s">
        <v>1915</v>
      </c>
      <c r="B8" s="50" t="s">
        <v>1916</v>
      </c>
      <c r="C8" s="48" t="s">
        <v>1917</v>
      </c>
      <c r="D8" s="48">
        <f t="shared" ref="D8:D15" si="0">ROUND($D$3*E8/$E$3,2)</f>
        <v>9161.2099999999991</v>
      </c>
      <c r="E8" s="51">
        <f>SUMIF('数据-基础表'!BB10:BK10,"地上",'数据-基础表'!BB5:BK5)</f>
        <v>19553.34</v>
      </c>
      <c r="F8" s="1395"/>
      <c r="G8" s="2237"/>
      <c r="H8" s="2237"/>
      <c r="I8" s="1395"/>
      <c r="J8" s="1395"/>
      <c r="K8" s="1395"/>
      <c r="L8" s="1395"/>
      <c r="M8" s="1395"/>
      <c r="N8" s="1395"/>
      <c r="O8" s="1395"/>
      <c r="P8" s="1395"/>
    </row>
    <row r="9" spans="1:16">
      <c r="A9" s="2238"/>
      <c r="B9" s="2239"/>
      <c r="C9" s="48" t="s">
        <v>1918</v>
      </c>
      <c r="D9" s="48">
        <f t="shared" si="0"/>
        <v>0</v>
      </c>
      <c r="E9" s="52">
        <v>0</v>
      </c>
      <c r="F9" s="1395"/>
      <c r="G9" s="2237"/>
      <c r="H9" s="2237"/>
      <c r="I9" s="1395"/>
      <c r="J9" s="1395"/>
      <c r="K9" s="1395"/>
      <c r="L9" s="1395"/>
      <c r="M9" s="1395"/>
      <c r="N9" s="1395"/>
      <c r="O9" s="1395"/>
      <c r="P9" s="1395"/>
    </row>
    <row r="10" spans="1:16">
      <c r="A10" s="2238"/>
      <c r="B10" s="2239"/>
      <c r="C10" s="48" t="s">
        <v>1927</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1919</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1920</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1921</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1933</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1928</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1922</v>
      </c>
      <c r="D16" s="50">
        <f>SUM(D8:D15)</f>
        <v>9161.2099999999991</v>
      </c>
      <c r="E16" s="53">
        <f>SUM(E8:E15)</f>
        <v>19553.34</v>
      </c>
      <c r="F16" s="1395"/>
      <c r="G16" s="2237"/>
      <c r="H16" s="2240" t="s">
        <v>1934</v>
      </c>
      <c r="I16" s="2241"/>
      <c r="J16" s="1395"/>
      <c r="K16" s="3036" t="s">
        <v>1934</v>
      </c>
      <c r="L16" s="3037"/>
      <c r="M16" s="3037"/>
      <c r="N16" s="3037"/>
      <c r="O16" s="3037"/>
      <c r="P16" s="3038"/>
    </row>
    <row r="17" spans="1:19" ht="15">
      <c r="A17" s="2242" t="s">
        <v>1935</v>
      </c>
      <c r="B17" s="2243" t="s">
        <v>1936</v>
      </c>
      <c r="C17" s="2244" t="s">
        <v>1937</v>
      </c>
      <c r="D17" s="2245" t="s">
        <v>1925</v>
      </c>
      <c r="E17" s="2246" t="s">
        <v>1926</v>
      </c>
      <c r="F17" s="2247"/>
      <c r="G17" s="2248"/>
      <c r="H17" s="2249" t="s">
        <v>1938</v>
      </c>
      <c r="I17" s="2250" t="s">
        <v>1923</v>
      </c>
      <c r="J17" s="1395"/>
      <c r="K17" s="3033" t="s">
        <v>1939</v>
      </c>
      <c r="L17" s="3034"/>
      <c r="M17" s="3035"/>
      <c r="N17" s="3033" t="s">
        <v>1940</v>
      </c>
      <c r="O17" s="3034"/>
      <c r="P17" s="3035"/>
      <c r="R17" s="2228" t="s">
        <v>1941</v>
      </c>
      <c r="S17" s="64"/>
    </row>
    <row r="18" spans="1:19" ht="15">
      <c r="A18" s="2238"/>
      <c r="B18" s="2251"/>
      <c r="C18" s="2252"/>
      <c r="D18" s="2253"/>
      <c r="E18" s="2254" t="s">
        <v>1942</v>
      </c>
      <c r="F18" s="2255" t="s">
        <v>1943</v>
      </c>
      <c r="G18" s="2256" t="s">
        <v>1944</v>
      </c>
      <c r="H18" s="1265" t="s">
        <v>1945</v>
      </c>
      <c r="I18" s="2257" t="s">
        <v>1946</v>
      </c>
      <c r="J18" s="1395"/>
      <c r="K18" s="1265" t="s">
        <v>1947</v>
      </c>
      <c r="L18" s="2258" t="s">
        <v>1948</v>
      </c>
      <c r="M18" s="1049" t="s">
        <v>1949</v>
      </c>
      <c r="N18" s="1265" t="s">
        <v>1947</v>
      </c>
      <c r="O18" s="2258" t="s">
        <v>1948</v>
      </c>
      <c r="P18" s="1049" t="s">
        <v>1949</v>
      </c>
      <c r="R18" s="1250" t="s">
        <v>1950</v>
      </c>
      <c r="S18" s="1250" t="s">
        <v>1951</v>
      </c>
    </row>
    <row r="19" spans="1:19">
      <c r="A19" s="2259"/>
      <c r="B19" s="50" t="s">
        <v>1924</v>
      </c>
      <c r="C19" s="2948" t="s">
        <v>3065</v>
      </c>
      <c r="D19" s="48">
        <f>ROUND($D$3*E19/$E$3,2)</f>
        <v>9161.2099999999991</v>
      </c>
      <c r="E19" s="56">
        <f t="shared" ref="E19:E26" si="1">SUM(F19:G19)</f>
        <v>19553.34</v>
      </c>
      <c r="F19" s="57">
        <f>'数据-基础表'!I13+'数据-基础表'!I14</f>
        <v>19553.34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9161.2099999999991</v>
      </c>
      <c r="S19" s="1251">
        <f t="shared" si="5"/>
        <v>19553.34</v>
      </c>
    </row>
    <row r="20" spans="1:19">
      <c r="A20" s="2263"/>
      <c r="B20" s="50" t="s">
        <v>1952</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1952</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1953</v>
      </c>
      <c r="D27" s="1396">
        <f>SUM(D19:D26)</f>
        <v>9161.2099999999991</v>
      </c>
      <c r="E27" s="1397">
        <f>IF(SUM(E19:E26)='数据-基础表'!BA5,SUM(E19:E26),IF(F27="地上面积有误","面积有误","地下面积有误"))</f>
        <v>19553.34</v>
      </c>
      <c r="F27" s="1396">
        <f>IF(SUM(F19:F26)=E8,SUM(F19:F26),"地上面积有误")</f>
        <v>19553.34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9161.2099999999991</v>
      </c>
      <c r="S27" s="1250">
        <f>IF(SUM(S19:S26)=$E$3,SUM(S19:S26),SUM(S19:S26)&amp;"误差"&amp;ROUND(SUM(S19:S26)-E3,2))</f>
        <v>19553.34</v>
      </c>
    </row>
    <row r="28" spans="1:19">
      <c r="A28" s="2263"/>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1954</v>
      </c>
      <c r="C29" s="2267"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1957</v>
      </c>
      <c r="D31" s="729">
        <f>D27+D30</f>
        <v>9161.2099999999991</v>
      </c>
      <c r="E31" s="729">
        <f>E27+E30</f>
        <v>19553.34</v>
      </c>
      <c r="F31" s="730">
        <f>F27+F30</f>
        <v>19553.34</v>
      </c>
      <c r="G31" s="731">
        <f>G27+G30</f>
        <v>0</v>
      </c>
      <c r="H31" s="1395"/>
      <c r="I31" s="1395"/>
      <c r="J31" s="1395"/>
      <c r="K31" s="1395"/>
      <c r="L31" s="1395"/>
      <c r="M31" s="1395"/>
      <c r="N31" s="1395"/>
      <c r="O31" s="1395"/>
      <c r="P31" s="1395"/>
    </row>
    <row r="32" spans="1:19">
      <c r="A32" s="2233"/>
      <c r="B32" s="2233" t="s">
        <v>1958</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1960</v>
      </c>
      <c r="B2" s="1269">
        <f>项目基本情况!D3</f>
        <v>43473</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4" t="s">
        <v>1965</v>
      </c>
      <c r="AA4" s="2244"/>
      <c r="AB4" s="2244"/>
      <c r="AC4" s="2244"/>
      <c r="AD4" s="2244"/>
      <c r="AE4" s="2242" t="s">
        <v>1966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1967</v>
      </c>
      <c r="B5" s="2290" t="s">
        <v>1968</v>
      </c>
      <c r="C5" s="2291" t="s">
        <v>1969</v>
      </c>
      <c r="D5" s="2292" t="s">
        <v>1970</v>
      </c>
      <c r="E5" s="1271" t="s">
        <v>1971</v>
      </c>
      <c r="F5" s="2293" t="s">
        <v>1972</v>
      </c>
      <c r="G5" s="1271" t="s">
        <v>1973</v>
      </c>
      <c r="H5" s="1271" t="s">
        <v>1974</v>
      </c>
      <c r="I5" s="1271" t="s">
        <v>1975</v>
      </c>
      <c r="J5" s="2294" t="s">
        <v>1976</v>
      </c>
      <c r="K5" s="2295" t="s">
        <v>1977</v>
      </c>
      <c r="L5" s="2296" t="s">
        <v>1978</v>
      </c>
      <c r="M5" s="2297" t="s">
        <v>1979</v>
      </c>
      <c r="N5" s="2298" t="s">
        <v>3066</v>
      </c>
      <c r="O5" s="2296" t="s">
        <v>1980</v>
      </c>
      <c r="P5" s="2299" t="s">
        <v>1981</v>
      </c>
      <c r="Q5" s="69" t="s">
        <v>1982</v>
      </c>
      <c r="R5" s="2300" t="s">
        <v>1983</v>
      </c>
      <c r="S5" s="2301" t="s">
        <v>1984</v>
      </c>
      <c r="T5" s="2302" t="s">
        <v>1985</v>
      </c>
      <c r="U5" s="1270" t="s">
        <v>1986</v>
      </c>
      <c r="V5" s="1271" t="s">
        <v>1987</v>
      </c>
      <c r="W5" s="1271" t="s">
        <v>1988</v>
      </c>
      <c r="X5" s="71"/>
      <c r="Y5" s="70" t="s">
        <v>1989</v>
      </c>
      <c r="Z5" s="2303" t="s">
        <v>1986</v>
      </c>
      <c r="AA5" s="1271" t="s">
        <v>1987</v>
      </c>
      <c r="AB5" s="1271" t="s">
        <v>1988</v>
      </c>
      <c r="AC5" s="71"/>
      <c r="AD5" s="71" t="s">
        <v>1989</v>
      </c>
      <c r="AE5" s="1270" t="s">
        <v>1990</v>
      </c>
      <c r="AF5" s="1271" t="s">
        <v>1991</v>
      </c>
      <c r="AG5" s="70" t="s">
        <v>1992</v>
      </c>
      <c r="AH5" s="1270" t="s">
        <v>1993</v>
      </c>
      <c r="AI5" s="2303" t="s">
        <v>1994</v>
      </c>
      <c r="AJ5" s="2303" t="s">
        <v>1995</v>
      </c>
      <c r="AK5" s="1271" t="s">
        <v>1996</v>
      </c>
      <c r="AL5" s="1271" t="s">
        <v>1997</v>
      </c>
      <c r="AM5" s="70" t="s">
        <v>1998</v>
      </c>
      <c r="AN5" s="2304" t="s">
        <v>1999</v>
      </c>
      <c r="AO5" s="2074" t="s">
        <v>2000</v>
      </c>
      <c r="AP5" s="1252" t="s">
        <v>2001</v>
      </c>
      <c r="AQ5" s="2305" t="s">
        <v>2002</v>
      </c>
      <c r="AR5" s="2305" t="s">
        <v>2003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v>
      </c>
      <c r="B6" s="2307" t="str">
        <f>IF(A6=0,"","经营性")</f>
        <v>经营性</v>
      </c>
      <c r="C6" s="2308" t="s">
        <v>6</v>
      </c>
      <c r="D6" s="1054">
        <f>SUMIF(项目基本情况!D$12:I$12,C6,项目基本情况!D$14:I$14)</f>
        <v>50</v>
      </c>
      <c r="E6" s="1051">
        <f>IF(B6="","",SUMIF(项目基本情况!D$12:I$12,C6,项目基本情况!D$13:I$13))</f>
        <v>56477</v>
      </c>
      <c r="F6" s="72">
        <f>SUMIF(项目基本情况!D$12:I$12,C6,项目基本情况!D$15:I$15)</f>
        <v>35.619999999999997</v>
      </c>
      <c r="G6" s="73">
        <f>IF(ISERROR(ROUND(POWER(1+H6,D6-F6)*(POWER(1+H6,F6)-1)/(POWER(1+H6,D6)-1),3)),0,ROUND(POWER(1+H6,D6-F6)*(POWER(1+H6,F6)-1)/(POWER(1+H6,D6)-1),3))</f>
        <v>0.89</v>
      </c>
      <c r="H6" s="802">
        <v>4.4999999999999998E-2</v>
      </c>
      <c r="I6" s="802">
        <v>5.5E-2</v>
      </c>
      <c r="J6" s="74">
        <v>8.5000000000000006E-2</v>
      </c>
      <c r="K6" s="1254">
        <f>SUMIF('数据-汇总表'!C$19:C$33,A6,'数据-汇总表'!E$19:E$33)</f>
        <v>19553.34</v>
      </c>
      <c r="L6" s="803">
        <f>Sheet1!C4</f>
        <v>2756</v>
      </c>
      <c r="M6" s="75">
        <f t="shared" ref="M6:M14" si="0">ROUND(K6*L6/10000,0)</f>
        <v>5389</v>
      </c>
      <c r="N6" s="801">
        <f>ROUND(1-(2018-2015)/60,2)</f>
        <v>0.95</v>
      </c>
      <c r="O6" s="75" t="str">
        <f>IF($N$5="成新度","——",ROUND(M6*N6,0))</f>
        <v>——</v>
      </c>
      <c r="P6" s="76" t="str">
        <f>IF($N$5="成新度","——",M6-O6)</f>
        <v>——</v>
      </c>
      <c r="Q6" s="804">
        <f>Sheet1!$F$10</f>
        <v>0.15</v>
      </c>
      <c r="R6" s="77">
        <f ca="1">SUMIF('数据-汇总表'!C$19:C$33,A6,'数据-汇总表'!R$19:R$27)</f>
        <v>9161.2099999999991</v>
      </c>
      <c r="S6" s="54">
        <f>IF('数据-汇总表'!$I$17="按面积比例",SUMIF('数据-汇总表'!C$19:C$33,A6,'数据-汇总表'!K$19:K$33),SUMIF('数据-汇总表'!C$19:C$33,A6,'数据-汇总表'!N$19:N$33))</f>
        <v>0</v>
      </c>
      <c r="T6" s="1446">
        <f>ROUND($L$14*S6/10000,0)</f>
        <v>0</v>
      </c>
      <c r="U6" s="78">
        <f>Sheet1!C10</f>
        <v>2.2999999999999998</v>
      </c>
      <c r="V6" s="79">
        <v>2.5000000000000001E-2</v>
      </c>
      <c r="W6" s="79">
        <v>0.1</v>
      </c>
      <c r="X6" s="1264"/>
      <c r="Y6" s="80">
        <f>N6</f>
        <v>0.95</v>
      </c>
      <c r="Z6" s="81"/>
      <c r="AA6" s="74"/>
      <c r="AB6" s="74"/>
      <c r="AC6" s="1264"/>
      <c r="AD6" s="82"/>
      <c r="AE6" s="1265">
        <f ca="1">IF(AN6="",0,SUMIF(INDIRECT("'"&amp;AN6&amp;"'"&amp;"!E:E"),$AE$5,INDIRECT("'"&amp;AN6&amp;"'"&amp;"!F:F")))</f>
        <v>35.619999999999997</v>
      </c>
      <c r="AF6" s="1807"/>
      <c r="AG6" s="147">
        <f>IF(AF6="",0,AE6-AF6)</f>
        <v>0</v>
      </c>
      <c r="AH6" s="83"/>
      <c r="AI6" s="85">
        <v>365</v>
      </c>
      <c r="AJ6" s="86"/>
      <c r="AK6" s="87">
        <v>1.4999999999999999E-2</v>
      </c>
      <c r="AL6" s="88">
        <v>1.5E-3</v>
      </c>
      <c r="AM6" s="89">
        <v>0.01</v>
      </c>
      <c r="AN6" s="2309" t="s">
        <v>3067</v>
      </c>
      <c r="AO6" s="55">
        <f ca="1">SUMIF(INDIRECT("'"&amp;AN6&amp;"'"&amp;"!A:A"),"总价",INDIRECT("'"&amp;AN6&amp;"'"&amp;"!B:B"))</f>
        <v>23009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2004</v>
      </c>
      <c r="B14" s="2307" t="s">
        <v>2005</v>
      </c>
      <c r="C14" s="2312"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2006</v>
      </c>
      <c r="B15" s="2307" t="s">
        <v>2005</v>
      </c>
      <c r="C15" s="2312"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2008</v>
      </c>
      <c r="B16" s="97"/>
      <c r="C16" s="1008"/>
      <c r="D16" s="2314"/>
      <c r="E16" s="97"/>
      <c r="F16" s="97"/>
      <c r="G16" s="98">
        <f>ROUND(SUMPRODUCT(G6:G13,K6:K13)/SUMPRODUCT((G6:G13&gt;0)*(K6:K13)),3)</f>
        <v>0.89</v>
      </c>
      <c r="H16" s="99">
        <f>ROUND(SUMPRODUCT(H6:H13,K6:K13)/SUMPRODUCT((H6:H13&gt;0)*(K6:K13)),3)</f>
        <v>4.4999999999999998E-2</v>
      </c>
      <c r="I16" s="100"/>
      <c r="J16" s="100"/>
      <c r="K16" s="101">
        <f>SUM(K6:K15)</f>
        <v>19553.34</v>
      </c>
      <c r="L16" s="102">
        <f>ROUND(M16*10000/SUM(K6:K14),0)</f>
        <v>2756</v>
      </c>
      <c r="M16" s="102">
        <f>SUM(M6:M14)</f>
        <v>5389</v>
      </c>
      <c r="N16" s="103">
        <f>ROUND(SUMPRODUCT(M6:M14,N6:N14)/M16,3)</f>
        <v>0.95</v>
      </c>
      <c r="O16" s="102">
        <f>SUM(O6:O14)</f>
        <v>0</v>
      </c>
      <c r="P16" s="102">
        <f>SUM(P6:P14)</f>
        <v>0</v>
      </c>
      <c r="Q16" s="104">
        <f>ROUND(SUMPRODUCT(Q6:Q13,K6:K13)/SUMPRODUCT((Q6:Q13&gt;0)*(K6:K13)),2)</f>
        <v>0.15</v>
      </c>
      <c r="R16" s="1258">
        <f ca="1">SUM(R6:R13)</f>
        <v>9161.2099999999991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2010</v>
      </c>
      <c r="B19" s="112">
        <v>0</v>
      </c>
      <c r="C19" s="2277" t="s">
        <v>2011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2012</v>
      </c>
      <c r="B20" s="113">
        <v>2</v>
      </c>
      <c r="C20" s="2277" t="s">
        <v>2013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2014</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2015</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2016</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2017</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2018</v>
      </c>
      <c r="B26" s="2320" t="s">
        <v>2019</v>
      </c>
      <c r="C26" s="2321" t="s">
        <v>2020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2021</v>
      </c>
      <c r="B27" s="116">
        <v>0</v>
      </c>
      <c r="C27" s="1767" t="s">
        <v>2022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2023</v>
      </c>
      <c r="B28" s="119">
        <v>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2024</v>
      </c>
      <c r="B29" s="121">
        <f ca="1">成本法!C10</f>
        <v>0</v>
      </c>
      <c r="C29" s="1767" t="s">
        <v>2025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2028</v>
      </c>
      <c r="B32" s="725"/>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2029</v>
      </c>
      <c r="B33" s="726">
        <v>0.03</v>
      </c>
      <c r="C33" s="1766" t="s">
        <v>2030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2031</v>
      </c>
      <c r="B34" s="122">
        <v>0</v>
      </c>
      <c r="C34" s="1766" t="s">
        <v>2032</v>
      </c>
      <c r="D34" s="2278" t="s">
        <v>2033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2034</v>
      </c>
      <c r="B35" s="119">
        <v>200</v>
      </c>
      <c r="C35" s="1766" t="s">
        <v>2035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2036</v>
      </c>
      <c r="B36" s="123">
        <v>1.4999999999999999E-2</v>
      </c>
      <c r="C36" s="1766" t="s">
        <v>2037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2038</v>
      </c>
      <c r="B37" s="124">
        <v>0.02</v>
      </c>
      <c r="C37" s="1766" t="s">
        <v>2039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2040</v>
      </c>
      <c r="B38" s="122">
        <v>0.02</v>
      </c>
      <c r="C38" s="1766" t="s">
        <v>2039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2042</v>
      </c>
      <c r="B40" s="1303">
        <f ca="1">存贷款利率!G1</f>
        <v>4.7500000000000001E-2</v>
      </c>
      <c r="C40" s="1766" t="s">
        <v>2043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2047</v>
      </c>
      <c r="B44" s="128">
        <v>7.0000000000000007E-2</v>
      </c>
      <c r="C44" s="1766" t="s">
        <v>2048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2049</v>
      </c>
      <c r="B45" s="126">
        <v>0.03</v>
      </c>
      <c r="C45" s="1767" t="s">
        <v>2050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2051</v>
      </c>
      <c r="B46" s="126">
        <v>0.02</v>
      </c>
      <c r="C46" s="1767" t="s">
        <v>2052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2053</v>
      </c>
      <c r="B47" s="129">
        <v>0</v>
      </c>
      <c r="C47" s="1767" t="s">
        <v>2054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2055</v>
      </c>
      <c r="B48" s="130">
        <v>0.03</v>
      </c>
      <c r="C48" s="1774" t="s">
        <v>2056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2057</v>
      </c>
      <c r="B49" s="126">
        <v>5.0000000000000001E-4</v>
      </c>
      <c r="C49" s="1774" t="s">
        <v>2058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2059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2061</v>
      </c>
      <c r="B52" s="133">
        <f>SUMIF(A54:A63,B53,B54:B63)</f>
        <v>1.5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2062</v>
      </c>
      <c r="B53" s="2336" t="s">
        <v>56</v>
      </c>
      <c r="C53" s="1430" t="s">
        <v>2063</v>
      </c>
      <c r="D53" s="2337" t="s">
        <v>2064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2065</v>
      </c>
      <c r="B54" s="84">
        <f>C54</f>
        <v>30</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2066</v>
      </c>
      <c r="B55" s="84">
        <f t="shared" ref="B55:B59" si="12">C55</f>
        <v>24</v>
      </c>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2067</v>
      </c>
      <c r="B56" s="84">
        <f t="shared" si="12"/>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2068</v>
      </c>
      <c r="B57" s="84">
        <f t="shared" si="12"/>
        <v>12</v>
      </c>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2069</v>
      </c>
      <c r="B58" s="84">
        <f t="shared" si="12"/>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2070</v>
      </c>
      <c r="B59" s="84">
        <f t="shared" si="12"/>
        <v>1.5</v>
      </c>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8" t="s">
        <v>2075</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2076</v>
      </c>
      <c r="D2" s="2366"/>
      <c r="E2" s="2367"/>
      <c r="F2" s="2286"/>
      <c r="G2" s="2365" t="s">
        <v>2077</v>
      </c>
      <c r="H2" s="2368"/>
      <c r="I2" s="2368"/>
      <c r="J2" s="2368"/>
      <c r="K2" s="2368"/>
      <c r="L2" s="2368"/>
      <c r="M2" s="2368"/>
      <c r="N2" s="2368"/>
      <c r="O2" s="2368"/>
      <c r="P2" s="2368"/>
      <c r="Q2" s="2368"/>
      <c r="R2" s="2368"/>
    </row>
    <row r="3" spans="1:29" ht="54">
      <c r="A3" s="415" t="s">
        <v>2078</v>
      </c>
      <c r="B3" s="1271" t="s">
        <v>2079</v>
      </c>
      <c r="C3" s="2370" t="s">
        <v>2080</v>
      </c>
      <c r="D3" s="2371"/>
      <c r="E3" s="431" t="s">
        <v>2078</v>
      </c>
      <c r="F3" s="2372" t="s">
        <v>2081</v>
      </c>
      <c r="G3" s="2373" t="s">
        <v>2082</v>
      </c>
      <c r="H3" s="2368"/>
      <c r="I3" s="2368"/>
      <c r="J3" s="2368"/>
      <c r="K3" s="2368"/>
      <c r="L3" s="2368"/>
      <c r="M3" s="2368"/>
      <c r="N3" s="2368"/>
      <c r="O3" s="2368"/>
      <c r="P3" s="2368"/>
      <c r="Q3" s="2368"/>
      <c r="R3" s="2368"/>
    </row>
    <row r="4" spans="1:29" ht="41.25">
      <c r="A4" s="431"/>
      <c r="B4" s="1798" t="s">
        <v>2083</v>
      </c>
      <c r="C4" s="2374" t="s">
        <v>2084</v>
      </c>
      <c r="D4" s="2371"/>
      <c r="E4" s="2375"/>
      <c r="F4" s="42" t="s">
        <v>2085</v>
      </c>
      <c r="G4" s="2376" t="s">
        <v>2086</v>
      </c>
      <c r="H4" s="2368"/>
      <c r="I4" s="2368"/>
      <c r="J4" s="2368"/>
      <c r="K4" s="2368"/>
      <c r="L4" s="2368"/>
      <c r="M4" s="2368"/>
      <c r="N4" s="2368"/>
      <c r="O4" s="2368"/>
      <c r="P4" s="2368"/>
      <c r="Q4" s="2368"/>
      <c r="R4" s="2368"/>
    </row>
    <row r="5" spans="1:29" ht="41.25">
      <c r="A5" s="431"/>
      <c r="B5" s="1798" t="s">
        <v>2087</v>
      </c>
      <c r="C5" s="2374" t="s">
        <v>2088</v>
      </c>
      <c r="D5" s="2371"/>
      <c r="E5" s="2375"/>
      <c r="F5" s="1798" t="s">
        <v>2089</v>
      </c>
      <c r="G5" s="2376" t="s">
        <v>2090</v>
      </c>
      <c r="H5" s="2368"/>
      <c r="I5" s="2368"/>
      <c r="J5" s="2368"/>
      <c r="K5" s="2368"/>
      <c r="L5" s="2368"/>
      <c r="M5" s="2368"/>
      <c r="N5" s="2368"/>
      <c r="O5" s="2368"/>
      <c r="P5" s="2368"/>
      <c r="Q5" s="2368"/>
      <c r="R5" s="2368"/>
    </row>
    <row r="6" spans="1:29" ht="54">
      <c r="A6" s="431"/>
      <c r="B6" s="1798" t="s">
        <v>2091</v>
      </c>
      <c r="C6" s="2376" t="s">
        <v>2086</v>
      </c>
      <c r="D6" s="2371"/>
      <c r="E6" s="2375"/>
      <c r="F6" s="1798" t="s">
        <v>2092</v>
      </c>
      <c r="G6" s="2376" t="s">
        <v>2093</v>
      </c>
      <c r="H6" s="2368"/>
      <c r="I6" s="2368"/>
      <c r="J6" s="2368"/>
      <c r="K6" s="2368"/>
      <c r="L6" s="2368"/>
      <c r="M6" s="2368"/>
      <c r="N6" s="2368"/>
      <c r="O6" s="2368"/>
      <c r="P6" s="2368"/>
      <c r="Q6" s="2368"/>
      <c r="R6" s="2368"/>
    </row>
    <row r="7" spans="1:29" ht="41.25" thickBot="1">
      <c r="A7" s="431"/>
      <c r="B7" s="1798" t="s">
        <v>2089</v>
      </c>
      <c r="C7" s="2376" t="s">
        <v>2090</v>
      </c>
      <c r="D7" s="2377"/>
      <c r="E7" s="2378"/>
      <c r="F7" s="2379" t="s">
        <v>2094</v>
      </c>
      <c r="G7" s="2380" t="s">
        <v>2095</v>
      </c>
      <c r="H7" s="2368"/>
      <c r="I7" s="2368"/>
      <c r="J7" s="2368"/>
      <c r="K7" s="2368"/>
      <c r="L7" s="2368"/>
      <c r="M7" s="2368"/>
      <c r="N7" s="2368"/>
      <c r="O7" s="2368"/>
      <c r="P7" s="2368"/>
      <c r="Q7" s="2368"/>
      <c r="R7" s="2368"/>
    </row>
    <row r="8" spans="1:29" ht="27">
      <c r="A8" s="431"/>
      <c r="B8" s="1798" t="s">
        <v>2092</v>
      </c>
      <c r="C8" s="2376" t="s">
        <v>2093</v>
      </c>
      <c r="D8" s="2377"/>
      <c r="E8" s="2377"/>
      <c r="F8" s="1136"/>
      <c r="G8" s="1136"/>
      <c r="H8" s="2368"/>
      <c r="I8" s="2368"/>
      <c r="J8" s="2368"/>
      <c r="K8" s="2368"/>
      <c r="L8" s="2368"/>
      <c r="M8" s="2368"/>
      <c r="N8" s="2368"/>
      <c r="O8" s="2368"/>
      <c r="P8" s="2368"/>
      <c r="Q8" s="2368"/>
      <c r="R8" s="2368"/>
    </row>
    <row r="9" spans="1:29" ht="27">
      <c r="A9" s="431"/>
      <c r="B9" s="1798" t="s">
        <v>2096</v>
      </c>
      <c r="C9" s="2374" t="s">
        <v>2097</v>
      </c>
      <c r="D9" s="2371"/>
      <c r="E9" s="2377"/>
      <c r="F9" s="1136"/>
      <c r="G9" s="1136"/>
      <c r="H9" s="2368"/>
      <c r="I9" s="2368"/>
      <c r="J9" s="2368"/>
      <c r="K9" s="2368"/>
      <c r="L9" s="2368"/>
      <c r="M9" s="2368"/>
      <c r="N9" s="2368"/>
      <c r="O9" s="2368"/>
      <c r="P9" s="2368"/>
      <c r="Q9" s="2368"/>
      <c r="R9" s="2368"/>
    </row>
    <row r="10" spans="1:29" s="117" customFormat="1" ht="15.75" thickBot="1">
      <c r="A10" s="2381"/>
      <c r="B10" s="2382" t="s">
        <v>2098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2099</v>
      </c>
      <c r="B13" s="2388"/>
      <c r="C13" s="2388"/>
      <c r="D13" s="2395"/>
      <c r="E13" s="2388"/>
      <c r="F13" s="2388"/>
      <c r="G13" s="2388"/>
    </row>
    <row r="14" spans="1:29" ht="15.75" thickBot="1">
      <c r="A14" s="2399"/>
      <c r="B14" s="2400"/>
      <c r="C14" s="2401" t="s">
        <v>2100</v>
      </c>
      <c r="D14" s="2371"/>
      <c r="E14" s="2402"/>
      <c r="F14" s="2402"/>
      <c r="G14" s="2365" t="s">
        <v>2101</v>
      </c>
    </row>
    <row r="15" spans="1:29" ht="57">
      <c r="A15" s="68" t="s">
        <v>2102</v>
      </c>
      <c r="B15" s="1270" t="s">
        <v>2079</v>
      </c>
      <c r="C15" s="2403" t="str">
        <f>C3</f>
        <v>估价对象周边居住用地比例、居住小区规模和社区发展完善程度，综合评价居住社区成熟度一般</v>
      </c>
      <c r="D15" s="2371"/>
      <c r="E15" s="2404" t="s">
        <v>2103</v>
      </c>
      <c r="F15" s="1270" t="s">
        <v>2104</v>
      </c>
      <c r="G15" s="135" t="str">
        <f>G3</f>
        <v>估价对象位于XX开发区，园区建设成熟度XX，产业集聚程度XX</v>
      </c>
    </row>
    <row r="16" spans="1:29" ht="42.75">
      <c r="A16" s="645"/>
      <c r="B16" s="2405" t="s">
        <v>2083</v>
      </c>
      <c r="C16" s="2406" t="str">
        <f>C4</f>
        <v>估价对象位于XX商圈，周边商业氛围成熟，人流量大，商业繁华度好</v>
      </c>
      <c r="D16" s="2371"/>
      <c r="E16" s="2407"/>
      <c r="F16" s="2408" t="s">
        <v>2085</v>
      </c>
      <c r="G16" s="136" t="str">
        <f>G4</f>
        <v>估价对象周边道路状况、公共交通通达情况、停车便捷程度，综合评价交通便捷度较好</v>
      </c>
    </row>
    <row r="17" spans="1:18" ht="42.75">
      <c r="A17" s="645"/>
      <c r="B17" s="2405" t="s">
        <v>2087</v>
      </c>
      <c r="C17" s="2406" t="str">
        <f>C5</f>
        <v>估价对象位于XX商圈，周边办公楼项目较多，入驻率高，办公集聚程度较好</v>
      </c>
      <c r="D17" s="2377"/>
      <c r="E17" s="2407"/>
      <c r="F17" s="2408" t="s">
        <v>2105</v>
      </c>
      <c r="G17" s="1572"/>
    </row>
    <row r="18" spans="1:18" ht="57">
      <c r="A18" s="645"/>
      <c r="B18" s="2408" t="s">
        <v>2091</v>
      </c>
      <c r="C18" s="136" t="str">
        <f>C6</f>
        <v>估价对象周边道路状况、公共交通通达情况、停车便捷程度，综合评价交通便捷度较好</v>
      </c>
      <c r="D18" s="2377"/>
      <c r="E18" s="2407"/>
      <c r="F18" s="2408" t="s">
        <v>2094</v>
      </c>
      <c r="G18" s="136" t="str">
        <f>G7</f>
        <v>该园区内是否有污染型企业，绿化情况，卫生条件，整体环境状况判断</v>
      </c>
    </row>
    <row r="19" spans="1:18" ht="28.5">
      <c r="A19" s="645"/>
      <c r="B19" s="2408" t="s">
        <v>2106</v>
      </c>
      <c r="C19" s="1572"/>
      <c r="D19" s="2371"/>
      <c r="E19" s="2407"/>
      <c r="F19" s="1798" t="s">
        <v>2089</v>
      </c>
      <c r="G19" s="136" t="str">
        <f>G5</f>
        <v>估价对象所在区域公共配套设施齐备情况</v>
      </c>
    </row>
    <row r="20" spans="1:18" ht="28.5">
      <c r="A20" s="645"/>
      <c r="B20" s="2408" t="s">
        <v>2107</v>
      </c>
      <c r="C20" s="2406" t="str">
        <f>C9</f>
        <v>区域自然环境：；人文环境；综合评价环境状况一般</v>
      </c>
      <c r="D20" s="2377"/>
      <c r="E20" s="2407"/>
      <c r="F20" s="1798" t="s">
        <v>2108</v>
      </c>
      <c r="G20" s="136" t="str">
        <f>G6</f>
        <v>估价对象所在区域基础设施水平</v>
      </c>
    </row>
    <row r="21" spans="1:18" ht="28.5">
      <c r="A21" s="645"/>
      <c r="B21" s="1798" t="s">
        <v>2089</v>
      </c>
      <c r="C21" s="136" t="str">
        <f>C7</f>
        <v>估价对象所在区域公共配套设施齐备情况</v>
      </c>
      <c r="D21" s="2371"/>
      <c r="E21" s="2407"/>
      <c r="F21" s="2408" t="s">
        <v>2109</v>
      </c>
      <c r="G21" s="2409"/>
    </row>
    <row r="22" spans="1:18" ht="13.5" customHeight="1">
      <c r="A22" s="645"/>
      <c r="B22" s="1798" t="s">
        <v>2092</v>
      </c>
      <c r="C22" s="136" t="str">
        <f>C8</f>
        <v>估价对象所在区域基础设施水平</v>
      </c>
      <c r="D22" s="2371"/>
      <c r="E22" s="2407"/>
      <c r="F22" s="2408" t="s">
        <v>2098</v>
      </c>
      <c r="G22" s="1572"/>
    </row>
    <row r="23" spans="1:18" s="2368" customFormat="1" ht="15.75" thickBot="1">
      <c r="A23" s="645"/>
      <c r="B23" s="2408" t="s">
        <v>2109</v>
      </c>
      <c r="C23" s="2409"/>
      <c r="D23" s="2396"/>
      <c r="E23" s="2410"/>
      <c r="F23" s="2411" t="s">
        <v>2110</v>
      </c>
      <c r="G23" s="2412"/>
      <c r="H23" s="2396"/>
      <c r="I23" s="2397"/>
      <c r="J23" s="2396"/>
      <c r="K23" s="2396"/>
      <c r="L23" s="2397"/>
      <c r="M23" s="2396"/>
      <c r="N23" s="2396"/>
      <c r="O23" s="2397"/>
      <c r="P23" s="2396"/>
      <c r="Q23" s="2396"/>
      <c r="R23" s="2398"/>
    </row>
    <row r="24" spans="1:18" s="2368" customFormat="1" ht="15.75" thickBot="1">
      <c r="A24" s="2413"/>
      <c r="B24" s="2411" t="s">
        <v>2111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48932.149999999994</v>
      </c>
      <c r="C1" s="1745"/>
      <c r="D1" s="1745"/>
      <c r="E1" s="1745"/>
      <c r="F1" s="1745"/>
      <c r="G1" s="1743"/>
    </row>
    <row r="2" spans="1:10" ht="16.5">
      <c r="A2" s="1746" t="s">
        <v>1349</v>
      </c>
      <c r="B2" s="1746">
        <f>SUM(C14:C23)</f>
        <v>22925.9</v>
      </c>
      <c r="C2" s="1745"/>
      <c r="D2" s="1745"/>
      <c r="E2" s="1745"/>
      <c r="F2" s="1745"/>
      <c r="G2" s="1743"/>
    </row>
    <row r="3" spans="1:10" ht="16.5">
      <c r="A3" s="1746" t="s">
        <v>1358</v>
      </c>
      <c r="B3" s="1747">
        <f>项目基本情况!D3</f>
        <v>43473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20903</v>
      </c>
      <c r="C5" s="1746">
        <f ca="1">ROUND(B5*10000/$B$1,0)</f>
        <v>4272</v>
      </c>
      <c r="D5" s="1746">
        <f ca="1">ROUND(B5*10000/$B$2,0)</f>
        <v>9118</v>
      </c>
      <c r="E5" s="1745"/>
      <c r="F5" s="1743"/>
      <c r="G5" s="1743"/>
    </row>
    <row r="6" spans="1:10" ht="16.5">
      <c r="A6" s="1746" t="s">
        <v>1352</v>
      </c>
      <c r="B6" s="1746">
        <f ca="1">SUM(G14:G23)</f>
        <v>20903</v>
      </c>
      <c r="C6" s="1746">
        <f ca="1">ROUND(B6*10000/$B$1,0)</f>
        <v>4272</v>
      </c>
      <c r="D6" s="1746">
        <f ca="1">ROUND(B6*10000/$B$2,0)</f>
        <v>9118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19553.34</v>
      </c>
      <c r="C14" s="1744">
        <f>结果表!C118</f>
        <v>9161.2099999999991</v>
      </c>
      <c r="D14" s="1744">
        <f ca="1">结果表!H118</f>
        <v>18435</v>
      </c>
      <c r="E14" s="1744">
        <f ca="1">ROUND(D14*10000/B14,0)</f>
        <v>9428</v>
      </c>
      <c r="F14" s="1744">
        <f ca="1">ROUND(D14*10000/C14,0)</f>
        <v>20123</v>
      </c>
      <c r="G14" s="1744">
        <f ca="1">结果表!D122</f>
        <v>18435</v>
      </c>
      <c r="H14" s="1744" t="str">
        <f>结果表!D124</f>
        <v>——</v>
      </c>
      <c r="I14" s="1744" t="str">
        <f>结果表!D126</f>
        <v>——</v>
      </c>
      <c r="J14" s="1743"/>
    </row>
    <row r="15" spans="1:10" ht="16.5">
      <c r="A15" s="1742" t="s">
        <v>1345</v>
      </c>
      <c r="B15" s="1749">
        <f>[1]系统读取表!$B$14</f>
        <v>29378.809999999998</v>
      </c>
      <c r="C15" s="1749">
        <f>[1]系统读取表!$C$14</f>
        <v>13764.69</v>
      </c>
      <c r="D15" s="1749">
        <f>[1]系统读取表!$D$14</f>
        <v>2468</v>
      </c>
      <c r="E15" s="1744">
        <f t="shared" ref="E15:E23" si="0">ROUND(D15*10000/B15,0)</f>
        <v>840</v>
      </c>
      <c r="F15" s="1744">
        <f t="shared" ref="F15:F23" si="1">ROUND(D15*10000/C15,0)</f>
        <v>1793</v>
      </c>
      <c r="G15" s="1750">
        <f>[1]系统读取表!$G$14</f>
        <v>2468</v>
      </c>
      <c r="H15" s="1750" t="str">
        <f>[1]系统读取表!$H$14</f>
        <v>——</v>
      </c>
      <c r="I15" s="1749" t="str">
        <f>[1]系统读取表!$I$14</f>
        <v>——</v>
      </c>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D118" sqref="D118:G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2112</v>
      </c>
      <c r="B1" s="2419"/>
      <c r="C1" s="2420" t="s">
        <v>6</v>
      </c>
      <c r="D1" s="2419"/>
      <c r="E1" s="2419"/>
      <c r="F1" s="2421" t="s">
        <v>2113</v>
      </c>
      <c r="G1" s="2071" t="s">
        <v>3054</v>
      </c>
      <c r="H1" s="2422" t="str">
        <f>IF(G1="现房","——","估价对象范围")</f>
        <v>——</v>
      </c>
      <c r="I1" s="2423" t="s">
        <v>3200</v>
      </c>
    </row>
    <row r="2" spans="1:12" ht="21.75" customHeight="1" thickBot="1">
      <c r="A2" s="3122" t="str">
        <f>项目基本情况!S2</f>
        <v>北京市安祥街6号院1号楼1至3层101；2号楼1至5层101房地产</v>
      </c>
      <c r="B2" s="3123"/>
      <c r="C2" s="3123"/>
      <c r="D2" s="3123"/>
      <c r="E2" s="3123"/>
      <c r="F2" s="3123"/>
      <c r="G2" s="3123"/>
      <c r="H2" s="3123"/>
      <c r="I2" s="3124"/>
    </row>
    <row r="3" spans="1:12" ht="12.75">
      <c r="A3" s="3125" t="s">
        <v>2114</v>
      </c>
      <c r="B3" s="3126"/>
      <c r="C3" s="3126"/>
      <c r="D3" s="3126"/>
      <c r="E3" s="3126"/>
      <c r="F3" s="3126"/>
      <c r="G3" s="3126"/>
      <c r="H3" s="3126"/>
      <c r="I3" s="3126"/>
    </row>
    <row r="4" spans="1:12" ht="14.25">
      <c r="A4" s="2426" t="s">
        <v>2115</v>
      </c>
      <c r="B4" s="2427" t="s">
        <v>2116</v>
      </c>
      <c r="C4" s="2428" t="s">
        <v>3068</v>
      </c>
      <c r="D4" s="2428" t="s">
        <v>3067</v>
      </c>
      <c r="E4" s="3106" t="s">
        <v>2117</v>
      </c>
      <c r="F4" s="3119"/>
      <c r="G4" s="3119"/>
      <c r="H4" s="3119"/>
      <c r="I4" s="310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7" t="s">
        <v>2118</v>
      </c>
      <c r="B5" s="3023">
        <v>25</v>
      </c>
      <c r="C5" s="3127"/>
      <c r="D5" s="3115"/>
      <c r="E5" s="140" t="s">
        <v>2119</v>
      </c>
      <c r="F5" s="2430"/>
      <c r="G5" s="2430"/>
      <c r="H5" s="2430"/>
      <c r="I5" s="1834"/>
    </row>
    <row r="6" spans="1:12" ht="12.75">
      <c r="A6" s="3097"/>
      <c r="B6" s="3023"/>
      <c r="C6" s="3129"/>
      <c r="D6" s="3115"/>
      <c r="E6" s="140" t="s">
        <v>2120</v>
      </c>
      <c r="F6" s="2430"/>
      <c r="G6" s="2430"/>
      <c r="H6" s="2430"/>
      <c r="I6" s="1834"/>
    </row>
    <row r="7" spans="1:12" ht="12.75">
      <c r="A7" s="3097"/>
      <c r="B7" s="3023"/>
      <c r="C7" s="3128"/>
      <c r="D7" s="3115"/>
      <c r="E7" s="140" t="s">
        <v>2121</v>
      </c>
      <c r="F7" s="2430"/>
      <c r="G7" s="2430"/>
      <c r="H7" s="2430"/>
      <c r="I7" s="1834"/>
    </row>
    <row r="8" spans="1:12" ht="12.75">
      <c r="A8" s="3097" t="s">
        <v>2122</v>
      </c>
      <c r="B8" s="3023">
        <v>15</v>
      </c>
      <c r="C8" s="3127"/>
      <c r="D8" s="3115"/>
      <c r="E8" s="140" t="s">
        <v>2123</v>
      </c>
      <c r="F8" s="2430"/>
      <c r="G8" s="2430"/>
      <c r="H8" s="2430"/>
      <c r="I8" s="1834"/>
    </row>
    <row r="9" spans="1:12" ht="12.75">
      <c r="A9" s="3097"/>
      <c r="B9" s="3023"/>
      <c r="C9" s="3128"/>
      <c r="D9" s="3115"/>
      <c r="E9" s="140" t="s">
        <v>2124</v>
      </c>
      <c r="F9" s="2430"/>
      <c r="G9" s="2430"/>
      <c r="H9" s="2430"/>
      <c r="I9" s="1834"/>
    </row>
    <row r="10" spans="1:12" ht="12.75">
      <c r="A10" s="3097" t="s">
        <v>2125</v>
      </c>
      <c r="B10" s="3023">
        <v>15</v>
      </c>
      <c r="C10" s="3127"/>
      <c r="D10" s="3115"/>
      <c r="E10" s="140" t="s">
        <v>2126</v>
      </c>
      <c r="F10" s="2430"/>
      <c r="G10" s="2430"/>
      <c r="H10" s="2430"/>
      <c r="I10" s="1834"/>
    </row>
    <row r="11" spans="1:12" ht="12.75">
      <c r="A11" s="3097"/>
      <c r="B11" s="3023"/>
      <c r="C11" s="3128"/>
      <c r="D11" s="3115"/>
      <c r="E11" s="140" t="s">
        <v>2127</v>
      </c>
      <c r="F11" s="2430"/>
      <c r="G11" s="2430"/>
      <c r="H11" s="2430"/>
      <c r="I11" s="1834"/>
    </row>
    <row r="12" spans="1:12" ht="12.75">
      <c r="A12" s="3097" t="s">
        <v>2128</v>
      </c>
      <c r="B12" s="3023">
        <v>15</v>
      </c>
      <c r="C12" s="3127"/>
      <c r="D12" s="3115"/>
      <c r="E12" s="140" t="s">
        <v>2129</v>
      </c>
      <c r="F12" s="2430"/>
      <c r="G12" s="2430"/>
      <c r="H12" s="2430"/>
      <c r="I12" s="1834"/>
    </row>
    <row r="13" spans="1:12" ht="12.75">
      <c r="A13" s="3097"/>
      <c r="B13" s="3023"/>
      <c r="C13" s="3128"/>
      <c r="D13" s="3115"/>
      <c r="E13" s="140" t="s">
        <v>2130</v>
      </c>
      <c r="F13" s="2430"/>
      <c r="G13" s="2430"/>
      <c r="H13" s="2430"/>
      <c r="I13" s="1834"/>
    </row>
    <row r="14" spans="1:12" ht="12.75">
      <c r="A14" s="3097" t="s">
        <v>2131</v>
      </c>
      <c r="B14" s="3023">
        <v>30</v>
      </c>
      <c r="C14" s="3127">
        <v>4</v>
      </c>
      <c r="D14" s="3115">
        <v>6</v>
      </c>
      <c r="E14" s="140" t="s">
        <v>2132</v>
      </c>
      <c r="F14" s="2430"/>
      <c r="G14" s="2430"/>
      <c r="H14" s="2430"/>
      <c r="I14" s="1834"/>
    </row>
    <row r="15" spans="1:12" ht="12.75">
      <c r="A15" s="3097"/>
      <c r="B15" s="3023"/>
      <c r="C15" s="3129"/>
      <c r="D15" s="3115"/>
      <c r="E15" s="140" t="s">
        <v>2133</v>
      </c>
      <c r="F15" s="2430"/>
      <c r="G15" s="2430"/>
      <c r="H15" s="2430"/>
      <c r="I15" s="1834"/>
    </row>
    <row r="16" spans="1:12" ht="12.75">
      <c r="A16" s="3097"/>
      <c r="B16" s="3023"/>
      <c r="C16" s="3128"/>
      <c r="D16" s="3115"/>
      <c r="E16" s="140" t="s">
        <v>2134</v>
      </c>
      <c r="F16" s="2430"/>
      <c r="G16" s="2430"/>
      <c r="H16" s="2430"/>
      <c r="I16" s="1834"/>
    </row>
    <row r="17" spans="1:35" ht="15">
      <c r="A17" s="2431" t="s">
        <v>2135</v>
      </c>
      <c r="B17" s="64"/>
      <c r="C17" s="141">
        <f>SUM(C5:C16)</f>
        <v>4</v>
      </c>
      <c r="D17" s="141">
        <f>SUM(D5:D16)</f>
        <v>6</v>
      </c>
      <c r="E17" s="138"/>
      <c r="F17" s="138"/>
      <c r="G17" s="138"/>
      <c r="H17" s="138"/>
      <c r="I17" s="138"/>
      <c r="K17" s="2429"/>
      <c r="L17" s="2432" t="s">
        <v>2136</v>
      </c>
      <c r="M17" s="2432" t="s">
        <v>2137</v>
      </c>
    </row>
    <row r="18" spans="1:35" ht="15.75" thickBot="1">
      <c r="A18" s="2433" t="s">
        <v>2138</v>
      </c>
      <c r="B18" s="2434"/>
      <c r="C18" s="142">
        <f>ROUND(C17/SUM(C17:D17),2)</f>
        <v>0.4</v>
      </c>
      <c r="D18" s="142">
        <f>1-C18</f>
        <v>0.6</v>
      </c>
      <c r="E18" s="138"/>
      <c r="F18" s="138"/>
      <c r="G18" s="138"/>
      <c r="H18" s="138"/>
      <c r="I18" s="138"/>
      <c r="K18" s="2429" t="s">
        <v>2139</v>
      </c>
      <c r="L18" s="2429">
        <f>IF(C1="",'数据-汇总表'!E3,SUMIF(项目类型,C1,'数据-汇总表'!E17:E26)+SUMIF(项目类型,C1,'数据-汇总表'!I17:I26))</f>
        <v>19553.34</v>
      </c>
      <c r="M18" s="2429">
        <f>IF(C1="",'数据-汇总表'!E3,SUMIF(项目类型,C1,'数据-汇总表'!E17:E26))</f>
        <v>19553.34</v>
      </c>
    </row>
    <row r="19" spans="1:35" ht="15">
      <c r="A19" s="2435" t="s">
        <v>2140</v>
      </c>
      <c r="B19" s="2436" t="s">
        <v>2141</v>
      </c>
      <c r="C19" s="143">
        <f ca="1">SUMIF(INDIRECT("'"&amp;C4&amp;"'"&amp;"!A:A"),结果表!B19,INDIRECT("'"&amp;C4&amp;"'"&amp;"!B:B"))</f>
        <v>11573</v>
      </c>
      <c r="D19" s="144">
        <f ca="1">SUMIF(INDIRECT("'"&amp;D4&amp;"'"&amp;"!A:A"),结果表!B19,INDIRECT("'"&amp;D4&amp;"'"&amp;"!B:B"))</f>
        <v>23009</v>
      </c>
      <c r="E19" s="2435" t="s">
        <v>2142</v>
      </c>
      <c r="F19" s="2436" t="s">
        <v>2141</v>
      </c>
      <c r="G19" s="145">
        <f ca="1">ROUND(C19*$C$18+D19*$D$18,0)</f>
        <v>18435</v>
      </c>
      <c r="H19" s="2437" t="s">
        <v>2143</v>
      </c>
      <c r="I19" s="138"/>
      <c r="K19" s="2429" t="s">
        <v>2144</v>
      </c>
      <c r="L19" s="2429">
        <f>IF(C1="",'数据-汇总表'!D3,SUMIF(项目类型,C1,'数据-汇总表'!D17:D26)+SUMIF(项目类型,C1,'数据-汇总表'!H17:H27))</f>
        <v>9161.2099999999991</v>
      </c>
      <c r="M19" s="2429">
        <f>IF(C1="",'数据-汇总表'!D3,SUMIF(项目类型,C1,'数据-汇总表'!D17:D26))</f>
        <v>9161.2099999999991</v>
      </c>
    </row>
    <row r="20" spans="1:35" ht="15">
      <c r="A20" s="2438"/>
      <c r="B20" s="1250" t="s">
        <v>2145</v>
      </c>
      <c r="C20" s="146">
        <f ca="1">SUMIF(INDIRECT("'"&amp;C4&amp;"'"&amp;"!A:A"),结果表!B20,INDIRECT("'"&amp;C4&amp;"'"&amp;"!B:B"))</f>
        <v>5919</v>
      </c>
      <c r="D20" s="147">
        <f ca="1">SUMIF(INDIRECT("'"&amp;D4&amp;"'"&amp;"!A:A"),结果表!B20,INDIRECT("'"&amp;D4&amp;"'"&amp;"!B:B"))</f>
        <v>11767</v>
      </c>
      <c r="E20" s="2438"/>
      <c r="F20" s="1250" t="s">
        <v>2145</v>
      </c>
      <c r="G20" s="148">
        <f ca="1">ROUND(C20*$C$18+D20*$D$18,0)</f>
        <v>9428</v>
      </c>
      <c r="H20" s="983" t="s">
        <v>2146</v>
      </c>
      <c r="I20" s="138"/>
    </row>
    <row r="21" spans="1:35" ht="15" customHeight="1" thickBot="1">
      <c r="A21" s="1003"/>
      <c r="B21" s="2439" t="s">
        <v>2147</v>
      </c>
      <c r="C21" s="789">
        <f ca="1">ROUND(C19*10000/L19,0)</f>
        <v>12633</v>
      </c>
      <c r="D21" s="790">
        <f ca="1">ROUND(D19*10000/L19,0)</f>
        <v>25116</v>
      </c>
      <c r="E21" s="1003"/>
      <c r="F21" s="2439" t="s">
        <v>2147</v>
      </c>
      <c r="G21" s="149">
        <f ca="1">ROUND(G19*10000/L19,0)</f>
        <v>20123</v>
      </c>
      <c r="H21" s="2440" t="s">
        <v>2146</v>
      </c>
      <c r="I21" s="138"/>
    </row>
    <row r="22" spans="1:35" ht="15" thickBot="1">
      <c r="A22" s="2281" t="s">
        <v>2148</v>
      </c>
      <c r="B22" s="2441"/>
      <c r="C22" s="2442"/>
      <c r="D22" s="791">
        <f ca="1">IF(C19&lt;D19,D19/C19-1,C19/D19-1)</f>
        <v>0.98816210144301397</v>
      </c>
      <c r="E22" s="138"/>
      <c r="F22" s="138"/>
      <c r="G22" s="138"/>
      <c r="H22" s="138"/>
      <c r="I22" s="138"/>
    </row>
    <row r="23" spans="1:35" ht="13.5" thickBot="1">
      <c r="A23" s="2419"/>
      <c r="B23" s="2419"/>
      <c r="C23" s="2419"/>
      <c r="D23" s="2419"/>
      <c r="E23" s="138"/>
      <c r="F23" s="138"/>
      <c r="G23" s="138"/>
      <c r="H23" s="138"/>
      <c r="I23" s="138"/>
    </row>
    <row r="24" spans="1:35" ht="14.25">
      <c r="A24" s="3136" t="s">
        <v>2149</v>
      </c>
      <c r="B24" s="2436" t="s">
        <v>2141</v>
      </c>
      <c r="C24" s="145">
        <f>IF(B30=0,0,D30)</f>
        <v>0</v>
      </c>
      <c r="D24" s="2443"/>
      <c r="E24" s="138"/>
      <c r="F24" s="138"/>
      <c r="G24" s="138"/>
      <c r="H24" s="138"/>
      <c r="I24" s="138"/>
    </row>
    <row r="25" spans="1:35" ht="14.25">
      <c r="A25" s="3137"/>
      <c r="B25" s="1250" t="s">
        <v>2145</v>
      </c>
      <c r="C25" s="150">
        <f>IF(B30=0,0,C30)</f>
        <v>0</v>
      </c>
      <c r="D25" s="2444"/>
      <c r="E25" s="138"/>
      <c r="F25" s="138"/>
      <c r="G25" s="138"/>
      <c r="H25" s="138"/>
      <c r="I25" s="138"/>
    </row>
    <row r="26" spans="1:35" ht="13.5" customHeight="1">
      <c r="A26" s="2445" t="s">
        <v>2150</v>
      </c>
      <c r="B26" s="151" t="s">
        <v>2151</v>
      </c>
      <c r="C26" s="151" t="s">
        <v>2152</v>
      </c>
      <c r="D26" s="152" t="s">
        <v>2153</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2154</v>
      </c>
      <c r="B30" s="151"/>
      <c r="C30" s="151"/>
      <c r="D30" s="151"/>
      <c r="E30" s="292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2155</v>
      </c>
      <c r="B32" s="2449"/>
      <c r="C32" s="153">
        <f ca="1">IF(D32="总价",G19-C24,G20-C25)</f>
        <v>18435</v>
      </c>
      <c r="D32" s="2450" t="s">
        <v>2156</v>
      </c>
      <c r="E32" s="138"/>
      <c r="F32" s="138"/>
      <c r="G32" s="138"/>
      <c r="H32" s="138"/>
      <c r="I32" s="138"/>
    </row>
    <row r="33" spans="1:15" ht="15">
      <c r="A33" s="960" t="s">
        <v>2157</v>
      </c>
      <c r="B33" s="2451"/>
      <c r="C33" s="2452" t="s">
        <v>3181</v>
      </c>
      <c r="D33" s="2453" t="s">
        <v>3068</v>
      </c>
      <c r="E33" s="2454" t="s">
        <v>2158</v>
      </c>
      <c r="F33" s="2455" t="str">
        <f>IF(D32="楼面单价","取值（单价）","取值（总价）")</f>
        <v>取值（总价）</v>
      </c>
      <c r="G33" s="138"/>
      <c r="H33" s="138"/>
      <c r="I33" s="138"/>
    </row>
    <row r="34" spans="1:15" ht="15">
      <c r="A34" s="2456"/>
      <c r="B34" s="2457" t="s">
        <v>2159</v>
      </c>
      <c r="C34" s="157">
        <f ca="1">IF(C33="自定义",F34,C32-C35)</f>
        <v>6379</v>
      </c>
      <c r="D34" s="1058">
        <f ca="1">IF(C33="自定义",ROUND(C34/C32,3),IF(C33="收益比率",SUMIF(INDIRECT("'"&amp;D33&amp;"'"&amp;"!b:b"),"土地收益比率",INDIRECT("'"&amp;D33&amp;"'"&amp;"!c:c")),SUMIF(INDIRECT("'"&amp;D33&amp;"'"&amp;"!b:b"),"土地成本比率",INDIRECT("'"&amp;D33&amp;"'"&amp;"!c:c"))))</f>
        <v>0.34599999999999997</v>
      </c>
      <c r="E34" s="2458" t="s">
        <v>2160</v>
      </c>
      <c r="F34" s="1739"/>
      <c r="G34" s="138"/>
      <c r="H34" s="138"/>
      <c r="I34" s="138"/>
    </row>
    <row r="35" spans="1:15" ht="15.75" thickBot="1">
      <c r="A35" s="2459"/>
      <c r="B35" s="2460" t="s">
        <v>2161</v>
      </c>
      <c r="C35" s="1444">
        <f ca="1">IF(C33="自定义",F35,ROUND(C32*D35,0))</f>
        <v>12056</v>
      </c>
      <c r="D35" s="1445">
        <f ca="1">IF(C33="自定义",ROUND(C35/C32,3),IF(C33="收益比率",SUMIF(INDIRECT("'"&amp;D33&amp;"'"&amp;"!b:b"),"建筑物收益比率",INDIRECT("'"&amp;D33&amp;"'"&amp;"!c:c")),SUMIF(INDIRECT("'"&amp;D33&amp;"'"&amp;"!b:b"),"建筑物成本比率",INDIRECT("'"&amp;D33&amp;"'"&amp;"!c:c"))))</f>
        <v>0.65400000000000003</v>
      </c>
      <c r="E35" s="2461" t="s">
        <v>2162</v>
      </c>
      <c r="F35" s="163"/>
      <c r="G35" s="138"/>
      <c r="H35" s="138"/>
      <c r="I35" s="138"/>
    </row>
    <row r="36" spans="1:15" ht="15.75" thickBot="1">
      <c r="A36" s="3116" t="s">
        <v>2163</v>
      </c>
      <c r="B36" s="2462" t="s">
        <v>2164</v>
      </c>
      <c r="C36" s="154"/>
      <c r="D36" s="2463"/>
      <c r="E36" s="2464"/>
      <c r="F36" s="2465"/>
      <c r="G36" s="138"/>
      <c r="H36" s="138"/>
      <c r="I36" s="138"/>
    </row>
    <row r="37" spans="1:15" ht="15.75" thickBot="1">
      <c r="A37" s="3117"/>
      <c r="B37" s="2267" t="s">
        <v>2165</v>
      </c>
      <c r="C37" s="156"/>
      <c r="D37" s="1395"/>
      <c r="E37" s="1395"/>
      <c r="F37" s="2465"/>
      <c r="G37" s="138"/>
      <c r="H37" s="138"/>
      <c r="I37" s="138"/>
    </row>
    <row r="38" spans="1:15" ht="15.75" thickBot="1">
      <c r="A38" s="3118"/>
      <c r="B38" s="2466" t="s">
        <v>2166</v>
      </c>
      <c r="C38" s="727"/>
      <c r="D38" s="2467" t="s">
        <v>2167</v>
      </c>
      <c r="E38" s="1395"/>
      <c r="F38" s="2465"/>
      <c r="G38" s="138"/>
      <c r="H38" s="138"/>
      <c r="I38" s="138"/>
    </row>
    <row r="39" spans="1:15" ht="15">
      <c r="A39" s="2438" t="s">
        <v>2168</v>
      </c>
      <c r="B39" s="2468" t="s">
        <v>2169</v>
      </c>
      <c r="C39" s="2469" t="s">
        <v>2170</v>
      </c>
      <c r="D39" s="2469" t="s">
        <v>2171</v>
      </c>
      <c r="E39" s="2470" t="s">
        <v>2172</v>
      </c>
      <c r="F39" s="2465"/>
      <c r="G39" s="138"/>
      <c r="H39" s="138"/>
      <c r="I39" s="138"/>
    </row>
    <row r="40" spans="1:15" ht="14.25">
      <c r="A40" s="2471" t="s">
        <v>2173</v>
      </c>
      <c r="B40" s="158"/>
      <c r="C40" s="159"/>
      <c r="D40" s="159"/>
      <c r="E40" s="160"/>
      <c r="F40" s="2465"/>
      <c r="G40" s="138"/>
      <c r="H40" s="138"/>
      <c r="I40" s="138"/>
    </row>
    <row r="41" spans="1:15" ht="14.25">
      <c r="A41" s="2471" t="s">
        <v>2174</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2175</v>
      </c>
      <c r="B44" s="2476"/>
      <c r="C44" s="2476"/>
      <c r="D44" s="2477"/>
      <c r="E44" s="2477"/>
      <c r="F44" s="2478"/>
      <c r="G44" s="2478"/>
      <c r="H44" s="2478"/>
      <c r="I44" s="2478"/>
      <c r="J44" s="2479" t="s">
        <v>2176</v>
      </c>
      <c r="K44" s="2480"/>
      <c r="L44" s="2480"/>
      <c r="M44" s="2480"/>
      <c r="N44" s="2480"/>
      <c r="O44" s="2480"/>
    </row>
    <row r="45" spans="1:15" ht="14.25" customHeight="1" thickBot="1">
      <c r="A45" s="3133" t="s">
        <v>2177</v>
      </c>
      <c r="B45" s="3134"/>
      <c r="C45" s="3135"/>
      <c r="D45" s="164">
        <f ca="1">ROUND(H101*F45,0)</f>
        <v>18435</v>
      </c>
      <c r="E45" s="165" t="s">
        <v>2178</v>
      </c>
      <c r="F45" s="166">
        <v>1</v>
      </c>
      <c r="G45" s="167" t="s">
        <v>2179</v>
      </c>
      <c r="H45" s="138"/>
      <c r="I45" s="138"/>
      <c r="J45" s="3052" t="s">
        <v>2180</v>
      </c>
      <c r="K45" s="3052"/>
      <c r="L45" s="3052"/>
      <c r="M45" s="3052"/>
      <c r="N45" s="3052"/>
      <c r="O45" s="3052"/>
    </row>
    <row r="46" spans="1:15" ht="14.25" customHeight="1">
      <c r="A46" s="3130" t="s">
        <v>2181</v>
      </c>
      <c r="B46" s="3131"/>
      <c r="C46" s="3131"/>
      <c r="D46" s="3131"/>
      <c r="E46" s="3131"/>
      <c r="F46" s="3131"/>
      <c r="G46" s="3132"/>
      <c r="H46" s="2481"/>
      <c r="I46" s="168"/>
      <c r="J46" s="1812">
        <v>1</v>
      </c>
      <c r="K46" s="3052" t="s">
        <v>2182</v>
      </c>
      <c r="L46" s="3052"/>
      <c r="M46" s="3053"/>
      <c r="N46" s="3053"/>
      <c r="O46" s="3053"/>
    </row>
    <row r="47" spans="1:15" ht="12" customHeight="1">
      <c r="A47" s="169" t="s">
        <v>2183</v>
      </c>
      <c r="B47" s="170"/>
      <c r="C47" s="171"/>
      <c r="D47" s="172" t="s">
        <v>2184</v>
      </c>
      <c r="E47" s="24" t="s">
        <v>2185</v>
      </c>
      <c r="F47" s="173" t="s">
        <v>2186</v>
      </c>
      <c r="G47" s="174" t="s">
        <v>2187</v>
      </c>
      <c r="H47" s="2481"/>
      <c r="I47" s="168"/>
      <c r="J47" s="1812">
        <v>2</v>
      </c>
      <c r="K47" s="3052" t="s">
        <v>2188</v>
      </c>
      <c r="L47" s="3052"/>
      <c r="M47" s="3054">
        <f>'数据-取费表'!B2</f>
        <v>43473</v>
      </c>
      <c r="N47" s="3054"/>
      <c r="O47" s="3054"/>
    </row>
    <row r="48" spans="1:15" ht="25.5">
      <c r="A48" s="3120" t="s">
        <v>2189</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2" t="s">
        <v>2190</v>
      </c>
      <c r="H48" s="2483" t="s">
        <v>2191</v>
      </c>
      <c r="I48" s="2481"/>
      <c r="J48" s="1812">
        <v>3</v>
      </c>
      <c r="K48" s="3052" t="s">
        <v>2192</v>
      </c>
      <c r="L48" s="3052"/>
      <c r="M48" s="3055">
        <f ca="1">H101</f>
        <v>18435</v>
      </c>
      <c r="N48" s="3055"/>
      <c r="O48" s="3055"/>
    </row>
    <row r="49" spans="1:35" ht="25.5" customHeight="1">
      <c r="A49" s="176" t="s">
        <v>2193</v>
      </c>
      <c r="B49" s="3100" t="s">
        <v>2194</v>
      </c>
      <c r="C49" s="3100"/>
      <c r="D49" s="177">
        <v>0</v>
      </c>
      <c r="E49" s="23" t="s">
        <v>2195</v>
      </c>
      <c r="F49" s="28" t="s">
        <v>34</v>
      </c>
      <c r="G49" s="3081"/>
      <c r="H49" s="138"/>
      <c r="I49" s="2484"/>
      <c r="J49" s="1812">
        <v>4</v>
      </c>
      <c r="K49" s="3052" t="str">
        <f>IF(项目基本情况!E8="房地产抵押价值","房地产抵押价值","抵押担保权已注销时的房地产抵押价值")</f>
        <v>房地产抵押价值</v>
      </c>
      <c r="L49" s="3052"/>
      <c r="M49" s="3055">
        <f ca="1">IF(项目基本情况!E8="房地产抵押价值",H107,H109)</f>
        <v>18435</v>
      </c>
      <c r="N49" s="3055"/>
      <c r="O49" s="3055"/>
    </row>
    <row r="50" spans="1:35" ht="25.5" customHeight="1">
      <c r="A50" s="178"/>
      <c r="B50" s="3100" t="s">
        <v>2196</v>
      </c>
      <c r="C50" s="3100"/>
      <c r="D50" s="179"/>
      <c r="E50" s="31"/>
      <c r="F50" s="180"/>
      <c r="G50" s="3082"/>
      <c r="H50" s="138"/>
      <c r="I50" s="2484"/>
      <c r="J50" s="3052" t="s">
        <v>2197</v>
      </c>
      <c r="K50" s="3052"/>
      <c r="L50" s="3052"/>
      <c r="M50" s="3052"/>
      <c r="N50" s="3052"/>
      <c r="O50" s="3052"/>
    </row>
    <row r="51" spans="1:35" ht="12" customHeight="1">
      <c r="A51" s="181"/>
      <c r="B51" s="3100" t="s">
        <v>2198</v>
      </c>
      <c r="C51" s="3100"/>
      <c r="D51" s="182"/>
      <c r="E51" s="30"/>
      <c r="F51" s="180"/>
      <c r="G51" s="3083"/>
      <c r="H51" s="138"/>
      <c r="I51" s="2484"/>
      <c r="J51" s="2485" t="s">
        <v>2199</v>
      </c>
      <c r="K51" s="3052" t="s">
        <v>2200</v>
      </c>
      <c r="L51" s="3052"/>
      <c r="M51" s="2485" t="s">
        <v>2201</v>
      </c>
      <c r="N51" s="2485" t="s">
        <v>2202</v>
      </c>
      <c r="O51" s="2485" t="s">
        <v>2203</v>
      </c>
    </row>
    <row r="52" spans="1:35" ht="24" customHeight="1">
      <c r="A52" s="183" t="s">
        <v>2204</v>
      </c>
      <c r="B52" s="3100" t="s">
        <v>2205</v>
      </c>
      <c r="C52" s="3100"/>
      <c r="D52" s="182">
        <f ca="1">ROUND(D45*'数据-取费表'!B41/(1+'数据-取费表'!C42),0)</f>
        <v>983</v>
      </c>
      <c r="E52" s="11" t="s">
        <v>2206</v>
      </c>
      <c r="F52" s="184">
        <f>'数据-取费表'!B41</f>
        <v>5.6000000000000001E-2</v>
      </c>
      <c r="G52" s="2486"/>
      <c r="H52" s="138"/>
      <c r="I52" s="2484"/>
      <c r="J52" s="1812">
        <v>1</v>
      </c>
      <c r="K52" s="3075" t="s">
        <v>2207</v>
      </c>
      <c r="L52" s="3075"/>
      <c r="M52" s="1754">
        <f>D48</f>
        <v>0</v>
      </c>
      <c r="N52" s="1812" t="str">
        <f>E48</f>
        <v>销售额×税（费）率</v>
      </c>
      <c r="O52" s="1755" t="str">
        <f>F48</f>
        <v>免征</v>
      </c>
    </row>
    <row r="53" spans="1:35" ht="12" customHeight="1">
      <c r="A53" s="183" t="s">
        <v>2208</v>
      </c>
      <c r="B53" s="3101" t="s">
        <v>2209</v>
      </c>
      <c r="C53" s="3102"/>
      <c r="D53" s="182">
        <f ca="1">ROUND(D45*'数据-取费表'!B41/(1+'数据-取费表'!C42),0)</f>
        <v>983</v>
      </c>
      <c r="E53" s="11" t="s">
        <v>2206</v>
      </c>
      <c r="F53" s="184">
        <f>'数据-取费表'!B41</f>
        <v>5.6000000000000001E-2</v>
      </c>
      <c r="G53" s="2486"/>
      <c r="H53" s="138"/>
      <c r="I53" s="2484"/>
      <c r="J53" s="1812">
        <v>2</v>
      </c>
      <c r="K53" s="3075" t="s">
        <v>2210</v>
      </c>
      <c r="L53" s="3075"/>
      <c r="M53" s="1754">
        <f t="shared" ref="M53:O54" ca="1" si="0">D55</f>
        <v>9</v>
      </c>
      <c r="N53" s="1812" t="str">
        <f t="shared" si="0"/>
        <v>销售额×税（费）率</v>
      </c>
      <c r="O53" s="1755">
        <f t="shared" si="0"/>
        <v>5.0000000000000001E-4</v>
      </c>
    </row>
    <row r="54" spans="1:35" ht="12" customHeight="1">
      <c r="A54" s="183" t="s">
        <v>2211</v>
      </c>
      <c r="B54" s="3101" t="s">
        <v>2212</v>
      </c>
      <c r="C54" s="3102"/>
      <c r="D54" s="182">
        <f ca="1">C68</f>
        <v>983</v>
      </c>
      <c r="E54" s="30" t="s">
        <v>2213</v>
      </c>
      <c r="F54" s="184">
        <f>'数据-取费表'!B41</f>
        <v>5.6000000000000001E-2</v>
      </c>
      <c r="G54" s="2486"/>
      <c r="H54" s="2487"/>
      <c r="I54" s="2484"/>
      <c r="J54" s="1812">
        <v>3</v>
      </c>
      <c r="K54" s="3075" t="s">
        <v>2214</v>
      </c>
      <c r="L54" s="3075"/>
      <c r="M54" s="1754">
        <f t="shared" ca="1" si="0"/>
        <v>10434</v>
      </c>
      <c r="N54" s="1812" t="str">
        <f t="shared" si="0"/>
        <v>增值额×税（费）率</v>
      </c>
      <c r="O54" s="1756" t="str">
        <f t="shared" si="0"/>
        <v>——</v>
      </c>
    </row>
    <row r="55" spans="1:35" ht="24" customHeight="1">
      <c r="A55" s="3139" t="s">
        <v>2215</v>
      </c>
      <c r="B55" s="3121"/>
      <c r="C55" s="3121"/>
      <c r="D55" s="185">
        <f ca="1">IF(H55="个人住宅",0,ROUND(D45*I55,0))</f>
        <v>9</v>
      </c>
      <c r="E55" s="11" t="s">
        <v>2216</v>
      </c>
      <c r="F55" s="184">
        <f>IF(H55="正常",I55,"免征")</f>
        <v>5.0000000000000001E-4</v>
      </c>
      <c r="G55" s="2486"/>
      <c r="H55" s="2483" t="s">
        <v>2217</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4.75">
      <c r="A56" s="3139" t="s">
        <v>2218</v>
      </c>
      <c r="B56" s="3121"/>
      <c r="C56" s="3121"/>
      <c r="D56" s="185">
        <f ca="1">IF(H56="个人住宅",D57,D58)</f>
        <v>10434</v>
      </c>
      <c r="E56" s="11" t="s">
        <v>2219</v>
      </c>
      <c r="F56" s="184" t="str">
        <f>IF(H56="正常",F58,"免征")</f>
        <v>——</v>
      </c>
      <c r="G56" s="2488" t="s">
        <v>2220</v>
      </c>
      <c r="H56" s="2489" t="s">
        <v>2217</v>
      </c>
      <c r="I56" s="2490"/>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2.75">
      <c r="A57" s="183" t="s">
        <v>2193</v>
      </c>
      <c r="B57" s="3106" t="s">
        <v>2221</v>
      </c>
      <c r="C57" s="3107"/>
      <c r="D57" s="187">
        <v>0</v>
      </c>
      <c r="E57" s="23" t="s">
        <v>2195</v>
      </c>
      <c r="F57" s="155"/>
      <c r="G57" s="2486"/>
      <c r="H57" s="2490"/>
      <c r="I57" s="2490"/>
      <c r="J57" s="3075">
        <f>IF(AND(J55="",J56=""),4,IF(项目基本情况!K6="上海银行",结果表!J56+1,结果表!J55+1))</f>
        <v>4</v>
      </c>
      <c r="K57" s="3075" t="s">
        <v>2222</v>
      </c>
      <c r="L57" s="2491" t="s">
        <v>2223</v>
      </c>
      <c r="M57" s="1759"/>
      <c r="N57" s="1760">
        <f ca="1">SUMIF(M52:M56,"&lt;9e307")</f>
        <v>10443</v>
      </c>
      <c r="O57" s="2492"/>
      <c r="P57" s="1753">
        <f ca="1">N57/M49</f>
        <v>0.56647681041497155</v>
      </c>
    </row>
    <row r="58" spans="1:35" ht="24.75">
      <c r="A58" s="183" t="s">
        <v>2204</v>
      </c>
      <c r="B58" s="3106" t="s">
        <v>2224</v>
      </c>
      <c r="C58" s="3119"/>
      <c r="D58" s="185">
        <f ca="1">IF(H58="转让取得",C81,C97)</f>
        <v>10434</v>
      </c>
      <c r="E58" s="11" t="s">
        <v>2219</v>
      </c>
      <c r="F58" s="24" t="s">
        <v>34</v>
      </c>
      <c r="G58" s="2486"/>
      <c r="H58" s="2489" t="s">
        <v>2225</v>
      </c>
      <c r="I58" s="2490"/>
      <c r="J58" s="3075"/>
      <c r="K58" s="3075"/>
      <c r="L58" s="2491" t="s">
        <v>2226</v>
      </c>
      <c r="M58" s="1761"/>
      <c r="N58" s="2493" t="str">
        <f ca="1">NUMBERSTRING(INT(N57*10000),2)&amp;"元整"</f>
        <v>壹亿零肆佰肆拾叁万元整</v>
      </c>
      <c r="O58" s="2494"/>
    </row>
    <row r="59" spans="1:35" ht="24.75" thickBot="1">
      <c r="A59" s="3079" t="s">
        <v>2227</v>
      </c>
      <c r="B59" s="3080"/>
      <c r="C59" s="3080"/>
      <c r="D59" s="188" t="str">
        <f>IF(H59="非个人房产","——",IF(H59="个人住宅",0,ROUND(D45*I59,0)))</f>
        <v>——</v>
      </c>
      <c r="E59" s="189" t="str">
        <f>IF(H59="非个人房产","——","销售额×税（费）率")</f>
        <v>——</v>
      </c>
      <c r="F59" s="190" t="str">
        <f>IF(H59="非个人房产","——",IF(H59="个人住宅","免征",I59))</f>
        <v>——</v>
      </c>
      <c r="G59" s="2495" t="s">
        <v>2220</v>
      </c>
      <c r="H59" s="2489" t="s">
        <v>2228</v>
      </c>
      <c r="I59" s="191">
        <v>0.01</v>
      </c>
      <c r="J59" s="3077">
        <f>J57+1</f>
        <v>5</v>
      </c>
      <c r="K59" s="3075" t="s">
        <v>2229</v>
      </c>
      <c r="L59" s="1812" t="s">
        <v>2223</v>
      </c>
      <c r="M59" s="1762"/>
      <c r="N59" s="1763">
        <f ca="1">M49-N57</f>
        <v>7992</v>
      </c>
      <c r="O59" s="2496"/>
    </row>
    <row r="60" spans="1:35" ht="12" customHeight="1">
      <c r="A60" s="2497"/>
      <c r="B60" s="2419"/>
      <c r="C60" s="2419"/>
      <c r="D60" s="2419"/>
      <c r="E60" s="2166"/>
      <c r="F60" s="2490"/>
      <c r="G60" s="2490"/>
      <c r="H60" s="2498"/>
      <c r="I60" s="138"/>
      <c r="J60" s="3078"/>
      <c r="K60" s="3075"/>
      <c r="L60" s="2491" t="s">
        <v>2226</v>
      </c>
      <c r="M60" s="1761"/>
      <c r="N60" s="2493" t="str">
        <f ca="1">NUMBERSTRING(INT(N59*10000),2)&amp;"元整"</f>
        <v>柒仟玖佰玖拾贰万元整</v>
      </c>
      <c r="O60" s="2494"/>
    </row>
    <row r="61" spans="1:35" ht="13.5" thickBot="1">
      <c r="A61" s="3138" t="s">
        <v>2230</v>
      </c>
      <c r="B61" s="3138"/>
      <c r="C61" s="3138"/>
      <c r="D61" s="3138"/>
      <c r="E61" s="3138"/>
      <c r="F61" s="2490"/>
      <c r="G61" s="2490"/>
      <c r="H61" s="2498"/>
      <c r="I61" s="138"/>
      <c r="J61" s="1812">
        <f>J59+1</f>
        <v>6</v>
      </c>
      <c r="K61" s="3075" t="s">
        <v>2231</v>
      </c>
      <c r="L61" s="3075"/>
      <c r="M61" s="1764"/>
      <c r="N61" s="1765">
        <f ca="1">ROUND(N59*10000/'数据-汇总表'!E3,0)</f>
        <v>4087</v>
      </c>
      <c r="O61" s="2499"/>
    </row>
    <row r="62" spans="1:35" ht="12.75">
      <c r="A62" s="3095" t="s">
        <v>2232</v>
      </c>
      <c r="B62" s="3096"/>
      <c r="C62" s="1804"/>
      <c r="D62" s="1804" t="s">
        <v>2233</v>
      </c>
      <c r="E62" s="192" t="s">
        <v>2234</v>
      </c>
      <c r="F62" s="2490"/>
      <c r="G62" s="2490"/>
      <c r="H62" s="2498"/>
      <c r="I62" s="138"/>
    </row>
    <row r="63" spans="1:35" ht="12.75">
      <c r="A63" s="203" t="s">
        <v>775</v>
      </c>
      <c r="B63" s="193" t="s">
        <v>2235</v>
      </c>
      <c r="C63" s="194">
        <f ca="1">ROUND((C64+C65)/(1+'数据-取费表'!C42),0)</f>
        <v>17557</v>
      </c>
      <c r="D63" s="195"/>
      <c r="E63" s="196"/>
      <c r="F63" s="2490"/>
      <c r="G63" s="2490"/>
      <c r="H63" s="2498"/>
      <c r="I63" s="138"/>
      <c r="J63" s="3060" t="s">
        <v>2236</v>
      </c>
      <c r="K63" s="2500" t="s">
        <v>2237</v>
      </c>
      <c r="L63" s="1752">
        <f ca="1">IF(M49&gt;10000,M49*0.5%,IF(AND(M49&gt;1000,M49&lt;=10000),M49*1%,IF(AND(M49&gt;100,M49&lt;=1000),M49*3%,IF(AND(M49&gt;10,M49&lt;=100),M49*5%,M49*8%))))</f>
        <v>92.174999999999997</v>
      </c>
      <c r="M63" s="24">
        <f ca="1">ROUND(L63,1)</f>
        <v>92.2</v>
      </c>
      <c r="Z63" s="2424"/>
      <c r="AI63" s="2425"/>
    </row>
    <row r="64" spans="1:35" ht="14.25" customHeight="1">
      <c r="A64" s="197" t="s">
        <v>770</v>
      </c>
      <c r="B64" s="198" t="s">
        <v>2238</v>
      </c>
      <c r="C64" s="199">
        <f ca="1">D45</f>
        <v>18435</v>
      </c>
      <c r="D64" s="200" t="s">
        <v>32</v>
      </c>
      <c r="E64" s="201"/>
      <c r="F64" s="2490"/>
      <c r="G64" s="2490"/>
      <c r="H64" s="2498"/>
      <c r="I64" s="138"/>
      <c r="J64" s="3060"/>
      <c r="K64" s="2500" t="s">
        <v>2239</v>
      </c>
      <c r="L64" s="1752">
        <f ca="1">IF(M49&gt;2000,M49*0.5%,IF(AND(M49&gt;1000,M49&lt;=2000),M49*0.6%,IF(AND(M49&gt;500,M49&lt;=1000),M49*0.7%,IF(AND(M49&gt;200,M49&lt;=500),M49*0.8%,IF(AND(M49&gt;100,M49&lt;=200),M49*0.9%,IF(AND(M49&gt;50,M49&lt;=100),M49*1%,IF(AND(M49&gt;20,M49&lt;=50),M49*1.5%,IF(AND(M49&gt;10,M49&lt;=20),M49*2%,IF(AND(M49&gt;1,M49&lt;=10),M49*2.5%)))))))))</f>
        <v>92.174999999999997</v>
      </c>
      <c r="M64" s="24">
        <f t="shared" ref="M64:M65" ca="1" si="1">ROUND(L64,1)</f>
        <v>92.2</v>
      </c>
      <c r="N64" s="138" t="s">
        <v>2240</v>
      </c>
      <c r="Z64" s="2424"/>
      <c r="AI64" s="2425"/>
    </row>
    <row r="65" spans="1:35" ht="14.25" customHeight="1">
      <c r="A65" s="197" t="s">
        <v>771</v>
      </c>
      <c r="B65" s="198" t="s">
        <v>2241</v>
      </c>
      <c r="C65" s="202"/>
      <c r="D65" s="200"/>
      <c r="E65" s="201"/>
      <c r="F65" s="2490"/>
      <c r="G65" s="2490"/>
      <c r="H65" s="2498"/>
      <c r="I65" s="138"/>
      <c r="J65" s="3060"/>
      <c r="K65" s="2500" t="s">
        <v>2242</v>
      </c>
      <c r="L65" s="1752">
        <f ca="1">IF(M49&gt;1000,M49*0.1%,IF(AND(M49&gt;500,M49&lt;=1000),M49*0.5%,IF(AND(M49&gt;50,M49&lt;=500),M49*1%,IF(AND(M49&gt;1,M49&lt;=50),M49*1.5%))))</f>
        <v>18.434999999999999</v>
      </c>
      <c r="M65" s="24">
        <f t="shared" ca="1" si="1"/>
        <v>18.399999999999999</v>
      </c>
      <c r="N65" s="138" t="s">
        <v>2240</v>
      </c>
      <c r="Z65" s="2424"/>
      <c r="AI65" s="2425"/>
    </row>
    <row r="66" spans="1:35" ht="14.25" customHeight="1">
      <c r="A66" s="203" t="s">
        <v>772</v>
      </c>
      <c r="B66" s="204" t="s">
        <v>2243</v>
      </c>
      <c r="C66" s="205"/>
      <c r="D66" s="206" t="s">
        <v>32</v>
      </c>
      <c r="E66" s="1776" t="s">
        <v>1367</v>
      </c>
      <c r="F66" s="2490"/>
      <c r="G66" s="2490"/>
      <c r="H66" s="2498"/>
      <c r="I66" s="138"/>
      <c r="J66" s="3060"/>
      <c r="K66" s="2500" t="s">
        <v>2244</v>
      </c>
      <c r="L66" s="1752">
        <f ca="1">M49*0.5%</f>
        <v>92.174999999999997</v>
      </c>
      <c r="M66" s="24">
        <f ca="1">IF(L66&gt;0.5,0.5,ROUND(L66,0))</f>
        <v>0.5</v>
      </c>
      <c r="N66" s="138" t="s">
        <v>2245</v>
      </c>
      <c r="Z66" s="2424"/>
      <c r="AI66" s="2425"/>
    </row>
    <row r="67" spans="1:35" ht="14.25" customHeight="1">
      <c r="A67" s="203" t="s">
        <v>773</v>
      </c>
      <c r="B67" s="204" t="s">
        <v>2246</v>
      </c>
      <c r="C67" s="207">
        <f ca="1">C63-C66</f>
        <v>17557</v>
      </c>
      <c r="D67" s="200" t="s">
        <v>32</v>
      </c>
      <c r="E67" s="201"/>
      <c r="F67" s="2490"/>
      <c r="G67" s="2490"/>
      <c r="H67" s="2498"/>
      <c r="I67" s="138"/>
      <c r="J67" s="3060"/>
      <c r="K67" s="2500" t="s">
        <v>2247</v>
      </c>
      <c r="L67" s="1752">
        <f ca="1">IF(M49&gt;=10000,(8.25+(M49-10000)*0.01%),IF(AND(M49&gt;=8000,M49&lt;10000),(7.85+(M49-8000)*0.02%),IF(AND(M49&gt;=5000,M49&lt;8000),(6.65+(M49-5000)*0.04%),IF(AND(M49&gt;=2000,M49&lt;5000),(4.25+(PM49-2000)*0.08%),IF(AND(M49&gt;=1000,M49&lt;2000),(2.75+(M49-1000)*0.15%),IF(AND(M49&gt;=100,M49&lt;1000),(0.5+(M49-100)*0.25%),IF(AND(M49&gt;0,M49&lt;100),M49*0.5%)))))))</f>
        <v>9.0935000000000006</v>
      </c>
      <c r="M67" s="24">
        <f ca="1">ROUND(L67*0.9,1)</f>
        <v>8.1999999999999993</v>
      </c>
      <c r="Z67" s="2424"/>
      <c r="AI67" s="2425"/>
    </row>
    <row r="68" spans="1:35" ht="14.25" customHeight="1" thickBot="1">
      <c r="A68" s="208" t="s">
        <v>774</v>
      </c>
      <c r="B68" s="209" t="s">
        <v>2248</v>
      </c>
      <c r="C68" s="210">
        <f ca="1">IF(C67&lt;=0,0,ROUND(C67*D68,0))</f>
        <v>983</v>
      </c>
      <c r="D68" s="211">
        <f>'数据-取费表'!B41</f>
        <v>5.6000000000000001E-2</v>
      </c>
      <c r="E68" s="212"/>
      <c r="F68" s="2490"/>
      <c r="G68" s="2490"/>
      <c r="H68" s="2498"/>
      <c r="I68" s="138"/>
      <c r="J68" s="3060"/>
      <c r="K68" s="2500" t="s">
        <v>2249</v>
      </c>
      <c r="L68" s="1752">
        <f ca="1">IF(M49&gt;10000,M49*0.5%,IF(AND(M49&gt;5000,M49&lt;=10000),M49*1%,IF(AND(M49&gt;1000,M49&lt;=5000),M49*2%,IF(AND(M49&gt;200,M49&lt;=1000),M49*3%,M49*5%))))</f>
        <v>92.174999999999997</v>
      </c>
      <c r="M68" s="24">
        <f ca="1">ROUND(L68,1)</f>
        <v>92.2</v>
      </c>
      <c r="Z68" s="2424"/>
      <c r="AI68" s="2425"/>
    </row>
    <row r="69" spans="1:35" s="2447" customFormat="1" ht="16.5" customHeight="1">
      <c r="A69" s="2501"/>
      <c r="B69" s="2502"/>
      <c r="C69" s="2503"/>
      <c r="D69" s="2504"/>
      <c r="E69" s="2505"/>
      <c r="F69" s="2166"/>
      <c r="G69" s="2166"/>
      <c r="H69" s="2165"/>
      <c r="I69" s="2419"/>
      <c r="J69" s="3060"/>
      <c r="K69" s="2500" t="s">
        <v>2250</v>
      </c>
      <c r="L69" s="2506"/>
      <c r="M69" s="24">
        <f ca="1">ROUND(SUM(M63:M68),0)</f>
        <v>304</v>
      </c>
      <c r="N69" s="1753">
        <f ca="1">M69/M49</f>
        <v>1.6490371575806888E-2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4" t="s">
        <v>2251</v>
      </c>
      <c r="B70" s="3105"/>
      <c r="C70" s="3105"/>
      <c r="D70" s="3105"/>
      <c r="E70" s="3105"/>
      <c r="F70" s="3105"/>
      <c r="G70" s="3105"/>
      <c r="H70" s="310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2232</v>
      </c>
      <c r="B71" s="3096"/>
      <c r="C71" s="1804"/>
      <c r="D71" s="1804" t="s">
        <v>2233</v>
      </c>
      <c r="E71" s="213" t="s">
        <v>2234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2252</v>
      </c>
      <c r="C72" s="207">
        <f ca="1">ROUND(D45/(1+'数据-取费表'!C42),0)</f>
        <v>17557</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2253</v>
      </c>
      <c r="C73" s="207">
        <f ca="1">C74+C78</f>
        <v>105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2254</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2255</v>
      </c>
      <c r="C75" s="218"/>
      <c r="D75" s="200" t="s">
        <v>32</v>
      </c>
      <c r="E75" s="219" t="s">
        <v>2256</v>
      </c>
      <c r="F75" s="2512" t="s">
        <v>2257</v>
      </c>
      <c r="G75" s="219" t="s">
        <v>2258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2259</v>
      </c>
      <c r="C76" s="200">
        <f>IF(F75="购房发票",ROUND(C75*H75*D76,0),0)</f>
        <v>0</v>
      </c>
      <c r="D76" s="222">
        <v>0.05</v>
      </c>
      <c r="E76" s="3101" t="s">
        <v>2260</v>
      </c>
      <c r="F76" s="3100"/>
      <c r="G76" s="3100"/>
      <c r="H76" s="310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4" t="s">
        <v>2263</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105</v>
      </c>
      <c r="D78" s="226">
        <f>'数据-取费表'!B43</f>
        <v>6.000000000000001E-3</v>
      </c>
      <c r="E78" s="3092" t="s">
        <v>2265</v>
      </c>
      <c r="F78" s="3093"/>
      <c r="G78" s="3093"/>
      <c r="H78" s="309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17452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166.2095238095238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10434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4" t="s">
        <v>2269</v>
      </c>
      <c r="B83" s="3105"/>
      <c r="C83" s="3105"/>
      <c r="D83" s="3105"/>
      <c r="E83" s="3105"/>
      <c r="F83" s="3105"/>
      <c r="G83" s="3105"/>
      <c r="H83" s="310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2232</v>
      </c>
      <c r="B84" s="3096"/>
      <c r="C84" s="1804"/>
      <c r="D84" s="1804" t="s">
        <v>2233</v>
      </c>
      <c r="E84" s="213" t="s">
        <v>2234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2252</v>
      </c>
      <c r="C85" s="207">
        <f ca="1">ROUND(D45/(1+'数据-取费表'!C42),0)</f>
        <v>17557</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2253</v>
      </c>
      <c r="C86" s="207">
        <f ca="1">IF(H88="仅含出让金",C87+C90+C91+C92+C93+C94,C87+C91+C92+C93+C94)</f>
        <v>105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800"/>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2261</v>
      </c>
      <c r="C89" s="225">
        <f>ROUND(C88*D89,0)</f>
        <v>0</v>
      </c>
      <c r="D89" s="226">
        <f>'数据-取费表'!B48+'数据-取费表'!B49</f>
        <v>3.0499999999999999E-2</v>
      </c>
      <c r="E89" s="237" t="s">
        <v>2274</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092" t="s">
        <v>2278</v>
      </c>
      <c r="F91" s="3093"/>
      <c r="G91" s="3093"/>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092" t="s">
        <v>2282</v>
      </c>
      <c r="F92" s="3093"/>
      <c r="G92" s="3093"/>
      <c r="H92" s="309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105</v>
      </c>
      <c r="D93" s="226">
        <f>'数据-取费表'!B43</f>
        <v>6.000000000000001E-3</v>
      </c>
      <c r="E93" s="3092" t="s">
        <v>2265</v>
      </c>
      <c r="F93" s="3093"/>
      <c r="G93" s="3093"/>
      <c r="H93" s="309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140" t="s">
        <v>2286</v>
      </c>
      <c r="F94" s="3141"/>
      <c r="G94" s="3141"/>
      <c r="H94" s="314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17452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166.2095238095238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10434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044" t="s">
        <v>2288</v>
      </c>
      <c r="B100" s="3045"/>
      <c r="C100" s="3045"/>
      <c r="D100" s="3076"/>
      <c r="E100" s="3045" t="s">
        <v>2289</v>
      </c>
      <c r="F100" s="3045"/>
      <c r="G100" s="3045"/>
      <c r="H100" s="3076"/>
      <c r="I100" s="138"/>
    </row>
    <row r="101" spans="1:35" ht="18.75" customHeight="1">
      <c r="A101" s="3084" t="s">
        <v>2290</v>
      </c>
      <c r="B101" s="3085"/>
      <c r="C101" s="736" t="str">
        <f>C4</f>
        <v>成本法</v>
      </c>
      <c r="D101" s="737" t="str">
        <f>D4</f>
        <v>收益法</v>
      </c>
      <c r="E101" s="3056" t="s">
        <v>2291</v>
      </c>
      <c r="F101" s="3057"/>
      <c r="G101" s="2521" t="s">
        <v>2292</v>
      </c>
      <c r="H101" s="1048">
        <f ca="1">H118</f>
        <v>18435</v>
      </c>
      <c r="I101" s="138"/>
    </row>
    <row r="102" spans="1:35" ht="18.75" customHeight="1">
      <c r="A102" s="3086" t="s">
        <v>2293</v>
      </c>
      <c r="B102" s="2521" t="s">
        <v>2292</v>
      </c>
      <c r="C102" s="736">
        <f ca="1">C19</f>
        <v>11573</v>
      </c>
      <c r="D102" s="737">
        <f ca="1">D19</f>
        <v>23009</v>
      </c>
      <c r="E102" s="3056"/>
      <c r="F102" s="3057"/>
      <c r="G102" s="2521" t="s">
        <v>2294</v>
      </c>
      <c r="H102" s="371">
        <f ca="1">I118</f>
        <v>9428</v>
      </c>
      <c r="I102" s="138"/>
    </row>
    <row r="103" spans="1:35" ht="42.75" customHeight="1">
      <c r="A103" s="3086"/>
      <c r="B103" s="2521" t="s">
        <v>2294</v>
      </c>
      <c r="C103" s="738">
        <f ca="1">C20</f>
        <v>5919</v>
      </c>
      <c r="D103" s="739">
        <f ca="1">D20</f>
        <v>11767</v>
      </c>
      <c r="E103" s="3050" t="s">
        <v>2295</v>
      </c>
      <c r="F103" s="3051"/>
      <c r="G103" s="2522" t="s">
        <v>2296</v>
      </c>
      <c r="H103" s="1048">
        <f>IF(D36="正常操作",H104+H105+H106,H105+H106)</f>
        <v>0</v>
      </c>
      <c r="I103" s="138"/>
    </row>
    <row r="104" spans="1:35" ht="18.75" customHeight="1">
      <c r="A104" s="3086" t="s">
        <v>2297</v>
      </c>
      <c r="B104" s="2523" t="s">
        <v>2292</v>
      </c>
      <c r="C104" s="740">
        <f ca="1">H118</f>
        <v>18435</v>
      </c>
      <c r="D104" s="741"/>
      <c r="E104" s="2267" t="s">
        <v>2298</v>
      </c>
      <c r="F104" s="2258"/>
      <c r="G104" s="2522" t="s">
        <v>2296</v>
      </c>
      <c r="H104" s="1049">
        <f>IF(D36="同一抵押权人同一抵押物续贷",C36&amp;"（未扣减，详见特别提示）",C36)</f>
        <v>0</v>
      </c>
      <c r="I104" s="138"/>
    </row>
    <row r="105" spans="1:35" ht="18.75" customHeight="1" thickBot="1">
      <c r="A105" s="3098"/>
      <c r="B105" s="2524" t="s">
        <v>2294</v>
      </c>
      <c r="C105" s="742">
        <f ca="1">I118</f>
        <v>9428</v>
      </c>
      <c r="D105" s="743"/>
      <c r="E105" s="2267" t="s">
        <v>2299</v>
      </c>
      <c r="F105" s="2258"/>
      <c r="G105" s="2522" t="s">
        <v>2296</v>
      </c>
      <c r="H105" s="1049">
        <f>C37</f>
        <v>0</v>
      </c>
      <c r="I105" s="138"/>
    </row>
    <row r="106" spans="1:35" ht="18.75" customHeight="1">
      <c r="A106" s="2419" t="s">
        <v>2300</v>
      </c>
      <c r="B106" s="2419"/>
      <c r="C106" s="2419"/>
      <c r="D106" s="2419"/>
      <c r="E106" s="2525" t="s">
        <v>2301</v>
      </c>
      <c r="F106" s="2258"/>
      <c r="G106" s="2522" t="s">
        <v>2296</v>
      </c>
      <c r="H106" s="1049">
        <f>C38</f>
        <v>0</v>
      </c>
      <c r="I106" s="138"/>
    </row>
    <row r="107" spans="1:35" ht="18.75" customHeight="1">
      <c r="A107" s="138"/>
      <c r="B107" s="138"/>
      <c r="C107" s="138"/>
      <c r="D107" s="138"/>
      <c r="E107" s="3087" t="str">
        <f>IF(项目基本情况!E8="已注销","——","3.房地产抵押价值")</f>
        <v>3.房地产抵押价值</v>
      </c>
      <c r="F107" s="3057"/>
      <c r="G107" s="2521" t="s">
        <v>2292</v>
      </c>
      <c r="H107" s="1048">
        <f ca="1">IF(E107="——","——",H101-H103)</f>
        <v>18435</v>
      </c>
      <c r="I107" s="138"/>
    </row>
    <row r="108" spans="1:35" ht="18.75" customHeight="1">
      <c r="A108" s="138"/>
      <c r="B108" s="138"/>
      <c r="C108" s="138"/>
      <c r="D108" s="138"/>
      <c r="E108" s="3087"/>
      <c r="F108" s="3057"/>
      <c r="G108" s="2521" t="s">
        <v>2294</v>
      </c>
      <c r="H108" s="371">
        <f ca="1">ROUND(H107*10000/'数据-汇总表'!E3,0)</f>
        <v>9428</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1" t="s">
        <v>2292</v>
      </c>
      <c r="H109" s="348" t="str">
        <f>IF(E109="——","——",H101-H105-H106)</f>
        <v>——</v>
      </c>
      <c r="I109" s="138"/>
    </row>
    <row r="110" spans="1:35" ht="18.75" customHeight="1">
      <c r="A110" s="138"/>
      <c r="B110" s="138"/>
      <c r="C110" s="138"/>
      <c r="D110" s="138"/>
      <c r="E110" s="3087"/>
      <c r="F110" s="3057"/>
      <c r="G110" s="2521" t="s">
        <v>2294</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1" t="s">
        <v>2292</v>
      </c>
      <c r="H111" s="1048" t="str">
        <f>IF(E111="——","——",N59)</f>
        <v>——</v>
      </c>
      <c r="I111" s="138"/>
    </row>
    <row r="112" spans="1:35" ht="18.75" customHeight="1" thickBot="1">
      <c r="A112" s="138"/>
      <c r="B112" s="138"/>
      <c r="C112" s="138"/>
      <c r="D112" s="138"/>
      <c r="E112" s="3090"/>
      <c r="F112" s="3091"/>
      <c r="G112" s="2526" t="s">
        <v>2294</v>
      </c>
      <c r="H112" s="790" t="str">
        <f>IF(E111="——","——",N61)</f>
        <v>——</v>
      </c>
      <c r="I112" s="138"/>
    </row>
    <row r="113" spans="1:11" ht="18.75" customHeight="1">
      <c r="A113" s="138"/>
      <c r="B113" s="138"/>
      <c r="C113" s="138"/>
      <c r="D113" s="138"/>
      <c r="E113" s="3099" t="s">
        <v>2300</v>
      </c>
      <c r="F113" s="3099"/>
      <c r="G113" s="3099"/>
      <c r="H113" s="3099"/>
      <c r="I113" s="138"/>
    </row>
    <row r="114" spans="1:11" ht="3.75" customHeight="1">
      <c r="A114" s="2419"/>
      <c r="B114" s="2419"/>
      <c r="C114" s="2419"/>
      <c r="D114" s="2419"/>
      <c r="E114" s="2497"/>
      <c r="F114" s="2497"/>
      <c r="G114" s="2497"/>
      <c r="H114" s="2497"/>
      <c r="I114" s="2419"/>
    </row>
    <row r="115" spans="1:11" ht="18.75" customHeight="1">
      <c r="A115" s="3112" t="s">
        <v>2302</v>
      </c>
      <c r="B115" s="3113"/>
      <c r="C115" s="3113"/>
      <c r="D115" s="3113"/>
      <c r="E115" s="3113"/>
      <c r="F115" s="3113"/>
      <c r="G115" s="3113"/>
      <c r="H115" s="3113"/>
      <c r="I115" s="3114"/>
    </row>
    <row r="116" spans="1:11" ht="27" customHeight="1">
      <c r="A116" s="3023" t="s">
        <v>2303</v>
      </c>
      <c r="B116" s="3066" t="s">
        <v>2304</v>
      </c>
      <c r="C116" s="3066" t="s">
        <v>2305</v>
      </c>
      <c r="D116" s="3072" t="s">
        <v>2306</v>
      </c>
      <c r="E116" s="3073"/>
      <c r="F116" s="3108" t="s">
        <v>2307</v>
      </c>
      <c r="G116" s="3108"/>
      <c r="H116" s="3023" t="s">
        <v>2308</v>
      </c>
      <c r="I116" s="3023"/>
    </row>
    <row r="117" spans="1:11" ht="18.75" customHeight="1">
      <c r="A117" s="3023"/>
      <c r="B117" s="3067"/>
      <c r="C117" s="3067"/>
      <c r="D117" s="1798" t="s">
        <v>2309</v>
      </c>
      <c r="E117" s="1798" t="s">
        <v>2310</v>
      </c>
      <c r="F117" s="1798" t="s">
        <v>2309</v>
      </c>
      <c r="G117" s="1798" t="s">
        <v>2311</v>
      </c>
      <c r="H117" s="1798" t="s">
        <v>2309</v>
      </c>
      <c r="I117" s="1798" t="s">
        <v>2311</v>
      </c>
    </row>
    <row r="118" spans="1:11" ht="24.75" customHeight="1">
      <c r="A118" s="2527" t="str">
        <f>项目基本情况!S2</f>
        <v>北京市安祥街6号院1号楼1至3层101；2号楼1至5层101房地产</v>
      </c>
      <c r="B118" s="1798">
        <f>M18</f>
        <v>19553.34</v>
      </c>
      <c r="C118" s="1798">
        <f>M19</f>
        <v>9161.2099999999991</v>
      </c>
      <c r="D118" s="1798">
        <f ca="1">ROUND(IF(D32="总价",C34,E118*B118/10000),0)</f>
        <v>6379</v>
      </c>
      <c r="E118" s="1798">
        <f ca="1">ROUND(IF(C33="自定义",IF(D32="楼面单价",C34,D118*10000/B118),I118-G118),0)</f>
        <v>3262</v>
      </c>
      <c r="F118" s="1798">
        <f ca="1">ROUND(IF(D32="总价",C35,G118*B118/10000),0)</f>
        <v>12056</v>
      </c>
      <c r="G118" s="1798">
        <f ca="1">ROUND(IF(D32="楼面单价",C35,F118*10000/B118),0)</f>
        <v>6166</v>
      </c>
      <c r="H118" s="1798">
        <f ca="1">ROUND(IF(D32="总价",C32,I118*B118/10000),0)</f>
        <v>18435</v>
      </c>
      <c r="I118" s="1798">
        <f ca="1">ROUND(IF(D32="楼面单价",C32,H118*10000/B118),0)</f>
        <v>9428</v>
      </c>
    </row>
    <row r="119" spans="1:11" ht="18.75" customHeight="1">
      <c r="A119" s="3023" t="s">
        <v>2312</v>
      </c>
      <c r="B119" s="3023"/>
      <c r="C119" s="3023"/>
      <c r="D119" s="3068" t="str">
        <f ca="1">NUMBERSTRING(INT(D118*10000),2)&amp;"元整"</f>
        <v>陆仟叁佰柒拾玖万元整</v>
      </c>
      <c r="E119" s="3069"/>
      <c r="F119" s="3068" t="str">
        <f ca="1">NUMBERSTRING(INT(F118*10000),2)&amp;"元整"</f>
        <v>壹亿贰仟零伍拾陆万元整</v>
      </c>
      <c r="G119" s="3069"/>
      <c r="H119" s="3068" t="str">
        <f ca="1">NUMBERSTRING(INT(H118*10000),2)&amp;"元整"</f>
        <v>壹亿捌仟肆佰叁拾伍万元整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4" t="str">
        <f>IF(D120=0,"故，本次评估不存在"&amp;A120,"故，本次评估"&amp;A120&amp;"为人民币"&amp;D120&amp;"万元整。")</f>
        <v>故，本次评估不存在估价师知悉的法定优先受偿款</v>
      </c>
    </row>
    <row r="121" spans="1:11" ht="18.75" customHeight="1">
      <c r="A121" s="3109" t="s">
        <v>2312</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18435</v>
      </c>
      <c r="E122" s="3064"/>
      <c r="F122" s="3064"/>
      <c r="G122" s="3064"/>
      <c r="H122" s="3064"/>
      <c r="I122" s="3065"/>
    </row>
    <row r="123" spans="1:11" ht="18.75" customHeight="1">
      <c r="A123" s="3023" t="s">
        <v>2312</v>
      </c>
      <c r="B123" s="3023"/>
      <c r="C123" s="3023"/>
      <c r="D123" s="3068" t="str">
        <f ca="1">NUMBERSTRING(INT(D122*10000),2)&amp;"元整"</f>
        <v>壹亿捌仟肆佰叁拾伍万元整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2312</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2312</v>
      </c>
      <c r="B127" s="3023"/>
      <c r="C127" s="3023"/>
      <c r="D127" s="3068" t="e">
        <f>NUMBERSTRING(INT(D126*10000),2)&amp;"元整"</f>
        <v>#VALUE!</v>
      </c>
      <c r="E127" s="3070"/>
      <c r="F127" s="3070"/>
      <c r="G127" s="3070"/>
      <c r="H127" s="3070"/>
      <c r="I127" s="3069"/>
    </row>
    <row r="128" spans="1:11" ht="21.75" customHeight="1">
      <c r="A128" s="3071" t="s">
        <v>2313</v>
      </c>
      <c r="B128" s="3071"/>
      <c r="C128" s="3071"/>
      <c r="D128" s="3071"/>
      <c r="E128" s="3071"/>
      <c r="F128" s="3071"/>
      <c r="G128" s="3071"/>
      <c r="H128" s="3071"/>
      <c r="I128" s="3071"/>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6" sqref="E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7</v>
      </c>
    </row>
    <row r="2" spans="1:9" s="244" customFormat="1" ht="18" customHeight="1">
      <c r="A2" s="245" t="s">
        <v>2322</v>
      </c>
      <c r="B2" s="246">
        <f ca="1">IF(D2="——",C52,C52-E2)</f>
        <v>11573</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5919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2904</v>
      </c>
      <c r="D5" s="255" t="s">
        <v>2329</v>
      </c>
      <c r="E5" s="256" t="s">
        <v>2330</v>
      </c>
      <c r="F5" s="256" t="s">
        <v>2331</v>
      </c>
      <c r="G5" s="257"/>
    </row>
    <row r="6" spans="1:9" s="258" customFormat="1" ht="13.5" customHeight="1">
      <c r="A6" s="952" t="s">
        <v>2332</v>
      </c>
      <c r="B6" s="259" t="s">
        <v>2333</v>
      </c>
      <c r="C6" s="260">
        <f ca="1">基准地价修正!B2</f>
        <v>2818</v>
      </c>
      <c r="D6" s="261"/>
      <c r="E6" s="262"/>
      <c r="F6" s="262"/>
      <c r="G6" s="263"/>
    </row>
    <row r="7" spans="1:9" s="258" customFormat="1" ht="13.5" customHeight="1">
      <c r="A7" s="952" t="s">
        <v>2334</v>
      </c>
      <c r="B7" s="259" t="s">
        <v>2335</v>
      </c>
      <c r="C7" s="264">
        <f ca="1">ROUND(C6*F7,0)</f>
        <v>86</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0</v>
      </c>
      <c r="D8" s="266"/>
      <c r="E8" s="264"/>
      <c r="F8" s="265"/>
      <c r="G8" s="2553" t="s">
        <v>3080</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0</v>
      </c>
      <c r="F9" s="265"/>
      <c r="G9" s="2554" t="s">
        <v>3079</v>
      </c>
      <c r="H9" s="1393"/>
      <c r="I9" s="2555" t="s">
        <v>2339</v>
      </c>
    </row>
    <row r="10" spans="1:9" s="258" customFormat="1" ht="13.5" customHeight="1">
      <c r="A10" s="953" t="s">
        <v>801</v>
      </c>
      <c r="B10" s="268" t="s">
        <v>2340</v>
      </c>
      <c r="C10" s="269">
        <f ca="1">ROUND(D10*E10/10000,0)</f>
        <v>0</v>
      </c>
      <c r="D10" s="1035">
        <f ca="1">IF(B1="",'数据-汇总表'!E6,IF(INDIRECT("'数据-取费表'!c"&amp;$G$1)="住宅",INDIRECT("'数据-取费表'!s"&amp;$G$1),INDIRECT("'数据-取费表'!k"&amp;$G$1)+INDIRECT("'数据-取费表'!s"&amp;$G$1)))</f>
        <v>19553.34</v>
      </c>
      <c r="E10" s="269">
        <f>'数据-取费表'!B28</f>
        <v>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19553.34</v>
      </c>
      <c r="E19" s="255">
        <f>'数据-取费表'!B31</f>
        <v>200</v>
      </c>
      <c r="F19" s="275"/>
      <c r="G19" s="2553" t="s">
        <v>3081</v>
      </c>
    </row>
    <row r="20" spans="1:7" s="258" customFormat="1" ht="13.5" customHeight="1">
      <c r="A20" s="299" t="s">
        <v>2353</v>
      </c>
      <c r="B20" s="254" t="s">
        <v>2354</v>
      </c>
      <c r="C20" s="276">
        <f ca="1">ROUND((C5+C19)*F20,0)</f>
        <v>58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285</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282</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3</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444</v>
      </c>
      <c r="D27" s="279">
        <f ca="1">C29</f>
        <v>3.0000000000000001E-3</v>
      </c>
      <c r="E27" s="280" t="s">
        <v>2374</v>
      </c>
      <c r="F27" s="290">
        <f ca="1">IF(B1="",'数据-取费表'!Q16,INDIRECT("'数据-取费表'!q"&amp;$G$1))</f>
        <v>0.15</v>
      </c>
      <c r="G27" s="291" t="s">
        <v>2375</v>
      </c>
    </row>
    <row r="28" spans="1:7" s="258" customFormat="1" ht="13.5" customHeight="1">
      <c r="A28" s="954" t="s">
        <v>791</v>
      </c>
      <c r="B28" s="292" t="s">
        <v>2376</v>
      </c>
      <c r="C28" s="293">
        <f ca="1">ROUND((C5+C19+C20)*F27*'数据-取费表'!B21/'数据-取费表'!B20,0)</f>
        <v>444</v>
      </c>
      <c r="D28" s="279"/>
      <c r="E28" s="280"/>
      <c r="F28" s="290"/>
      <c r="G28" s="291"/>
    </row>
    <row r="29" spans="1:7" s="258" customFormat="1" ht="13.5" customHeight="1">
      <c r="A29" s="954"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4000</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6023</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5389</v>
      </c>
      <c r="D34" s="261"/>
      <c r="E34" s="264"/>
      <c r="F34" s="301">
        <f ca="1">IF('数据-取费表'!B24=0,1,IF(B1="",'数据-取费表'!N16,INDIRECT("'数据-取费表'!n"&amp;$G$1)))</f>
        <v>1</v>
      </c>
      <c r="G34" s="263" t="s">
        <v>2386</v>
      </c>
    </row>
    <row r="35" spans="1:7" ht="13.5" customHeight="1">
      <c r="A35" s="954" t="s">
        <v>796</v>
      </c>
      <c r="B35" s="259" t="s">
        <v>2387</v>
      </c>
      <c r="C35" s="264">
        <f ca="1">ROUND(C34*F35,0)</f>
        <v>162</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391</v>
      </c>
      <c r="D37" s="261">
        <f ca="1">D19</f>
        <v>19553.34</v>
      </c>
      <c r="E37" s="293">
        <f>'数据-取费表'!B35</f>
        <v>200</v>
      </c>
      <c r="F37" s="303"/>
      <c r="G37" s="305" t="s">
        <v>2392</v>
      </c>
    </row>
    <row r="38" spans="1:7" ht="13.5" customHeight="1">
      <c r="A38" s="954" t="s">
        <v>799</v>
      </c>
      <c r="B38" s="259" t="s">
        <v>2393</v>
      </c>
      <c r="C38" s="264">
        <f ca="1">ROUND(C34*F38,0)</f>
        <v>81</v>
      </c>
      <c r="D38" s="264"/>
      <c r="E38" s="264"/>
      <c r="F38" s="303">
        <f>'数据-取费表'!B36</f>
        <v>1.4999999999999999E-2</v>
      </c>
      <c r="G38" s="263" t="s">
        <v>2388</v>
      </c>
    </row>
    <row r="39" spans="1:7" s="258" customFormat="1" ht="13.5" customHeight="1">
      <c r="A39" s="299" t="s">
        <v>2394</v>
      </c>
      <c r="B39" s="254" t="s">
        <v>2395</v>
      </c>
      <c r="C39" s="276">
        <f ca="1">ROUND(C33*F20,0)</f>
        <v>120</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292</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286</v>
      </c>
      <c r="D42" s="282"/>
      <c r="E42" s="282"/>
      <c r="F42" s="283"/>
      <c r="G42" s="3143" t="s">
        <v>2404</v>
      </c>
    </row>
    <row r="43" spans="1:7" ht="13.5" customHeight="1">
      <c r="A43" s="954" t="s">
        <v>792</v>
      </c>
      <c r="B43" s="259" t="s">
        <v>2405</v>
      </c>
      <c r="C43" s="282">
        <f ca="1">ROUND(IF('数据-取费表'!B22&lt;=1,C39*F22*'数据-取费表'!B21/2,C39*(POWER((1+F22),'数据-取费表'!B21/2)-1)),0)</f>
        <v>6</v>
      </c>
      <c r="D43" s="282"/>
      <c r="E43" s="282"/>
      <c r="F43" s="283"/>
      <c r="G43" s="3144"/>
    </row>
    <row r="44" spans="1:7" ht="13.5" customHeight="1">
      <c r="A44" s="954" t="s">
        <v>793</v>
      </c>
      <c r="B44" s="259" t="s">
        <v>2406</v>
      </c>
      <c r="C44" s="282">
        <f ca="1">ROUND(IF('数据-取费表'!B22&lt;=1,C40*F22*'数据-取费表'!B21/2,C40*(POWER((1+F22),'数据-取费表'!B21/2)-1)),4)</f>
        <v>1E-3</v>
      </c>
      <c r="D44" s="282"/>
      <c r="E44" s="282"/>
      <c r="F44" s="283"/>
      <c r="G44" s="3145"/>
    </row>
    <row r="45" spans="1:7" s="258" customFormat="1" ht="13.5" customHeight="1">
      <c r="A45" s="299" t="s">
        <v>2407</v>
      </c>
      <c r="B45" s="288" t="s">
        <v>2373</v>
      </c>
      <c r="C45" s="289">
        <f ca="1">C46</f>
        <v>921</v>
      </c>
      <c r="D45" s="279">
        <f ca="1">C47</f>
        <v>3.0000000000000001E-3</v>
      </c>
      <c r="E45" s="280" t="s">
        <v>2399</v>
      </c>
      <c r="F45" s="290"/>
      <c r="G45" s="291" t="s">
        <v>2408</v>
      </c>
    </row>
    <row r="46" spans="1:7" s="258" customFormat="1" ht="13.5" customHeight="1">
      <c r="A46" s="954" t="s">
        <v>791</v>
      </c>
      <c r="B46" s="292" t="s">
        <v>2409</v>
      </c>
      <c r="C46" s="293">
        <f ca="1">ROUND((C33+C39)*F27,0)</f>
        <v>921</v>
      </c>
      <c r="D46" s="307"/>
      <c r="E46" s="280"/>
      <c r="F46" s="290"/>
      <c r="G46" s="291"/>
    </row>
    <row r="47" spans="1:7" s="258" customFormat="1" ht="13.5" customHeight="1">
      <c r="A47" s="954" t="s">
        <v>792</v>
      </c>
      <c r="B47" s="292" t="s">
        <v>2410</v>
      </c>
      <c r="C47" s="282">
        <f ca="1">ROUND(C40*F27,4)</f>
        <v>3.0000000000000001E-3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7972</v>
      </c>
      <c r="D49" s="276"/>
      <c r="E49" s="276"/>
      <c r="F49" s="308"/>
      <c r="G49" s="278" t="s">
        <v>2414</v>
      </c>
    </row>
    <row r="50" spans="1:7" s="302" customFormat="1" ht="24">
      <c r="A50" s="299" t="s">
        <v>2415</v>
      </c>
      <c r="B50" s="254" t="s">
        <v>2416</v>
      </c>
      <c r="C50" s="276"/>
      <c r="D50" s="276"/>
      <c r="E50" s="276"/>
      <c r="F50" s="308">
        <f>IF('数据-取费表'!B24=0,'数据-取费表'!N16,1)</f>
        <v>0.95</v>
      </c>
      <c r="G50" s="291" t="s">
        <v>2417</v>
      </c>
    </row>
    <row r="51" spans="1:7" ht="16.5" customHeight="1">
      <c r="A51" s="299" t="s">
        <v>2418</v>
      </c>
      <c r="B51" s="254" t="s">
        <v>2419</v>
      </c>
      <c r="C51" s="276">
        <f ca="1">ROUND(C49*F50,0)</f>
        <v>7573</v>
      </c>
      <c r="D51" s="276"/>
      <c r="E51" s="276"/>
      <c r="F51" s="308"/>
      <c r="G51" s="278" t="s">
        <v>2420</v>
      </c>
    </row>
    <row r="52" spans="1:7" s="252" customFormat="1" ht="16.5" thickBot="1">
      <c r="A52" s="309" t="s">
        <v>2421</v>
      </c>
      <c r="B52" s="310"/>
      <c r="C52" s="311">
        <f ca="1">C31+C51</f>
        <v>11573</v>
      </c>
      <c r="D52" s="310"/>
      <c r="E52" s="310"/>
      <c r="F52" s="310"/>
      <c r="G52" s="312"/>
    </row>
    <row r="55" spans="1:7" ht="15">
      <c r="B55" s="314" t="s">
        <v>2422</v>
      </c>
      <c r="C55" s="315"/>
    </row>
    <row r="56" spans="1:7">
      <c r="B56" s="317" t="s">
        <v>1509</v>
      </c>
      <c r="C56" s="319">
        <f ca="1">1-C57</f>
        <v>0.34599999999999997</v>
      </c>
    </row>
    <row r="57" spans="1:7">
      <c r="B57" s="317" t="s">
        <v>1510</v>
      </c>
      <c r="C57" s="318">
        <f ca="1">ROUND(C51/C52,3)</f>
        <v>0.65400000000000003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北京市安祥街6号院1号楼1至3层101；2号楼1至5层101房地产抵押价值预评估</v>
      </c>
      <c r="C37" s="2957"/>
      <c r="D37" s="2957"/>
      <c r="E37" s="2957"/>
      <c r="F37" s="2957"/>
      <c r="G37" s="2957"/>
      <c r="H37" s="2957"/>
      <c r="I37" s="2957"/>
    </row>
    <row r="38" spans="1:9">
      <c r="A38" s="1019"/>
      <c r="B38" s="1019"/>
    </row>
    <row r="39" spans="1:9">
      <c r="A39" s="1017" t="s">
        <v>818</v>
      </c>
      <c r="B39" s="1017" t="s">
        <v>820</v>
      </c>
    </row>
    <row r="40" spans="1:9">
      <c r="A40" s="1017"/>
      <c r="B40" s="1945" t="str">
        <f>项目基本情况!B5</f>
        <v>北京益安利乐投资有限公司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崔锴（注册号：1120100036)、郑燚（注册号：1120070131)</v>
      </c>
    </row>
    <row r="47" spans="1:9">
      <c r="A47" s="1017"/>
      <c r="B47" s="1017" t="str">
        <f>项目基本情况!K5</f>
        <v/>
      </c>
    </row>
    <row r="48" spans="1:9">
      <c r="A48" s="1017" t="s">
        <v>818</v>
      </c>
      <c r="B48" s="1017" t="s">
        <v>824</v>
      </c>
    </row>
    <row r="49" spans="2:2">
      <c r="B49" s="1945" t="str">
        <f>"康正预评字"&amp;项目基本情况!B2&amp;"号"</f>
        <v>康正预评字2019-1-0011-P01DYGJ1号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8113</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4149</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0</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2340</v>
      </c>
      <c r="C10" s="269">
        <f ca="1">ROUND(D10*E10,0)</f>
        <v>0</v>
      </c>
      <c r="D10" s="1035">
        <f ca="1">IF(B1="",'数据-汇总表'!E6,IF(INDIRECT("'数据-取费表'!c"&amp;$G$1)="住宅",INDIRECT("'数据-取费表'!s"&amp;$G$1),INDIRECT("'数据-取费表'!k"&amp;$G$1)+INDIRECT("'数据-取费表'!s"&amp;$G$1)))</f>
        <v>19553.34</v>
      </c>
      <c r="E10" s="269">
        <f>'数据-取费表'!B28</f>
        <v>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3910668</v>
      </c>
      <c r="D19" s="1039">
        <f ca="1">D9+D10</f>
        <v>19553.34</v>
      </c>
      <c r="E19" s="255">
        <f>'数据-取费表'!B31</f>
        <v>200</v>
      </c>
      <c r="F19" s="275"/>
      <c r="G19" s="2553"/>
    </row>
    <row r="20" spans="1:7" s="258" customFormat="1" ht="13.5" customHeight="1">
      <c r="A20" s="299" t="s">
        <v>2434</v>
      </c>
      <c r="B20" s="254" t="s">
        <v>2435</v>
      </c>
      <c r="C20" s="276">
        <f ca="1">ROUND((C5+C19)*F20,0)</f>
        <v>78213</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384052</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0</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380337</v>
      </c>
      <c r="D24" s="282"/>
      <c r="E24" s="282"/>
      <c r="F24" s="283"/>
      <c r="G24" s="284" t="s">
        <v>2446</v>
      </c>
    </row>
    <row r="25" spans="1:7" s="258" customFormat="1" ht="24">
      <c r="A25" s="954" t="s">
        <v>2336</v>
      </c>
      <c r="B25" s="259" t="s">
        <v>2447</v>
      </c>
      <c r="C25" s="1384">
        <f ca="1">ROUND(IF('数据-取费表'!B22&lt;=1,C20*F22*'数据-取费表'!B22/2,C20*(POWER((1+F22),'数据-取费表'!B22/2)-1)),0)</f>
        <v>3715</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598332</v>
      </c>
      <c r="D27" s="279">
        <f ca="1">C29</f>
        <v>3.0000000000000001E-3</v>
      </c>
      <c r="E27" s="280" t="s">
        <v>2374</v>
      </c>
      <c r="F27" s="290">
        <f ca="1">IF(B1="",'数据-取费表'!Q16,INDIRECT("'数据-取费表'!q"&amp;$G$1))</f>
        <v>0.15</v>
      </c>
      <c r="G27" s="291" t="s">
        <v>2375</v>
      </c>
    </row>
    <row r="28" spans="1:7" s="258" customFormat="1" ht="13.5" customHeight="1">
      <c r="A28" s="954" t="s">
        <v>791</v>
      </c>
      <c r="B28" s="292" t="s">
        <v>2376</v>
      </c>
      <c r="C28" s="293">
        <f ca="1">ROUND((C5+C19+C20)*F27,0)</f>
        <v>598332</v>
      </c>
      <c r="D28" s="279"/>
      <c r="E28" s="280"/>
      <c r="F28" s="290"/>
      <c r="G28" s="291"/>
    </row>
    <row r="29" spans="1:7" s="258" customFormat="1" ht="13.5" customHeight="1">
      <c r="A29" s="954"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5387737</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60224678</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53889005</v>
      </c>
      <c r="D34" s="261"/>
      <c r="E34" s="264"/>
      <c r="F34" s="301"/>
      <c r="G34" s="263"/>
    </row>
    <row r="35" spans="1:7" ht="13.5" customHeight="1">
      <c r="A35" s="954" t="s">
        <v>796</v>
      </c>
      <c r="B35" s="259" t="s">
        <v>2387</v>
      </c>
      <c r="C35" s="264">
        <f ca="1">ROUND(C34*F35,0)</f>
        <v>1616670</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3910668</v>
      </c>
      <c r="D37" s="261">
        <f ca="1">D19</f>
        <v>19553.34</v>
      </c>
      <c r="E37" s="293">
        <f>'数据-取费表'!B35</f>
        <v>200</v>
      </c>
      <c r="F37" s="303"/>
      <c r="G37" s="305"/>
    </row>
    <row r="38" spans="1:7" ht="13.5" customHeight="1">
      <c r="A38" s="954" t="s">
        <v>799</v>
      </c>
      <c r="B38" s="259" t="s">
        <v>2393</v>
      </c>
      <c r="C38" s="264">
        <f ca="1">ROUND(C34*F38,0)</f>
        <v>808335</v>
      </c>
      <c r="D38" s="264"/>
      <c r="E38" s="264"/>
      <c r="F38" s="303">
        <f>'数据-取费表'!B36</f>
        <v>1.4999999999999999E-2</v>
      </c>
      <c r="G38" s="263" t="s">
        <v>2388</v>
      </c>
    </row>
    <row r="39" spans="1:7" s="258" customFormat="1" ht="13.5" customHeight="1">
      <c r="A39" s="299" t="s">
        <v>2394</v>
      </c>
      <c r="B39" s="254" t="s">
        <v>2395</v>
      </c>
      <c r="C39" s="276">
        <f ca="1">ROUND(C33*F20,0)</f>
        <v>1204494</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2917885</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2860672</v>
      </c>
      <c r="D42" s="282"/>
      <c r="E42" s="282"/>
      <c r="F42" s="283"/>
      <c r="G42" s="3143" t="s">
        <v>2451</v>
      </c>
    </row>
    <row r="43" spans="1:7" ht="13.5" customHeight="1">
      <c r="A43" s="954" t="s">
        <v>792</v>
      </c>
      <c r="B43" s="259" t="s">
        <v>2405</v>
      </c>
      <c r="C43" s="282">
        <f ca="1">ROUND(IF('数据-取费表'!B22&lt;=1,C39*F22*'数据-取费表'!B20/2,C39*(POWER((1+F22),'数据-取费表'!B20/2)-1)),0)</f>
        <v>57213</v>
      </c>
      <c r="D43" s="282"/>
      <c r="E43" s="282"/>
      <c r="F43" s="283"/>
      <c r="G43" s="3144"/>
    </row>
    <row r="44" spans="1:7" ht="13.5" customHeight="1">
      <c r="A44" s="954" t="s">
        <v>793</v>
      </c>
      <c r="B44" s="259" t="s">
        <v>2406</v>
      </c>
      <c r="C44" s="282">
        <f ca="1">ROUND(IF('数据-取费表'!B22&lt;=1,C40*F22*'数据-取费表'!B20/2,C40*(POWER((1+F22),'数据-取费表'!B20/2)-1)),4)</f>
        <v>1E-3</v>
      </c>
      <c r="D44" s="282"/>
      <c r="E44" s="282"/>
      <c r="F44" s="283"/>
      <c r="G44" s="3145"/>
    </row>
    <row r="45" spans="1:7" s="258" customFormat="1" ht="13.5" customHeight="1">
      <c r="A45" s="299" t="s">
        <v>2407</v>
      </c>
      <c r="B45" s="288" t="s">
        <v>2373</v>
      </c>
      <c r="C45" s="289">
        <f ca="1">C46</f>
        <v>9214376</v>
      </c>
      <c r="D45" s="279">
        <f ca="1">C47</f>
        <v>3.0000000000000001E-3</v>
      </c>
      <c r="E45" s="280" t="s">
        <v>2399</v>
      </c>
      <c r="F45" s="290"/>
      <c r="G45" s="291" t="s">
        <v>2408</v>
      </c>
    </row>
    <row r="46" spans="1:7" s="258" customFormat="1" ht="13.5" customHeight="1">
      <c r="A46" s="954" t="s">
        <v>791</v>
      </c>
      <c r="B46" s="292" t="s">
        <v>2409</v>
      </c>
      <c r="C46" s="293">
        <f ca="1">ROUND((C33+C39)*F27,0)</f>
        <v>9214376</v>
      </c>
      <c r="D46" s="307"/>
      <c r="E46" s="280"/>
      <c r="F46" s="290"/>
      <c r="G46" s="291"/>
    </row>
    <row r="47" spans="1:7" s="258" customFormat="1" ht="13.5" customHeight="1">
      <c r="A47" s="954"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79724106</v>
      </c>
      <c r="D49" s="276"/>
      <c r="E49" s="276"/>
      <c r="F49" s="308"/>
      <c r="G49" s="278" t="s">
        <v>2414</v>
      </c>
    </row>
    <row r="50" spans="1:7" s="302" customFormat="1">
      <c r="A50" s="299" t="s">
        <v>2415</v>
      </c>
      <c r="B50" s="254" t="s">
        <v>2416</v>
      </c>
      <c r="C50" s="276"/>
      <c r="D50" s="276"/>
      <c r="E50" s="276"/>
      <c r="F50" s="308">
        <f>IF('数据-取费表'!B24=0,'数据-取费表'!N16,1)</f>
        <v>0.95</v>
      </c>
      <c r="G50" s="291"/>
    </row>
    <row r="51" spans="1:7" ht="16.5" customHeight="1">
      <c r="A51" s="299" t="s">
        <v>2418</v>
      </c>
      <c r="B51" s="254" t="s">
        <v>2453</v>
      </c>
      <c r="C51" s="276">
        <f ca="1">ROUND(C49*F50,0)</f>
        <v>75737901</v>
      </c>
      <c r="D51" s="276"/>
      <c r="E51" s="276"/>
      <c r="F51" s="308"/>
      <c r="G51" s="278" t="s">
        <v>2420</v>
      </c>
    </row>
    <row r="52" spans="1:7" s="252" customFormat="1" ht="16.5" thickBot="1">
      <c r="A52" s="309" t="s">
        <v>2421</v>
      </c>
      <c r="B52" s="310"/>
      <c r="C52" s="311">
        <f ca="1">C31+C51</f>
        <v>81125638</v>
      </c>
      <c r="D52" s="310"/>
      <c r="E52" s="310"/>
      <c r="F52" s="310"/>
      <c r="G52" s="312"/>
    </row>
    <row r="55" spans="1:7" ht="15">
      <c r="B55" s="314" t="s">
        <v>2422</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1330</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2476</v>
      </c>
      <c r="C12" s="24">
        <f ca="1">ROUND(C11*F12,0)</f>
        <v>0</v>
      </c>
      <c r="D12" s="976"/>
      <c r="E12" s="375"/>
      <c r="F12" s="979">
        <f>'数据-取费表'!B33</f>
        <v>0.03</v>
      </c>
      <c r="G12" s="8" t="s">
        <v>2477</v>
      </c>
      <c r="H12" s="971"/>
      <c r="I12" s="971"/>
      <c r="J12" s="971"/>
      <c r="K12" s="972"/>
    </row>
    <row r="13" spans="1:33" s="978" customFormat="1" ht="13.5" customHeight="1">
      <c r="A13" s="974" t="s">
        <v>1332</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1333</v>
      </c>
      <c r="B14" s="975" t="s">
        <v>2480</v>
      </c>
      <c r="C14" s="24">
        <f ca="1">ROUND(D14*E14*F11/10000,0)</f>
        <v>0</v>
      </c>
      <c r="D14" s="1036">
        <f ca="1">IF(C1="",'数据-汇总表'!E3,INDIRECT("'数据-取费表'!K"&amp;$K$1)+INDIRECT("'数据-取费表'!S"&amp;$K$1))</f>
        <v>19553.34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19553.34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2490</v>
      </c>
      <c r="C20" s="24">
        <f ca="1">ROUND(D20*E20/10000,0)</f>
        <v>0</v>
      </c>
      <c r="D20" s="1036">
        <f ca="1">IF(C1="",'数据-汇总表'!E6,IF(INDIRECT("'数据-取费表'!c"&amp;$K$1)="住宅",INDIRECT("'数据-取费表'!s"&amp;$K$1),INDIRECT("'数据-取费表'!k"&amp;$K$1)+INDIRECT("'数据-取费表'!s"&amp;$K$1)))</f>
        <v>19553.34</v>
      </c>
      <c r="E20" s="24">
        <f>'数据-取费表'!B28</f>
        <v>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3" sqref="G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2798</v>
      </c>
      <c r="B1" s="241"/>
      <c r="C1" s="245" t="s">
        <v>2799</v>
      </c>
      <c r="D1" s="388">
        <f>SUM(D29:D30,D33:D39)</f>
        <v>19553.34</v>
      </c>
      <c r="E1" s="2720"/>
      <c r="F1" s="2720"/>
      <c r="G1" s="2720"/>
      <c r="H1" s="2720"/>
      <c r="I1" s="2720"/>
      <c r="J1" s="2720"/>
      <c r="K1" s="1373"/>
      <c r="L1" s="2721" t="s">
        <v>2800</v>
      </c>
      <c r="M1" s="1083">
        <f>SUMPRODUCT((区片价!B5:B9=I2)*(区片价!C3:F3=E2)*(区片价!C5:F9))</f>
        <v>0</v>
      </c>
      <c r="N1" s="1086">
        <f>SUMPRODUCT((因素修正幅度!B5:B9=I2)*(因素修正幅度!C3:F3=E2)*(因素修正幅度!C5:F9))</f>
        <v>0</v>
      </c>
      <c r="O1" s="2722"/>
      <c r="P1" s="2722"/>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2818</v>
      </c>
      <c r="C2" s="2724" t="s">
        <v>2807</v>
      </c>
      <c r="D2" s="2725" t="s">
        <v>2808</v>
      </c>
      <c r="E2" s="2726" t="s">
        <v>6</v>
      </c>
      <c r="F2" s="2725" t="s">
        <v>2809</v>
      </c>
      <c r="G2" s="2727" t="str">
        <f>IF(E2="商业",项目基本情况!B37,IF(E2="办公",项目基本情况!C37,IF(E2="住宅",项目基本情况!D37,项目基本情况!E37)))</f>
        <v>七级</v>
      </c>
      <c r="H2" s="2725" t="s">
        <v>2810</v>
      </c>
      <c r="I2" s="2727" t="str">
        <f>IF(E2="商业",项目基本情况!B38,IF(E2="办公",项目基本情况!C38,IF(E2="住宅",项目基本情况!D38,项目基本情况!E38)))</f>
        <v>Ⅶ-顺2</v>
      </c>
      <c r="J2" s="2728"/>
      <c r="K2" s="1373"/>
      <c r="L2" s="2729"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3325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1441</v>
      </c>
      <c r="C3" s="2724" t="s">
        <v>2813</v>
      </c>
      <c r="D3" s="2725" t="s">
        <v>2814</v>
      </c>
      <c r="E3" s="2730" t="s">
        <v>3070</v>
      </c>
      <c r="F3" s="2731" t="s">
        <v>3201</v>
      </c>
      <c r="G3" s="916">
        <f>IF(F3="宗地容积率",'数据-汇总表'!I4,IF(F3="估价对象容积率",'数据-汇总表'!I6,'数据-汇总表'!I7))</f>
        <v>1.99</v>
      </c>
      <c r="H3" s="198" t="s">
        <v>2815</v>
      </c>
      <c r="I3" s="947"/>
      <c r="J3" s="2728" t="s">
        <v>2816</v>
      </c>
      <c r="K3" s="1373"/>
      <c r="L3" s="2729"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2387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0"/>
      <c r="B4" s="3161"/>
      <c r="C4" s="3161"/>
      <c r="D4" s="3162"/>
      <c r="E4" s="3162"/>
      <c r="F4" s="3162"/>
      <c r="G4" s="3162"/>
      <c r="H4" s="3162"/>
      <c r="I4" s="3162"/>
      <c r="J4" s="3163"/>
      <c r="K4" s="1373"/>
      <c r="L4" s="2729"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1926</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2819</v>
      </c>
      <c r="C5" s="917">
        <f>ROUND(IF(E2="商业",IF(F16="增加",C6*C7+C16,C6*C7-C16),IF(E2="住宅",IF(F16="增加",C6*C12+C16,C6*C12-C16),IF(F16="增加",C6+C16,C6-C16))),0)</f>
        <v>1438</v>
      </c>
      <c r="D5" s="1790">
        <f>ROUND(IF(F16="增加",C6+C16,C6-C16),0)</f>
        <v>1438</v>
      </c>
      <c r="E5" s="1790"/>
      <c r="F5" s="2734"/>
      <c r="G5" s="2735"/>
      <c r="H5" s="2735"/>
      <c r="I5" s="2735"/>
      <c r="J5" s="2736"/>
      <c r="K5" s="2737"/>
      <c r="L5" s="2729"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1545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2821</v>
      </c>
      <c r="B6" s="2743" t="s">
        <v>2822</v>
      </c>
      <c r="C6" s="918">
        <f>SUMIF(L1:L12,G2,M1:M12)</f>
        <v>1480</v>
      </c>
      <c r="D6" s="2744" t="s">
        <v>2823</v>
      </c>
      <c r="E6" s="2745"/>
      <c r="F6" s="2745"/>
      <c r="G6" s="2746"/>
      <c r="H6" s="2746"/>
      <c r="I6" s="2746"/>
      <c r="J6" s="2747"/>
      <c r="K6" s="1845"/>
      <c r="L6" s="2729"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1316</v>
      </c>
      <c r="U6" s="1606"/>
      <c r="V6" s="1605">
        <f t="shared" ca="1" si="1"/>
        <v>0</v>
      </c>
      <c r="W6" s="1609"/>
      <c r="X6" s="1609"/>
      <c r="Y6" s="1609"/>
      <c r="Z6" s="1609"/>
      <c r="AA6" s="1609"/>
      <c r="AB6" s="1609"/>
      <c r="AC6" s="2738"/>
      <c r="AD6" s="2739"/>
      <c r="AE6" s="2739"/>
      <c r="AF6" s="2739"/>
      <c r="AG6" s="2739"/>
      <c r="AH6" s="2739"/>
      <c r="AI6" s="2739"/>
      <c r="AJ6" s="2740"/>
    </row>
    <row r="7" spans="1:36" ht="24">
      <c r="A7" s="3146" t="str">
        <f>IF(E2="商业",IF(C8="不临58条商业街","",2),"")</f>
        <v/>
      </c>
      <c r="B7" s="2748" t="s">
        <v>2825</v>
      </c>
      <c r="C7" s="919" t="e">
        <f>IF(C8="不临58条商业街",1,ROUND(1+(1.6*E8+1.2*E9+0.8*E10+0.4*E11)*C9,4))</f>
        <v>#DIV/0!</v>
      </c>
      <c r="D7" s="2749" t="s">
        <v>2826</v>
      </c>
      <c r="E7" s="948"/>
      <c r="F7" s="2750"/>
      <c r="G7" s="2751"/>
      <c r="H7" s="2751"/>
      <c r="I7" s="2751"/>
      <c r="J7" s="2752"/>
      <c r="K7" s="1845"/>
      <c r="L7" s="2729" t="s">
        <v>2827</v>
      </c>
      <c r="M7" s="1084">
        <f>SUMPRODUCT((区片价!B158:B205=I2)*(区片价!C3:F3=E2)*(区片价!C158:F205))</f>
        <v>1480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1157</v>
      </c>
      <c r="U7" s="1606"/>
      <c r="V7" s="1605">
        <f t="shared" ca="1" si="1"/>
        <v>0</v>
      </c>
      <c r="W7" s="1819" t="s">
        <v>2828</v>
      </c>
      <c r="X7" s="1607" t="str">
        <f>G2</f>
        <v>七级</v>
      </c>
      <c r="Y7" s="1607" t="s">
        <v>2829</v>
      </c>
      <c r="Z7" s="1608">
        <f>G3</f>
        <v>1.99</v>
      </c>
      <c r="AA7" s="1609"/>
      <c r="AB7" s="1609"/>
      <c r="AC7" s="1610"/>
      <c r="AD7" s="1611"/>
      <c r="AE7" s="1611"/>
      <c r="AF7" s="1611"/>
      <c r="AG7" s="1611"/>
      <c r="AH7" s="1611"/>
      <c r="AI7" s="1611"/>
      <c r="AJ7" s="1612"/>
    </row>
    <row r="8" spans="1:36" ht="15">
      <c r="A8" s="3147"/>
      <c r="B8" s="198" t="s">
        <v>2830</v>
      </c>
      <c r="C8" s="2753"/>
      <c r="D8" s="920" t="s">
        <v>139</v>
      </c>
      <c r="E8" s="921" t="e">
        <f>ROUND(C11/E7,4)</f>
        <v>#DIV/0!</v>
      </c>
      <c r="F8" s="2754" t="s">
        <v>2831</v>
      </c>
      <c r="G8" s="2755"/>
      <c r="H8" s="2755"/>
      <c r="I8" s="2755"/>
      <c r="J8" s="2756"/>
      <c r="K8" s="1373"/>
      <c r="L8" s="2729"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7" t="s">
        <v>2833</v>
      </c>
      <c r="X8" s="3158"/>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47"/>
      <c r="B9" s="198" t="s">
        <v>2846</v>
      </c>
      <c r="C9" s="922">
        <f>SUMIF(修正!C59:C119,C8,修正!E59:E119)</f>
        <v>0</v>
      </c>
      <c r="D9" s="200" t="s">
        <v>140</v>
      </c>
      <c r="E9" s="200" t="e">
        <f>ROUND(C11/E7,4)</f>
        <v>#DIV/0!</v>
      </c>
      <c r="F9" s="2754" t="s">
        <v>2847</v>
      </c>
      <c r="G9" s="2755"/>
      <c r="H9" s="2755"/>
      <c r="I9" s="2755"/>
      <c r="J9" s="2756"/>
      <c r="K9" s="1373"/>
      <c r="L9" s="2729"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9"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7"/>
      <c r="B10" s="198" t="s">
        <v>2851</v>
      </c>
      <c r="C10" s="200">
        <f>SUMIF(修正!C59:C119,C8,修正!F59:F119)</f>
        <v>0</v>
      </c>
      <c r="D10" s="200" t="s">
        <v>141</v>
      </c>
      <c r="E10" s="200" t="e">
        <f>ROUND(C11/E7,4)</f>
        <v>#DIV/0!</v>
      </c>
      <c r="F10" s="2754" t="s">
        <v>2852</v>
      </c>
      <c r="G10" s="2755"/>
      <c r="H10" s="2755"/>
      <c r="I10" s="2755"/>
      <c r="J10" s="2756"/>
      <c r="K10" s="1373"/>
      <c r="L10" s="2729"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7"/>
      <c r="B11" s="2757" t="s">
        <v>2854</v>
      </c>
      <c r="C11" s="923">
        <f>C10/4</f>
        <v>0</v>
      </c>
      <c r="D11" s="923" t="s">
        <v>142</v>
      </c>
      <c r="E11" s="923" t="e">
        <f>ROUND(C11/E7,4)</f>
        <v>#DIV/0!</v>
      </c>
      <c r="F11" s="2758" t="s">
        <v>2855</v>
      </c>
      <c r="G11" s="2759"/>
      <c r="H11" s="2759"/>
      <c r="I11" s="2759"/>
      <c r="J11" s="2760"/>
      <c r="K11" s="1373"/>
      <c r="L11" s="2729"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9" t="s">
        <v>2857</v>
      </c>
      <c r="X11" s="1617" t="s">
        <v>2858</v>
      </c>
      <c r="Y11" s="1618">
        <f>$G$3</f>
        <v>1.99</v>
      </c>
      <c r="Z11" s="1618">
        <f t="shared" ref="Z11:AJ11" si="3">$G$3</f>
        <v>1.99</v>
      </c>
      <c r="AA11" s="1618">
        <f t="shared" si="3"/>
        <v>1.99</v>
      </c>
      <c r="AB11" s="1618">
        <f t="shared" si="3"/>
        <v>1.99</v>
      </c>
      <c r="AC11" s="1618">
        <f t="shared" si="3"/>
        <v>1.99</v>
      </c>
      <c r="AD11" s="1618">
        <f t="shared" si="3"/>
        <v>1.99</v>
      </c>
      <c r="AE11" s="1618">
        <f t="shared" si="3"/>
        <v>1.99</v>
      </c>
      <c r="AF11" s="1618">
        <f t="shared" si="3"/>
        <v>1.99</v>
      </c>
      <c r="AG11" s="1618">
        <f t="shared" si="3"/>
        <v>1.99</v>
      </c>
      <c r="AH11" s="1618">
        <f t="shared" si="3"/>
        <v>1.99</v>
      </c>
      <c r="AI11" s="1618">
        <f t="shared" si="3"/>
        <v>1.99</v>
      </c>
      <c r="AJ11" s="1618">
        <f t="shared" si="3"/>
        <v>1.99</v>
      </c>
    </row>
    <row r="12" spans="1:36" ht="25.5" thickBot="1">
      <c r="A12" s="3146" t="s">
        <v>2859</v>
      </c>
      <c r="B12" s="2761" t="s">
        <v>2860</v>
      </c>
      <c r="C12" s="919">
        <f>ROUND(C15*D15*E15*F15*G15*H15*I15*J15,4)</f>
        <v>1</v>
      </c>
      <c r="D12" s="2762" t="s">
        <v>2861</v>
      </c>
      <c r="E12" s="2763"/>
      <c r="F12" s="2763"/>
      <c r="G12" s="2764"/>
      <c r="H12" s="2764"/>
      <c r="I12" s="2764"/>
      <c r="J12" s="2765"/>
      <c r="K12" s="1373"/>
      <c r="L12" s="2766"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9"/>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4"/>
      <c r="B13" s="2767" t="s">
        <v>2864</v>
      </c>
      <c r="C13" s="2768" t="s">
        <v>2865</v>
      </c>
      <c r="D13" s="1811" t="s">
        <v>2866</v>
      </c>
      <c r="E13" s="1811" t="s">
        <v>2867</v>
      </c>
      <c r="F13" s="30" t="s">
        <v>2868</v>
      </c>
      <c r="G13" s="2769" t="s">
        <v>2869</v>
      </c>
      <c r="H13" s="2769" t="s">
        <v>2869</v>
      </c>
      <c r="I13" s="2769" t="s">
        <v>2869</v>
      </c>
      <c r="J13" s="2770" t="s">
        <v>2869</v>
      </c>
      <c r="K13" s="1373"/>
      <c r="L13" s="1373"/>
      <c r="M13" s="1373"/>
      <c r="N13" s="1373"/>
      <c r="O13" s="1373"/>
      <c r="P13" s="1373"/>
      <c r="Q13" s="1373"/>
      <c r="R13" s="1605">
        <v>12</v>
      </c>
      <c r="S13" s="1606"/>
      <c r="T13" s="1605">
        <f t="shared" ca="1" si="0"/>
        <v>0</v>
      </c>
      <c r="U13" s="1606"/>
      <c r="V13" s="1605">
        <f t="shared" ca="1" si="1"/>
        <v>0</v>
      </c>
      <c r="W13" s="3159"/>
      <c r="X13" s="1619"/>
      <c r="Y13" s="1616">
        <f>(-0.163*(Y12^2)-0.59*Y12+7617)*(10^(-4))/Y11</f>
        <v>0.38276381909547741</v>
      </c>
      <c r="Z13" s="1616">
        <f t="shared" ref="Z13:AJ13" si="5">(-0.163*(Z12^2)-0.59*Z12+7617)*(10^(-4))/Z11</f>
        <v>0.38276381909547741</v>
      </c>
      <c r="AA13" s="1616">
        <f t="shared" si="5"/>
        <v>0.38276381909547741</v>
      </c>
      <c r="AB13" s="1616">
        <f t="shared" si="5"/>
        <v>0.38276381909547741</v>
      </c>
      <c r="AC13" s="1616">
        <f t="shared" si="5"/>
        <v>0.38276381909547741</v>
      </c>
      <c r="AD13" s="1616">
        <f t="shared" si="5"/>
        <v>0.38276381909547741</v>
      </c>
      <c r="AE13" s="1616">
        <f t="shared" si="5"/>
        <v>0.38276381909547741</v>
      </c>
      <c r="AF13" s="1616">
        <f t="shared" si="5"/>
        <v>0.38276381909547741</v>
      </c>
      <c r="AG13" s="1616">
        <f t="shared" si="5"/>
        <v>0.38276381909547741</v>
      </c>
      <c r="AH13" s="1616">
        <f t="shared" si="5"/>
        <v>0.38276381909547741</v>
      </c>
      <c r="AI13" s="1616">
        <f t="shared" si="5"/>
        <v>0.38276381909547741</v>
      </c>
      <c r="AJ13" s="1616">
        <f t="shared" si="5"/>
        <v>0.38276381909547741</v>
      </c>
    </row>
    <row r="14" spans="1:36" ht="15">
      <c r="A14" s="3164"/>
      <c r="B14" s="2771"/>
      <c r="C14" s="2772"/>
      <c r="D14" s="2773"/>
      <c r="E14" s="2773"/>
      <c r="F14" s="2774"/>
      <c r="G14" s="2775" t="s">
        <v>2870</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5"/>
      <c r="B15" s="2779" t="s">
        <v>2871</v>
      </c>
      <c r="C15" s="229">
        <f>IF(C14="有",1.1,1)</f>
        <v>1</v>
      </c>
      <c r="D15" s="229">
        <f>IF(D14="有",1.1,1)</f>
        <v>1</v>
      </c>
      <c r="E15" s="229">
        <f>IF(E14="有",1.1,1)</f>
        <v>1</v>
      </c>
      <c r="F15" s="229">
        <f>IF(F14="500米范围内",1.2,IF(F14="500-1000米",1.1,1))</f>
        <v>1</v>
      </c>
      <c r="G15" s="949">
        <v>1</v>
      </c>
      <c r="H15" s="949">
        <v>1</v>
      </c>
      <c r="I15" s="949">
        <v>1</v>
      </c>
      <c r="J15" s="950">
        <v>1</v>
      </c>
      <c r="K15" s="1373"/>
      <c r="L15" s="2780" t="s">
        <v>2808</v>
      </c>
      <c r="M15" s="920" t="s">
        <v>2872</v>
      </c>
      <c r="N15" s="920" t="s">
        <v>2873</v>
      </c>
      <c r="O15" s="920" t="s">
        <v>2874</v>
      </c>
      <c r="P15" s="2781"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6" t="s">
        <v>2876</v>
      </c>
      <c r="B16" s="2748" t="s">
        <v>2877</v>
      </c>
      <c r="C16" s="1804">
        <f>ROUND(SUM(G17:J17)/C17,0)</f>
        <v>42</v>
      </c>
      <c r="D16" s="2782" t="s">
        <v>2878</v>
      </c>
      <c r="E16" s="2783" t="s">
        <v>3073</v>
      </c>
      <c r="F16" s="2784" t="s">
        <v>3071</v>
      </c>
      <c r="G16" s="2785" t="s">
        <v>3072</v>
      </c>
      <c r="H16" s="2785"/>
      <c r="I16" s="2785"/>
      <c r="J16" s="2786"/>
      <c r="K16" s="1373"/>
      <c r="L16" s="2787"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7"/>
      <c r="B17" s="2788" t="s">
        <v>2880</v>
      </c>
      <c r="C17" s="924">
        <f>SUMPRODUCT((修正!A2:A5=E2)*(修正!B1:M1=G2)*(修正!B2:M5))</f>
        <v>1.2</v>
      </c>
      <c r="D17" s="2789" t="s">
        <v>2881</v>
      </c>
      <c r="E17" s="923" t="str">
        <f>IF(OR(G2="八级",G2="九级",G2="十级",G2="十一级",G2="十二级"),"五通一平","七通一平")</f>
        <v>七通一平</v>
      </c>
      <c r="F17" s="924" t="s">
        <v>2882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2884</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2885</v>
      </c>
      <c r="C19" s="927">
        <f>ROUND(IF(H19="按公示增长率计算",SUMPRODUCT((地价!A3:A24=YEAR(G19)&amp;"-"&amp;ROUNDUP(MONTH(G19)/3,0))*(地价!X2:AB2=E2)*(地价!X3:AB24)),IF(H19="地价指数",M20/M19,(1+I19)^O19)),4)</f>
        <v>1.3258000000000001</v>
      </c>
      <c r="D19" s="2800" t="s">
        <v>2886</v>
      </c>
      <c r="E19" s="928">
        <v>41640</v>
      </c>
      <c r="F19" s="2800" t="s">
        <v>2887</v>
      </c>
      <c r="G19" s="929">
        <f>'数据-取费表'!B2</f>
        <v>43473</v>
      </c>
      <c r="H19" s="2801" t="s">
        <v>3078</v>
      </c>
      <c r="I19" s="930">
        <f>IF(H19="季度增幅（自定义）",SUMIF(N21:N24,E2,O21:O24),"")</f>
        <v>1.4200000000000001E-2</v>
      </c>
      <c r="J19" s="2798"/>
      <c r="K19" s="1380"/>
      <c r="L19" s="2802" t="s">
        <v>2888</v>
      </c>
      <c r="M19" s="1737">
        <f>ROUND(SUMIF(地价!B2:F2,E2,地价!B24:F24),0)</f>
        <v>230</v>
      </c>
      <c r="N19" s="2803"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2890</v>
      </c>
      <c r="C20" s="932">
        <f ca="1">ROUND(POWER(1+G20,J20-I20)*(POWER(1+G20,I20)-1)/(POWER(1+G20,J20)-1),4)</f>
        <v>0.89790000000000003</v>
      </c>
      <c r="D20" s="2809" t="s">
        <v>2891</v>
      </c>
      <c r="E20" s="1771">
        <f ca="1">存贷款利率!D4/100</f>
        <v>4.3499999999999997E-2</v>
      </c>
      <c r="F20" s="2809" t="s">
        <v>2883</v>
      </c>
      <c r="G20" s="937">
        <f ca="1">SUMIF(M15:P15,E2,M17:P17)</f>
        <v>4.8000000000000001E-2</v>
      </c>
      <c r="H20" s="2809" t="s">
        <v>2892</v>
      </c>
      <c r="I20" s="938">
        <f>SUMIF('数据-取费表'!C6:C15,E2,'数据-取费表'!F6:F15)/COUNTIF('数据-取费表'!C6:C15,E2)</f>
        <v>35.619999999999997</v>
      </c>
      <c r="J20" s="939">
        <f>IF(E2="住宅",70,IF(E2="商业",40,50))</f>
        <v>50</v>
      </c>
      <c r="K20" s="1380"/>
      <c r="L20" s="2810" t="s">
        <v>2893</v>
      </c>
      <c r="M20" s="1738">
        <f>ROUND(SUMPRODUCT((地价!A4:A24=YEAR(G19)&amp;"-"&amp;ROUNDUP(MONTH(G19)/3,0))*(地价!B2:F2=E2)*(地价!B4:F24)),0)</f>
        <v>0</v>
      </c>
      <c r="N20" s="2811" t="s">
        <v>2894</v>
      </c>
      <c r="O20" s="2812" t="s">
        <v>2895</v>
      </c>
      <c r="P20" s="2813" t="s">
        <v>2896</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0.80710000000000004</v>
      </c>
      <c r="D21" s="2816"/>
      <c r="E21" s="2816"/>
      <c r="F21" s="2816"/>
      <c r="G21" s="2816"/>
      <c r="H21" s="2816"/>
      <c r="I21" s="2816"/>
      <c r="J21" s="2817"/>
      <c r="K21" s="1380"/>
      <c r="N21" s="2818"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1" customFormat="1" ht="14.25">
      <c r="A22" s="2667" t="s">
        <v>2898</v>
      </c>
      <c r="B22" s="2819" t="s">
        <v>2899</v>
      </c>
      <c r="C22" s="1813" t="s">
        <v>2900</v>
      </c>
      <c r="D22" s="1813">
        <f>IF(E22=G22,F22,IF(G3&lt;=10,ROUND(F22+(H22-F22)*(G3-E22)/(G22-E22),4),"——"))</f>
        <v>0.80710000000000004</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3" t="s">
        <v>155</v>
      </c>
      <c r="J22" s="941" t="str">
        <f>IF(G3&gt;10,D113,"——")</f>
        <v>——</v>
      </c>
      <c r="K22" s="1380"/>
      <c r="N22" s="2818"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2902</v>
      </c>
      <c r="B23" s="2820" t="s">
        <v>2903</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2905</v>
      </c>
      <c r="C24" s="927">
        <f>SUMIF(A45:A88,E2,B45:B88)</f>
        <v>1.0427</v>
      </c>
      <c r="D24" s="2796"/>
      <c r="E24" s="2826"/>
      <c r="F24" s="2826"/>
      <c r="G24" s="2826"/>
      <c r="H24" s="2826"/>
      <c r="I24" s="2826"/>
      <c r="J24" s="2827"/>
      <c r="K24" s="1380"/>
      <c r="N24" s="2828" t="s">
        <v>2906</v>
      </c>
      <c r="O24" s="1566">
        <f>地价!AH5</f>
        <v>1.4200000000000001E-2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2907</v>
      </c>
      <c r="C25" s="933"/>
      <c r="D25" s="2751"/>
      <c r="E25" s="2751"/>
      <c r="F25" s="2830"/>
      <c r="G25" s="2751"/>
      <c r="H25" s="2751"/>
      <c r="I25" s="2751"/>
      <c r="J25" s="2752"/>
      <c r="K25" s="1373"/>
      <c r="N25" s="2831"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2"/>
      <c r="B26" s="2819" t="s">
        <v>2909</v>
      </c>
      <c r="C26" s="206">
        <f ca="1">E29+SUM(E33:E39)</f>
        <v>2818</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2910</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2911</v>
      </c>
      <c r="C28" s="2843" t="s">
        <v>2912</v>
      </c>
      <c r="D28" s="2843" t="s">
        <v>2913</v>
      </c>
      <c r="E28" s="2844" t="s">
        <v>2914</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2915</v>
      </c>
      <c r="C29" s="206">
        <f ca="1">ROUND(C5*C18*C19*C20*C21*C24,0)</f>
        <v>1441</v>
      </c>
      <c r="D29" s="2848">
        <f>'数据-汇总表'!F19</f>
        <v>19553.34</v>
      </c>
      <c r="E29" s="945">
        <f ca="1">ROUND(C29*D29/10000,0)</f>
        <v>2818</v>
      </c>
      <c r="F29" s="2849" t="s">
        <v>2916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2917</v>
      </c>
      <c r="C30" s="229">
        <f ca="1">ROUND(IF(E2="工业",C29*M39,C29*M38),0)</f>
        <v>216</v>
      </c>
      <c r="D30" s="2854"/>
      <c r="E30" s="945">
        <f ca="1">ROUND(C30*D30/10000,0)</f>
        <v>0</v>
      </c>
      <c r="F30" s="2855" t="s">
        <v>2918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2919</v>
      </c>
      <c r="C31" s="2860" t="s">
        <v>2920</v>
      </c>
      <c r="D31" s="2764"/>
      <c r="E31" s="2860"/>
      <c r="F31" s="2860"/>
      <c r="G31" s="2762" t="s">
        <v>2921</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2912</v>
      </c>
      <c r="D32" s="498" t="s">
        <v>2913</v>
      </c>
      <c r="E32" s="498" t="s">
        <v>2914</v>
      </c>
      <c r="F32" s="388" t="s">
        <v>2922</v>
      </c>
      <c r="G32" s="2863" t="s">
        <v>2912</v>
      </c>
      <c r="H32" s="2863" t="s">
        <v>2913</v>
      </c>
      <c r="I32" s="2863"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4" t="s">
        <v>2923</v>
      </c>
      <c r="B33" s="2864" t="s">
        <v>2924</v>
      </c>
      <c r="C33" s="206">
        <f ca="1">ROUND(D5*C19*C20*C24*F33,0)</f>
        <v>1249</v>
      </c>
      <c r="D33" s="2848"/>
      <c r="E33" s="200">
        <f ca="1">ROUND(C33*D33/10000,0)</f>
        <v>0</v>
      </c>
      <c r="F33" s="200">
        <f>SUMIF(修正!A45:A56,G2,修正!B45:B56)</f>
        <v>0.7</v>
      </c>
      <c r="G33" s="200">
        <f t="shared" ref="G33" ca="1" si="6">ROUND(IF(E2="工业",C33*$M$39,C33*$M$38),0)</f>
        <v>187</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5"/>
      <c r="B34" s="2768" t="s">
        <v>2925</v>
      </c>
      <c r="C34" s="206">
        <f ca="1">ROUND(D5*C19*C20*C24*F34,0)</f>
        <v>714</v>
      </c>
      <c r="D34" s="2848"/>
      <c r="E34" s="200">
        <f t="shared" ref="E34:E39" ca="1" si="7">ROUND(C34*D34/10000,0)</f>
        <v>0</v>
      </c>
      <c r="F34" s="200">
        <f>SUMIF(修正!A45:A56,G2,修正!C45:C56)</f>
        <v>0.4</v>
      </c>
      <c r="G34" s="200">
        <f ca="1">ROUND(IF(E2="工业",C34*$M$39,C34*$M$38),0)</f>
        <v>107</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5"/>
      <c r="B35" s="2768" t="s">
        <v>2926</v>
      </c>
      <c r="C35" s="206">
        <f ca="1">ROUND(D5*C19*C20*C24*F35,0)</f>
        <v>500</v>
      </c>
      <c r="D35" s="2848"/>
      <c r="E35" s="200">
        <f t="shared" ca="1" si="7"/>
        <v>0</v>
      </c>
      <c r="F35" s="200">
        <f>SUMIF(修正!A45:A56,G2,修正!D45:D56)</f>
        <v>0.28000000000000003</v>
      </c>
      <c r="G35" s="200">
        <f ca="1">ROUND(IF(E2="工业",C35*$M$39,C35*$M$38),0)</f>
        <v>75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6"/>
      <c r="B36" s="2768" t="s">
        <v>2927</v>
      </c>
      <c r="C36" s="206">
        <f ca="1">ROUND(D5*C19*C20*C24*F36,0)</f>
        <v>446</v>
      </c>
      <c r="D36" s="2848"/>
      <c r="E36" s="200">
        <f t="shared" ca="1" si="7"/>
        <v>0</v>
      </c>
      <c r="F36" s="200">
        <f>SUMIF(修正!A45:A56,G2,修正!E45:E56)</f>
        <v>0.25</v>
      </c>
      <c r="G36" s="200">
        <f ca="1">ROUND(IF(E2="工业",C36*$M$39,C36*$M$38),0)</f>
        <v>67</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2928</v>
      </c>
      <c r="C37" s="200">
        <f ca="1">ROUND(D5*C19*C20*C24*F37,0)</f>
        <v>446</v>
      </c>
      <c r="D37" s="2848"/>
      <c r="E37" s="200">
        <f t="shared" ca="1" si="7"/>
        <v>0</v>
      </c>
      <c r="F37" s="206">
        <f>SUMIF(修正!A45:A56,G2,修正!F45:F56)</f>
        <v>0.25</v>
      </c>
      <c r="G37" s="200">
        <f ca="1">ROUND(IF(E2="工业",C37*$M$39,C37*$M$38),0)</f>
        <v>67</v>
      </c>
      <c r="H37" s="200">
        <f t="shared" si="8"/>
        <v>0</v>
      </c>
      <c r="I37" s="200">
        <f t="shared" ca="1" si="9"/>
        <v>0</v>
      </c>
      <c r="J37" s="2865"/>
      <c r="K37" s="1373"/>
      <c r="L37" s="2867" t="s">
        <v>2929</v>
      </c>
      <c r="M37" s="2868"/>
      <c r="N37" s="1373"/>
      <c r="O37" s="1373"/>
      <c r="P37" s="1373"/>
      <c r="Q37" s="1373"/>
      <c r="R37" s="1373"/>
      <c r="S37" s="1373"/>
      <c r="T37" s="1373"/>
      <c r="U37" s="1373"/>
      <c r="V37" s="1373"/>
      <c r="W37" s="1373"/>
      <c r="X37" s="1373"/>
      <c r="Y37" s="1373"/>
      <c r="Z37" s="1374"/>
    </row>
    <row r="38" spans="1:37">
      <c r="A38" s="2866"/>
      <c r="B38" s="2768" t="s">
        <v>2930</v>
      </c>
      <c r="C38" s="200">
        <f ca="1">ROUND(D5*C19*C41*C24*F38,0)</f>
        <v>0</v>
      </c>
      <c r="D38" s="2848"/>
      <c r="E38" s="200">
        <f t="shared" ca="1" si="7"/>
        <v>0</v>
      </c>
      <c r="F38" s="206">
        <f>SUMIF(修正!A45:A56,G2,修正!G45:G56)</f>
        <v>0.25</v>
      </c>
      <c r="G38" s="200">
        <f ca="1">ROUND(IF(E2="工业",C38*$M$39,C38*$M$38),0)</f>
        <v>0</v>
      </c>
      <c r="H38" s="200">
        <f t="shared" si="8"/>
        <v>0</v>
      </c>
      <c r="I38" s="200">
        <f t="shared" ca="1" si="9"/>
        <v>0</v>
      </c>
      <c r="J38" s="2865"/>
      <c r="K38" s="1373"/>
      <c r="L38" s="1890" t="s">
        <v>2931</v>
      </c>
      <c r="M38" s="2869">
        <v>0.25</v>
      </c>
      <c r="N38" s="1373"/>
      <c r="O38" s="1373"/>
      <c r="P38" s="1373"/>
      <c r="Q38" s="1373"/>
      <c r="R38" s="1373"/>
      <c r="S38" s="1373"/>
      <c r="T38" s="1373"/>
      <c r="U38" s="1373"/>
      <c r="V38" s="1373"/>
      <c r="W38" s="1373"/>
      <c r="X38" s="1373"/>
      <c r="Y38" s="1373"/>
      <c r="Z38" s="1374"/>
    </row>
    <row r="39" spans="1:37" ht="13.5" thickBot="1">
      <c r="A39" s="2852"/>
      <c r="B39" s="2870" t="s">
        <v>2932</v>
      </c>
      <c r="C39" s="229">
        <f ca="1">ROUND(D5*C19*C41*C24*F39,0)</f>
        <v>0</v>
      </c>
      <c r="D39" s="2854"/>
      <c r="E39" s="229">
        <f t="shared" ca="1" si="7"/>
        <v>0</v>
      </c>
      <c r="F39" s="935">
        <f>SUMIF(修正!A45:A56,G2,修正!H45:H56)</f>
        <v>0.2</v>
      </c>
      <c r="G39" s="229">
        <f ca="1">ROUND(IF(E2="工业",C39*$M$39,C39*$M$38),0)</f>
        <v>0</v>
      </c>
      <c r="H39" s="229">
        <f t="shared" si="8"/>
        <v>0</v>
      </c>
      <c r="I39" s="229">
        <f t="shared" ca="1" si="9"/>
        <v>0</v>
      </c>
      <c r="J39" s="2871"/>
      <c r="K39" s="1373"/>
      <c r="L39" s="2872" t="s">
        <v>2875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6" t="s">
        <v>3044</v>
      </c>
      <c r="C41" s="388">
        <f ca="1">ROUND(POWER(1+E41,H41-G41)*(POWER(1+E41,G41)-1)/(POWER(1+E41,H41)-1),4)</f>
        <v>0</v>
      </c>
      <c r="D41" s="200" t="s">
        <v>2883</v>
      </c>
      <c r="E41" s="2945">
        <f ca="1">G20</f>
        <v>4.8000000000000001E-2</v>
      </c>
      <c r="F41" s="200" t="s">
        <v>2892</v>
      </c>
      <c r="G41" s="218"/>
      <c r="H41" s="200">
        <v>50</v>
      </c>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2933</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2934</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2935</v>
      </c>
      <c r="B47" s="1812" t="s">
        <v>2936</v>
      </c>
      <c r="C47" s="1812" t="s">
        <v>2937</v>
      </c>
      <c r="D47" s="1812" t="s">
        <v>2938</v>
      </c>
      <c r="E47" s="819" t="s">
        <v>2939</v>
      </c>
      <c r="F47" s="2882" t="s">
        <v>2940</v>
      </c>
      <c r="G47" s="1812" t="s">
        <v>754</v>
      </c>
      <c r="H47" s="2883" t="s">
        <v>2941</v>
      </c>
      <c r="I47" s="1812" t="s">
        <v>2942</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c r="A48" s="2881" t="s">
        <v>2943</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2944</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2945</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2946</v>
      </c>
      <c r="B51" s="2886" t="s">
        <v>2947</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2948</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2949</v>
      </c>
      <c r="B53" s="2887" t="s">
        <v>2950</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2951</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2952</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2953</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2954</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2935</v>
      </c>
      <c r="B58" s="1812"/>
      <c r="C58" s="1812" t="s">
        <v>2937</v>
      </c>
      <c r="D58" s="1812" t="s">
        <v>2938</v>
      </c>
      <c r="E58" s="819" t="s">
        <v>2939</v>
      </c>
      <c r="F58" s="2882" t="s">
        <v>2955</v>
      </c>
      <c r="G58" s="1812" t="s">
        <v>754</v>
      </c>
      <c r="H58" s="2883" t="s">
        <v>2941</v>
      </c>
      <c r="I58" s="1812" t="s">
        <v>2942</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c r="A59" s="2881" t="s">
        <v>2956</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2944</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2945</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2946</v>
      </c>
      <c r="B62" s="2886" t="s">
        <v>2947</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2948</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2949</v>
      </c>
      <c r="B64" s="2887" t="s">
        <v>2950</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2951</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2952</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2953</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2935</v>
      </c>
      <c r="B69" s="1812"/>
      <c r="C69" s="1812" t="s">
        <v>2937</v>
      </c>
      <c r="D69" s="1812" t="s">
        <v>2938</v>
      </c>
      <c r="E69" s="819" t="s">
        <v>2939</v>
      </c>
      <c r="F69" s="2882" t="s">
        <v>2955</v>
      </c>
      <c r="G69" s="1812" t="s">
        <v>754</v>
      </c>
      <c r="H69" s="2883" t="s">
        <v>2941</v>
      </c>
      <c r="I69" s="1812" t="s">
        <v>2942</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1" t="s">
        <v>2958</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2944</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2945</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2959</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2951</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2952</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2949</v>
      </c>
      <c r="B76" s="2887" t="s">
        <v>2950</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2953</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2960</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2961</v>
      </c>
      <c r="B79" s="2878">
        <f>1+E81</f>
        <v>1.0427</v>
      </c>
      <c r="C79" s="814"/>
      <c r="D79" s="814"/>
      <c r="E79" s="815"/>
      <c r="F79" s="2880"/>
      <c r="G79" s="6"/>
      <c r="H79" s="6"/>
      <c r="I79" s="6"/>
      <c r="J79" s="7"/>
      <c r="K79" s="7"/>
      <c r="L79" s="7"/>
      <c r="M79" s="7"/>
      <c r="N79" s="7"/>
      <c r="Z79" s="2723"/>
      <c r="AA79" s="2799"/>
      <c r="AG79" s="1375"/>
      <c r="AK79" s="2799"/>
    </row>
    <row r="80" spans="1:37" ht="24.75">
      <c r="A80" s="2881" t="s">
        <v>2935</v>
      </c>
      <c r="B80" s="1812"/>
      <c r="C80" s="1812" t="s">
        <v>2937</v>
      </c>
      <c r="D80" s="1812" t="s">
        <v>2938</v>
      </c>
      <c r="E80" s="819" t="s">
        <v>2939</v>
      </c>
      <c r="F80" s="2882" t="s">
        <v>2955</v>
      </c>
      <c r="G80" s="1812" t="s">
        <v>754</v>
      </c>
      <c r="H80" s="2883" t="s">
        <v>2941</v>
      </c>
      <c r="I80" s="1812" t="s">
        <v>2942</v>
      </c>
      <c r="J80" s="603" t="s">
        <v>2592</v>
      </c>
      <c r="K80" s="603" t="s">
        <v>2593</v>
      </c>
      <c r="L80" s="603" t="s">
        <v>2594</v>
      </c>
      <c r="M80" s="603" t="s">
        <v>2595</v>
      </c>
      <c r="N80" s="603" t="s">
        <v>2596</v>
      </c>
      <c r="Z80" s="2723"/>
      <c r="AA80" s="2799"/>
      <c r="AG80" s="1375"/>
      <c r="AK80" s="2799"/>
    </row>
    <row r="81" spans="1:37" ht="38.25">
      <c r="A81" s="2881" t="s">
        <v>2962</v>
      </c>
      <c r="B81" s="2885" t="str">
        <f>估价对象房地状况!G15</f>
        <v>估价对象位于XX开发区，园区建设成熟度XX，产业集聚程度XX</v>
      </c>
      <c r="C81" s="2773" t="s">
        <v>3075</v>
      </c>
      <c r="D81" s="1289">
        <f t="shared" ref="D81:D88" si="25">SUMIF($J$80:$N$80,C81,J81:N81)</f>
        <v>1.6899999999999998E-2</v>
      </c>
      <c r="E81" s="821">
        <f>ROUND(SUM(D81:D88),4)</f>
        <v>4.2700000000000002E-2</v>
      </c>
      <c r="F81" s="2504">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3"/>
      <c r="AA81" s="2799"/>
      <c r="AG81" s="1375"/>
      <c r="AK81" s="2799"/>
    </row>
    <row r="82" spans="1:37" ht="51">
      <c r="A82" s="2881" t="s">
        <v>2944</v>
      </c>
      <c r="B82" s="2885" t="str">
        <f>估价对象房地状况!G16</f>
        <v>估价对象周边道路状况、公共交通通达情况、停车便捷程度，综合评价交通便捷度较好</v>
      </c>
      <c r="C82" s="2773" t="s">
        <v>3076</v>
      </c>
      <c r="D82" s="1289">
        <f t="shared" si="25"/>
        <v>0</v>
      </c>
      <c r="E82" s="826"/>
      <c r="F82" s="2504"/>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23"/>
      <c r="AA82" s="2799"/>
      <c r="AG82" s="1375"/>
      <c r="AK82" s="2799"/>
    </row>
    <row r="83" spans="1:37" ht="24">
      <c r="A83" s="2881" t="s">
        <v>2945</v>
      </c>
      <c r="B83" s="2885">
        <f>估价对象房地状况!G17</f>
        <v>0</v>
      </c>
      <c r="C83" s="2773" t="s">
        <v>3075</v>
      </c>
      <c r="D83" s="1289">
        <f t="shared" si="25"/>
        <v>3.2000000000000002E-3</v>
      </c>
      <c r="E83" s="826"/>
      <c r="F83" s="2504"/>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23"/>
      <c r="AA83" s="2799"/>
      <c r="AG83" s="1375"/>
      <c r="AK83" s="2799"/>
    </row>
    <row r="84" spans="1:37" ht="14.25">
      <c r="A84" s="2881" t="s">
        <v>2959</v>
      </c>
      <c r="B84" s="2885">
        <f>估价对象房地状况!G22</f>
        <v>0</v>
      </c>
      <c r="C84" s="2773" t="s">
        <v>3076</v>
      </c>
      <c r="D84" s="1289">
        <f t="shared" si="25"/>
        <v>0</v>
      </c>
      <c r="E84" s="826"/>
      <c r="F84" s="2504"/>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23"/>
      <c r="AA84" s="2799"/>
      <c r="AG84" s="1375"/>
      <c r="AK84" s="2799"/>
    </row>
    <row r="85" spans="1:37" ht="25.5">
      <c r="A85" s="2881" t="s">
        <v>2951</v>
      </c>
      <c r="B85" s="1728" t="str">
        <f>估价对象房地状况!G19</f>
        <v>估价对象所在区域公共配套设施齐备情况</v>
      </c>
      <c r="C85" s="2773" t="s">
        <v>3076</v>
      </c>
      <c r="D85" s="1289">
        <f t="shared" si="25"/>
        <v>0</v>
      </c>
      <c r="E85" s="826"/>
      <c r="F85" s="2504"/>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23"/>
      <c r="AA85" s="2799"/>
      <c r="AG85" s="1375"/>
      <c r="AK85" s="2799"/>
    </row>
    <row r="86" spans="1:37" ht="25.5">
      <c r="A86" s="2881" t="s">
        <v>2952</v>
      </c>
      <c r="B86" s="1728" t="str">
        <f>估价对象房地状况!G20</f>
        <v>估价对象所在区域基础设施水平</v>
      </c>
      <c r="C86" s="2773" t="s">
        <v>3077</v>
      </c>
      <c r="D86" s="1289">
        <f t="shared" si="25"/>
        <v>1.9400000000000001E-2</v>
      </c>
      <c r="E86" s="826"/>
      <c r="F86" s="2504"/>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23"/>
      <c r="AA86" s="2799"/>
      <c r="AG86" s="1375"/>
      <c r="AK86" s="2799"/>
    </row>
    <row r="87" spans="1:37" ht="24">
      <c r="A87" s="2881" t="s">
        <v>2949</v>
      </c>
      <c r="B87" s="2887" t="s">
        <v>2963</v>
      </c>
      <c r="C87" s="2773" t="s">
        <v>3075</v>
      </c>
      <c r="D87" s="1289">
        <f t="shared" si="25"/>
        <v>3.2000000000000002E-3</v>
      </c>
      <c r="E87" s="826"/>
      <c r="F87" s="2504"/>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23"/>
      <c r="AA87" s="2799"/>
      <c r="AG87" s="1375"/>
      <c r="AK87" s="2799"/>
    </row>
    <row r="88" spans="1:37" ht="39" thickBot="1">
      <c r="A88" s="2889" t="s">
        <v>2964</v>
      </c>
      <c r="B88" s="2894" t="str">
        <f>估价对象房地状况!G18</f>
        <v>该园区内是否有污染型企业，绿化情况，卫生条件，整体环境状况判断</v>
      </c>
      <c r="C88" s="2773" t="s">
        <v>3076</v>
      </c>
      <c r="D88" s="1289">
        <f t="shared" si="25"/>
        <v>0</v>
      </c>
      <c r="E88" s="827"/>
      <c r="F88" s="2504"/>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23"/>
      <c r="AA88" s="2799"/>
      <c r="AG88" s="1375"/>
      <c r="AK88" s="2799"/>
    </row>
    <row r="90" spans="1:37">
      <c r="A90" s="3148" t="s">
        <v>2965</v>
      </c>
      <c r="B90" s="3148"/>
      <c r="C90" s="3148"/>
      <c r="D90" s="3148"/>
      <c r="E90" s="3148"/>
      <c r="F90" s="3148"/>
      <c r="G90" s="3148"/>
      <c r="H90" s="3148"/>
      <c r="I90" s="3148"/>
      <c r="J90" s="3148"/>
      <c r="K90" s="2895"/>
      <c r="L90" s="2895"/>
      <c r="M90" s="2895"/>
      <c r="N90" s="2895"/>
    </row>
    <row r="91" spans="1:37">
      <c r="A91" s="3150" t="s">
        <v>2966</v>
      </c>
      <c r="B91" s="3150" t="s">
        <v>2967</v>
      </c>
      <c r="C91" s="2849" t="s">
        <v>2968</v>
      </c>
      <c r="D91" s="2850"/>
      <c r="E91" s="2850"/>
      <c r="F91" s="2850"/>
      <c r="G91" s="2850"/>
      <c r="H91" s="2850"/>
      <c r="I91" s="2850"/>
      <c r="J91" s="2896"/>
      <c r="K91" s="2897"/>
      <c r="L91" s="2897"/>
      <c r="M91" s="2897"/>
      <c r="N91" s="2897"/>
    </row>
    <row r="92" spans="1:37">
      <c r="A92" s="3150"/>
      <c r="B92" s="3150"/>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51" t="s">
        <v>2969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2"/>
      <c r="B99" s="2898" t="s">
        <v>2850</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51" t="s">
        <v>2970</v>
      </c>
      <c r="B101" s="2902" t="s">
        <v>2971</v>
      </c>
      <c r="C101" s="2903">
        <f>$G$3</f>
        <v>1.99</v>
      </c>
      <c r="D101" s="2903">
        <f t="shared" ref="D101:N101" si="32">$G$3</f>
        <v>1.99</v>
      </c>
      <c r="E101" s="2903">
        <f t="shared" si="32"/>
        <v>1.99</v>
      </c>
      <c r="F101" s="2903">
        <f t="shared" si="32"/>
        <v>1.99</v>
      </c>
      <c r="G101" s="2903">
        <f t="shared" si="32"/>
        <v>1.99</v>
      </c>
      <c r="H101" s="2903">
        <f t="shared" si="32"/>
        <v>1.99</v>
      </c>
      <c r="I101" s="2903">
        <f t="shared" si="32"/>
        <v>1.99</v>
      </c>
      <c r="J101" s="2903">
        <f t="shared" si="32"/>
        <v>1.99</v>
      </c>
      <c r="K101" s="2903">
        <f t="shared" si="32"/>
        <v>1.99</v>
      </c>
      <c r="L101" s="2903">
        <f t="shared" si="32"/>
        <v>1.99</v>
      </c>
      <c r="M101" s="2903">
        <f t="shared" si="32"/>
        <v>1.99</v>
      </c>
      <c r="N101" s="2903">
        <f t="shared" si="32"/>
        <v>1.99</v>
      </c>
    </row>
    <row r="102" spans="1:14">
      <c r="A102" s="3152"/>
      <c r="B102" s="2898">
        <v>1</v>
      </c>
      <c r="C102" s="2899">
        <f>1.9362/C101</f>
        <v>0.97296482412060303</v>
      </c>
      <c r="D102" s="2899">
        <f>1.9362/D101</f>
        <v>0.97296482412060303</v>
      </c>
      <c r="E102" s="2899">
        <f>1.8629/E101</f>
        <v>0.93613065326633171</v>
      </c>
      <c r="F102" s="2899">
        <f>1.8629/F101</f>
        <v>0.93613065326633171</v>
      </c>
      <c r="G102" s="2899">
        <f>1.8629/G101</f>
        <v>0.93613065326633171</v>
      </c>
      <c r="H102" s="2899">
        <f>1.8629/H101</f>
        <v>0.93613065326633171</v>
      </c>
      <c r="I102" s="2899">
        <f>1.8629/I101</f>
        <v>0.93613065326633171</v>
      </c>
      <c r="J102" s="2899">
        <f>1.942/J101</f>
        <v>0.97587939698492465</v>
      </c>
      <c r="K102" s="2899">
        <f>1.942/K101</f>
        <v>0.97587939698492465</v>
      </c>
      <c r="L102" s="2899">
        <f>1.942/L101</f>
        <v>0.97587939698492465</v>
      </c>
      <c r="M102" s="2899">
        <f>1.942/M101</f>
        <v>0.97587939698492465</v>
      </c>
      <c r="N102" s="2899">
        <f>1.942/N101</f>
        <v>0.97587939698492465</v>
      </c>
    </row>
    <row r="103" spans="1:14">
      <c r="A103" s="3152"/>
      <c r="B103" s="2898">
        <v>2</v>
      </c>
      <c r="C103" s="2899">
        <f>1.4198/C101</f>
        <v>0.71346733668341711</v>
      </c>
      <c r="D103" s="2899">
        <f>1.4198/D101</f>
        <v>0.71346733668341711</v>
      </c>
      <c r="E103" s="2899">
        <f>1.3372/E101</f>
        <v>0.67195979899497482</v>
      </c>
      <c r="F103" s="2899">
        <f>1.3372/F101</f>
        <v>0.67195979899497482</v>
      </c>
      <c r="G103" s="2899">
        <f>1.3372/G101</f>
        <v>0.67195979899497482</v>
      </c>
      <c r="H103" s="2899">
        <f>1.3372/H101</f>
        <v>0.67195979899497482</v>
      </c>
      <c r="I103" s="2899">
        <f>1.3372/I101</f>
        <v>0.67195979899497482</v>
      </c>
      <c r="J103" s="2899">
        <f>1.2799/J101</f>
        <v>0.64316582914572862</v>
      </c>
      <c r="K103" s="2899">
        <f>1.2799/K101</f>
        <v>0.64316582914572862</v>
      </c>
      <c r="L103" s="2899">
        <f>1.2799/L101</f>
        <v>0.64316582914572862</v>
      </c>
      <c r="M103" s="2899">
        <f>1.2799/M101</f>
        <v>0.64316582914572862</v>
      </c>
      <c r="N103" s="2899">
        <f>1.2799/N101</f>
        <v>0.64316582914572862</v>
      </c>
    </row>
    <row r="104" spans="1:14">
      <c r="A104" s="3152"/>
      <c r="B104" s="2898">
        <v>3</v>
      </c>
      <c r="C104" s="2899">
        <f>1.1594/C101</f>
        <v>0.58261306532663315</v>
      </c>
      <c r="D104" s="2899">
        <f>1.1594/D101</f>
        <v>0.58261306532663315</v>
      </c>
      <c r="E104" s="2899">
        <f>1.0788/E101</f>
        <v>0.54211055276381914</v>
      </c>
      <c r="F104" s="2899">
        <f>1.0788/F101</f>
        <v>0.54211055276381914</v>
      </c>
      <c r="G104" s="2899">
        <f>1.0788/G101</f>
        <v>0.54211055276381914</v>
      </c>
      <c r="H104" s="2899">
        <f>1.0788/H101</f>
        <v>0.54211055276381914</v>
      </c>
      <c r="I104" s="2899">
        <f>1.0788/I101</f>
        <v>0.54211055276381914</v>
      </c>
      <c r="J104" s="2899">
        <f>1.0072/J101</f>
        <v>0.50613065326633166</v>
      </c>
      <c r="K104" s="2899">
        <f>1.0072/K101</f>
        <v>0.50613065326633166</v>
      </c>
      <c r="L104" s="2899">
        <f>1.0072/L101</f>
        <v>0.50613065326633166</v>
      </c>
      <c r="M104" s="2899">
        <f>1.0072/M101</f>
        <v>0.50613065326633166</v>
      </c>
      <c r="N104" s="2899">
        <f>1.0072/N101</f>
        <v>0.50613065326633166</v>
      </c>
    </row>
    <row r="105" spans="1:14">
      <c r="A105" s="3152"/>
      <c r="B105" s="2898">
        <v>4</v>
      </c>
      <c r="C105" s="2899">
        <f>0.9622/C101</f>
        <v>0.48351758793969851</v>
      </c>
      <c r="D105" s="2899">
        <f>0.9622/D101</f>
        <v>0.48351758793969851</v>
      </c>
      <c r="E105" s="2899">
        <f>0.8656/E101</f>
        <v>0.43497487437185933</v>
      </c>
      <c r="F105" s="2899">
        <f>0.8656/F101</f>
        <v>0.43497487437185933</v>
      </c>
      <c r="G105" s="2899">
        <f>0.8656/G101</f>
        <v>0.43497487437185933</v>
      </c>
      <c r="H105" s="2899">
        <f>0.8656/H101</f>
        <v>0.43497487437185933</v>
      </c>
      <c r="I105" s="2899">
        <f>0.8656/I101</f>
        <v>0.43497487437185933</v>
      </c>
      <c r="J105" s="2899">
        <f>0.7525/J101</f>
        <v>0.37814070351758794</v>
      </c>
      <c r="K105" s="2899">
        <f>0.7525/K101</f>
        <v>0.37814070351758794</v>
      </c>
      <c r="L105" s="2899">
        <f>0.7525/L101</f>
        <v>0.37814070351758794</v>
      </c>
      <c r="M105" s="2899">
        <f>0.7525/M101</f>
        <v>0.37814070351758794</v>
      </c>
      <c r="N105" s="2899">
        <f>0.7525/N101</f>
        <v>0.37814070351758794</v>
      </c>
    </row>
    <row r="106" spans="1:14">
      <c r="A106" s="3152"/>
      <c r="B106" s="2898">
        <v>5</v>
      </c>
      <c r="C106" s="2899">
        <f>0.8417/C101</f>
        <v>0.42296482412060304</v>
      </c>
      <c r="D106" s="2899">
        <f>0.8417/D101</f>
        <v>0.42296482412060304</v>
      </c>
      <c r="E106" s="2899">
        <f>0.7371/E101</f>
        <v>0.37040201005025125</v>
      </c>
      <c r="F106" s="2899">
        <f>0.7371/F101</f>
        <v>0.37040201005025125</v>
      </c>
      <c r="G106" s="2899">
        <f>0.7371/G101</f>
        <v>0.37040201005025125</v>
      </c>
      <c r="H106" s="2899">
        <f>0.7371/H101</f>
        <v>0.37040201005025125</v>
      </c>
      <c r="I106" s="2899">
        <f>0.7371/I101</f>
        <v>0.37040201005025125</v>
      </c>
      <c r="J106" s="2899">
        <f>0.5659/J101</f>
        <v>0.2843718592964824</v>
      </c>
      <c r="K106" s="2899">
        <f>0.5659/K101</f>
        <v>0.2843718592964824</v>
      </c>
      <c r="L106" s="2899">
        <f>0.5659/L101</f>
        <v>0.2843718592964824</v>
      </c>
      <c r="M106" s="2899">
        <f>0.5659/M101</f>
        <v>0.2843718592964824</v>
      </c>
      <c r="N106" s="2899">
        <f>0.5659/N101</f>
        <v>0.2843718592964824</v>
      </c>
    </row>
    <row r="107" spans="1:14">
      <c r="A107" s="3152"/>
      <c r="B107" s="2898">
        <v>6</v>
      </c>
      <c r="C107" s="2899">
        <f>0.7608/C101</f>
        <v>0.38231155778894477</v>
      </c>
      <c r="D107" s="2899">
        <f>0.7608/D101</f>
        <v>0.38231155778894477</v>
      </c>
      <c r="E107" s="2899">
        <f>0.6482/E101</f>
        <v>0.32572864321608042</v>
      </c>
      <c r="F107" s="2899">
        <f>0.6482/F101</f>
        <v>0.32572864321608042</v>
      </c>
      <c r="G107" s="2899">
        <f>0.6482/G101</f>
        <v>0.32572864321608042</v>
      </c>
      <c r="H107" s="2899">
        <f>0.6482/H101</f>
        <v>0.32572864321608042</v>
      </c>
      <c r="I107" s="2899">
        <f>0.6482/I101</f>
        <v>0.32572864321608042</v>
      </c>
      <c r="J107" s="2899">
        <f>0.4525/J101</f>
        <v>0.22738693467336685</v>
      </c>
      <c r="K107" s="2899">
        <f>0.4525/K101</f>
        <v>0.22738693467336685</v>
      </c>
      <c r="L107" s="2899">
        <f>0.4525/L101</f>
        <v>0.22738693467336685</v>
      </c>
      <c r="M107" s="2899">
        <f>0.4525/M101</f>
        <v>0.22738693467336685</v>
      </c>
      <c r="N107" s="2899">
        <f>0.4525/N101</f>
        <v>0.22738693467336685</v>
      </c>
    </row>
    <row r="108" spans="1:14">
      <c r="A108" s="3152"/>
      <c r="B108" s="3077" t="s">
        <v>2972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53"/>
      <c r="B109" s="3078"/>
      <c r="C109" s="2901">
        <f>(-0.163*(C108^2)-0.59*C108+7617)*(10^(-4))/C101</f>
        <v>0.38276381909547741</v>
      </c>
      <c r="D109" s="2901">
        <f>(-0.163*(D108^2)-0.59*D108+7617)*(10^(-4))/D101</f>
        <v>0.38276381909547741</v>
      </c>
      <c r="E109" s="2901">
        <f>(-0.161*(E108^2)-7.509*E108+6533)*(10^(-4))/E101</f>
        <v>0.32829145728643216</v>
      </c>
      <c r="F109" s="2901">
        <f>(-0.161*(F108^2)-7.509*F108+6533)*(10^(-4))/F101</f>
        <v>0.32829145728643216</v>
      </c>
      <c r="G109" s="2901">
        <f>(-0.161*(G108^2)-7.509*G108+6533)*(10^(-4))/G101</f>
        <v>0.32829145728643216</v>
      </c>
      <c r="H109" s="2901">
        <f>(-0.161*(H108^2)-7.509*H108+6533)*(10^(-4))/H101</f>
        <v>0.32829145728643216</v>
      </c>
      <c r="I109" s="2901">
        <f>(-0.161*(I108^2)-7.509*I108+6533)*(10^(-4))/I101</f>
        <v>0.32829145728643216</v>
      </c>
      <c r="J109" s="2901">
        <f>(-0.214*(J108^2)-21.991*J108+4665)*(10^(-4))/J101</f>
        <v>0.23442211055276382</v>
      </c>
      <c r="K109" s="2901">
        <f>(-0.214*(K108^2)-21.991*K108+4665)*(10^(-4))/K101</f>
        <v>0.23442211055276382</v>
      </c>
      <c r="L109" s="2901">
        <f>(-0.214*(L108^2)-21.991*L108+4665)*(10^(-4))/L101</f>
        <v>0.23442211055276382</v>
      </c>
      <c r="M109" s="2901">
        <f>(-0.214*(M108^2)-21.991*M108+4665)*(10^(-4))/M101</f>
        <v>0.23442211055276382</v>
      </c>
      <c r="N109" s="2901">
        <f>(-0.214*(N108^2)-21.991*N108+4665)*(10^(-4))/N101</f>
        <v>0.23442211055276382</v>
      </c>
    </row>
    <row r="110" spans="1:14">
      <c r="A110" s="3149" t="s">
        <v>2973</v>
      </c>
      <c r="B110" s="3149"/>
      <c r="C110" s="3149"/>
      <c r="D110" s="3149"/>
      <c r="E110" s="3149"/>
      <c r="F110" s="3149"/>
      <c r="G110" s="3149"/>
      <c r="H110" s="3149"/>
      <c r="I110" s="3149"/>
      <c r="J110" s="3149"/>
      <c r="K110" s="2904"/>
      <c r="L110" s="2904"/>
      <c r="M110" s="2904"/>
      <c r="N110" s="2904"/>
    </row>
    <row r="112" spans="1:14" ht="13.5" thickBot="1"/>
    <row r="113" spans="1:13" ht="25.5" thickBot="1">
      <c r="A113" s="903" t="s">
        <v>2974</v>
      </c>
      <c r="B113" s="1290">
        <f>G3</f>
        <v>1.99</v>
      </c>
      <c r="C113" s="904" t="s">
        <v>2975</v>
      </c>
      <c r="D113" s="905">
        <f>SUMPRODUCT((A115:A118=F113)*(B114:M114=H113)*B115:M118)</f>
        <v>0.60560000000000003</v>
      </c>
      <c r="E113" s="2727" t="s">
        <v>2808</v>
      </c>
      <c r="F113" s="2906" t="str">
        <f>E2</f>
        <v>工业</v>
      </c>
      <c r="G113" s="2727" t="s">
        <v>2809</v>
      </c>
      <c r="H113" s="2906" t="str">
        <f>G2</f>
        <v>七级</v>
      </c>
      <c r="I113" s="2727"/>
      <c r="J113" s="2907"/>
      <c r="K113" s="2907"/>
      <c r="L113" s="2907"/>
      <c r="M113" s="2907"/>
    </row>
    <row r="114" spans="1:13">
      <c r="A114" s="908"/>
      <c r="B114" s="2908" t="s">
        <v>2976</v>
      </c>
      <c r="C114" s="2908" t="s">
        <v>2977</v>
      </c>
      <c r="D114" s="2908" t="s">
        <v>2978</v>
      </c>
      <c r="E114" s="2909" t="s">
        <v>2979</v>
      </c>
      <c r="F114" s="2909" t="s">
        <v>2980</v>
      </c>
      <c r="G114" s="2909" t="s">
        <v>2981</v>
      </c>
      <c r="H114" s="2910" t="s">
        <v>2982</v>
      </c>
      <c r="I114" s="2910" t="s">
        <v>2983</v>
      </c>
      <c r="J114" s="2911" t="s">
        <v>2984</v>
      </c>
      <c r="K114" s="2911" t="s">
        <v>2985</v>
      </c>
      <c r="L114" s="2911" t="s">
        <v>2986</v>
      </c>
      <c r="M114" s="2912" t="s">
        <v>2987</v>
      </c>
    </row>
    <row r="115" spans="1:13">
      <c r="A115" s="909" t="s">
        <v>2872</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4">I115</f>
        <v>0.65820000000000001</v>
      </c>
      <c r="K115" s="910">
        <f t="shared" si="34"/>
        <v>0.65820000000000001</v>
      </c>
      <c r="L115" s="910">
        <f t="shared" si="34"/>
        <v>0.65820000000000001</v>
      </c>
      <c r="M115" s="911">
        <f t="shared" si="34"/>
        <v>0.65820000000000001</v>
      </c>
    </row>
    <row r="116" spans="1:13">
      <c r="A116" s="909" t="s">
        <v>2873</v>
      </c>
      <c r="B116" s="910">
        <f>ROUND(0.949-0.012*B113,4)</f>
        <v>0.92510000000000003</v>
      </c>
      <c r="C116" s="910">
        <f>B116</f>
        <v>0.92510000000000003</v>
      </c>
      <c r="D116" s="910">
        <f>ROUND(0.8567-0.013*B113,4)</f>
        <v>0.83079999999999998</v>
      </c>
      <c r="E116" s="910">
        <f t="shared" ref="E116:H117" si="35">D116</f>
        <v>0.83079999999999998</v>
      </c>
      <c r="F116" s="910">
        <f t="shared" si="35"/>
        <v>0.83079999999999998</v>
      </c>
      <c r="G116" s="910">
        <f t="shared" si="35"/>
        <v>0.83079999999999998</v>
      </c>
      <c r="H116" s="910">
        <f t="shared" si="35"/>
        <v>0.83079999999999998</v>
      </c>
      <c r="I116" s="910">
        <f>ROUND(0.7694-0.014*B113,4)</f>
        <v>0.74150000000000005</v>
      </c>
      <c r="J116" s="910">
        <f t="shared" si="34"/>
        <v>0.74150000000000005</v>
      </c>
      <c r="K116" s="910">
        <f t="shared" si="34"/>
        <v>0.74150000000000005</v>
      </c>
      <c r="L116" s="910">
        <f t="shared" si="34"/>
        <v>0.74150000000000005</v>
      </c>
      <c r="M116" s="911">
        <f t="shared" si="34"/>
        <v>0.74150000000000005</v>
      </c>
    </row>
    <row r="117" spans="1:13">
      <c r="A117" s="909" t="s">
        <v>2874</v>
      </c>
      <c r="B117" s="910">
        <f>ROUND(0.8808-0.006*B113,4)</f>
        <v>0.86890000000000001</v>
      </c>
      <c r="C117" s="910">
        <f>B117</f>
        <v>0.86890000000000001</v>
      </c>
      <c r="D117" s="910">
        <f>ROUND(0.8748-0.008*B113,4)</f>
        <v>0.8589</v>
      </c>
      <c r="E117" s="910">
        <f t="shared" si="35"/>
        <v>0.8589</v>
      </c>
      <c r="F117" s="910">
        <f t="shared" si="35"/>
        <v>0.8589</v>
      </c>
      <c r="G117" s="910">
        <f t="shared" si="35"/>
        <v>0.8589</v>
      </c>
      <c r="H117" s="910">
        <f t="shared" si="35"/>
        <v>0.8589</v>
      </c>
      <c r="I117" s="910">
        <f>ROUND(0.7412-0.0095*B113,4)</f>
        <v>0.72230000000000005</v>
      </c>
      <c r="J117" s="910">
        <f t="shared" si="34"/>
        <v>0.72230000000000005</v>
      </c>
      <c r="K117" s="910">
        <f t="shared" si="34"/>
        <v>0.72230000000000005</v>
      </c>
      <c r="L117" s="910">
        <f t="shared" si="34"/>
        <v>0.72230000000000005</v>
      </c>
      <c r="M117" s="911">
        <f t="shared" si="34"/>
        <v>0.72230000000000005</v>
      </c>
    </row>
    <row r="118" spans="1:13" ht="13.5" thickBot="1">
      <c r="A118" s="714" t="s">
        <v>2875</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4"/>
        <v>0.53959999999999997</v>
      </c>
      <c r="K118" s="912">
        <f t="shared" si="34"/>
        <v>0.53959999999999997</v>
      </c>
      <c r="L118" s="912">
        <f t="shared" si="34"/>
        <v>0.53959999999999997</v>
      </c>
      <c r="M118" s="913">
        <f t="shared" si="34"/>
        <v>0.53959999999999997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9" sqref="E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35.619999999999997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23009</v>
      </c>
      <c r="C2" s="1848" t="s">
        <v>1512</v>
      </c>
      <c r="D2" s="1848"/>
      <c r="E2" s="1849"/>
      <c r="F2" s="1850"/>
      <c r="G2" s="1851"/>
      <c r="H2" s="1843"/>
      <c r="I2" s="1843"/>
      <c r="J2" s="1843"/>
      <c r="K2" s="1844"/>
      <c r="L2" s="1843"/>
      <c r="M2" s="1843"/>
    </row>
    <row r="3" spans="1:37" ht="18" customHeight="1" thickBot="1">
      <c r="A3" s="1852" t="s">
        <v>1513</v>
      </c>
      <c r="B3" s="1853">
        <f ca="1">IF(ISERROR(B2*10000/F43),0,ROUND(B2*10000/F43,0))</f>
        <v>11767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1479</v>
      </c>
      <c r="D5" s="1825" t="s">
        <v>1398</v>
      </c>
      <c r="E5" s="1296"/>
      <c r="F5" s="1297"/>
      <c r="G5" s="1854"/>
      <c r="H5" s="344">
        <v>1</v>
      </c>
      <c r="I5" s="345" t="s">
        <v>1397</v>
      </c>
      <c r="J5" s="1295">
        <f ca="1">J6+J10+J12</f>
        <v>0</v>
      </c>
      <c r="K5" s="1825" t="s">
        <v>1398</v>
      </c>
      <c r="L5" s="1296"/>
      <c r="M5" s="1297"/>
    </row>
    <row r="6" spans="1:37" ht="18" customHeight="1">
      <c r="A6" s="1294" t="s">
        <v>1032</v>
      </c>
      <c r="B6" s="3168" t="s">
        <v>1399</v>
      </c>
      <c r="C6" s="1299">
        <f ca="1">ROUND(F6*F8*F7*(1-F9)/10000,0)</f>
        <v>1477</v>
      </c>
      <c r="D6" s="164" t="s">
        <v>3025</v>
      </c>
      <c r="E6" s="347" t="s">
        <v>1401</v>
      </c>
      <c r="F6" s="348">
        <f ca="1">INDIRECT("'数据-取费表'!u"&amp;$G$1)</f>
        <v>2.2999999999999998</v>
      </c>
      <c r="G6" s="1854"/>
      <c r="H6" s="1294" t="s">
        <v>1032</v>
      </c>
      <c r="I6" s="3168" t="s">
        <v>1399</v>
      </c>
      <c r="J6" s="346">
        <f ca="1">ROUND(M6*M8*M7*(1-M9)/10000,0)</f>
        <v>0</v>
      </c>
      <c r="K6" s="164" t="s">
        <v>3024</v>
      </c>
      <c r="L6" s="347" t="s">
        <v>1401</v>
      </c>
      <c r="M6" s="348">
        <f ca="1">INDIRECT("'数据-取费表'!z"&amp;$G$1)</f>
        <v>0</v>
      </c>
    </row>
    <row r="7" spans="1:37" ht="18" customHeight="1">
      <c r="A7" s="1298"/>
      <c r="B7" s="3169"/>
      <c r="C7" s="1300"/>
      <c r="D7" s="352"/>
      <c r="E7" s="1301" t="s">
        <v>1402</v>
      </c>
      <c r="F7" s="348">
        <f ca="1">IF(INDIRECT("'数据-取费表'!ah"&amp;$G$1)="",INDIRECT("'数据-取费表'!k"&amp;$G$1),INDIRECT("'数据-取费表'!ah"&amp;$G$1))</f>
        <v>19553.34</v>
      </c>
      <c r="G7" s="1854"/>
      <c r="H7" s="349"/>
      <c r="I7" s="3169"/>
      <c r="J7" s="351"/>
      <c r="K7" s="352"/>
      <c r="L7" s="347" t="s">
        <v>1402</v>
      </c>
      <c r="M7" s="348">
        <f ca="1">F7</f>
        <v>19553.34</v>
      </c>
    </row>
    <row r="8" spans="1:37" ht="18" customHeight="1">
      <c r="A8" s="349"/>
      <c r="B8" s="3169"/>
      <c r="C8" s="351"/>
      <c r="D8" s="352"/>
      <c r="E8" s="347" t="s">
        <v>1403</v>
      </c>
      <c r="F8" s="348">
        <f ca="1">INDIRECT("'数据-取费表'!ai"&amp;$G$1)</f>
        <v>365</v>
      </c>
      <c r="G8" s="1854"/>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4"/>
      <c r="H9" s="349"/>
      <c r="I9" s="3170"/>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3034</v>
      </c>
      <c r="E10" s="358" t="s">
        <v>1406</v>
      </c>
      <c r="F10" s="1369" t="s">
        <v>3069</v>
      </c>
      <c r="G10" s="1854"/>
      <c r="H10" s="1294" t="s">
        <v>1036</v>
      </c>
      <c r="I10" s="1826" t="s">
        <v>1405</v>
      </c>
      <c r="J10" s="346">
        <f ca="1">ROUND(IF(M10="押一",J6/12*M11,IF(M10="押二",J6/12*2*M11,IF(M10="押三",J6/12*3*M11,J11*M11))),0)</f>
        <v>0</v>
      </c>
      <c r="K10" s="1827" t="s">
        <v>3033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7573</v>
      </c>
      <c r="D13" s="1334" t="s">
        <v>1411</v>
      </c>
      <c r="E13" s="1334" t="s">
        <v>1412</v>
      </c>
      <c r="F13" s="1335">
        <f ca="1">INDIRECT("'数据-取费表'!y"&amp;$G$1)</f>
        <v>0.95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5389</v>
      </c>
      <c r="D14" s="1803" t="s">
        <v>1414</v>
      </c>
      <c r="E14" s="1797"/>
      <c r="F14" s="364"/>
      <c r="G14" s="1854"/>
      <c r="H14" s="1204" t="s">
        <v>1032</v>
      </c>
      <c r="I14" s="347" t="s">
        <v>1415</v>
      </c>
      <c r="J14" s="24">
        <f ca="1">C29</f>
        <v>7972</v>
      </c>
      <c r="K14" s="15"/>
      <c r="L14" s="982"/>
      <c r="M14" s="983"/>
    </row>
    <row r="15" spans="1:37" s="1861" customFormat="1" ht="18" customHeight="1" thickBot="1">
      <c r="A15" s="1204" t="s">
        <v>1033</v>
      </c>
      <c r="B15" s="347" t="s">
        <v>1416</v>
      </c>
      <c r="C15" s="24">
        <f ca="1">ROUND(C14*F15,0)</f>
        <v>162</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188</v>
      </c>
      <c r="K16" s="1340" t="s">
        <v>1421</v>
      </c>
      <c r="L16" s="1341"/>
      <c r="M16" s="1297"/>
    </row>
    <row r="17" spans="1:37" s="1861" customFormat="1" ht="18" customHeight="1">
      <c r="A17" s="1204" t="s">
        <v>1386</v>
      </c>
      <c r="B17" s="347" t="s">
        <v>1422</v>
      </c>
      <c r="C17" s="24">
        <f ca="1">ROUND(F17*(F43+INDIRECT("'数据-取费表'!S"&amp;$G$1))/10000,0)</f>
        <v>391</v>
      </c>
      <c r="D17" s="347" t="s">
        <v>1423</v>
      </c>
      <c r="E17" s="347" t="s">
        <v>1424</v>
      </c>
      <c r="F17" s="26">
        <f>'数据-取费表'!B35</f>
        <v>200</v>
      </c>
      <c r="G17" s="1857"/>
      <c r="H17" s="1204" t="s">
        <v>1032</v>
      </c>
      <c r="I17" s="347" t="s">
        <v>1425</v>
      </c>
      <c r="J17" s="24">
        <f ca="1">ROUND(IF(项目基本情况!B11="自然人",J5*M17,J18+J19+J20),1)</f>
        <v>68.3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6023</v>
      </c>
      <c r="D19" s="140" t="s">
        <v>1432</v>
      </c>
      <c r="E19" s="1821"/>
      <c r="F19" s="26"/>
      <c r="G19" s="1854"/>
      <c r="H19" s="1204" t="s">
        <v>1033</v>
      </c>
      <c r="I19" s="347" t="s">
        <v>1433</v>
      </c>
      <c r="J19" s="24">
        <f ca="1">IF(K19="按租金收入计税",ROUND(J5*M19,2),ROUND(C29*M19*0.7,2))</f>
        <v>66.959999999999994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120</v>
      </c>
      <c r="D20" s="369" t="s">
        <v>1436</v>
      </c>
      <c r="E20" s="347" t="s">
        <v>1418</v>
      </c>
      <c r="F20" s="367">
        <f>'数据-取费表'!B37</f>
        <v>0.02</v>
      </c>
      <c r="G20" s="1857"/>
      <c r="H20" s="1204" t="s">
        <v>1385</v>
      </c>
      <c r="I20" s="164" t="s">
        <v>1437</v>
      </c>
      <c r="J20" s="25">
        <f ca="1">ROUND(M20*M21/10000,2)</f>
        <v>1.37</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9161.2099999999991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119.6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292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-188</v>
      </c>
      <c r="K25" s="1348" t="s">
        <v>1460</v>
      </c>
      <c r="L25" s="1349"/>
      <c r="M25" s="1350"/>
    </row>
    <row r="26" spans="1:37">
      <c r="A26" s="1204" t="s">
        <v>1031</v>
      </c>
      <c r="B26" s="347" t="s">
        <v>1461</v>
      </c>
      <c r="C26" s="24">
        <f ca="1">ROUND((C19+C20)*F26,0)</f>
        <v>921</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7972</v>
      </c>
      <c r="D29" s="1345"/>
      <c r="E29" s="1343"/>
      <c r="F29" s="1346"/>
      <c r="G29" s="1857"/>
      <c r="H29" s="380" t="s">
        <v>1030</v>
      </c>
      <c r="I29" s="381" t="s">
        <v>1475</v>
      </c>
      <c r="J29" s="382">
        <f ca="1">ROUND(J26/(1+F40)^F41,0)</f>
        <v>0</v>
      </c>
      <c r="K29" s="383" t="s">
        <v>1476</v>
      </c>
      <c r="L29" s="384"/>
      <c r="M29" s="385">
        <f ca="1">INDIRECT("'数据-取费表'!k"&amp;$G$1)</f>
        <v>19553.34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404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257.7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78.88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177.48</v>
      </c>
      <c r="D33" s="1831" t="s">
        <v>3082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1.37</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9161.2099999999991</v>
      </c>
      <c r="G35" s="1854"/>
      <c r="H35" s="745"/>
      <c r="I35" s="1863"/>
      <c r="J35" s="1864"/>
      <c r="K35" s="1865"/>
      <c r="L35" s="1862"/>
      <c r="M35" s="1862"/>
    </row>
    <row r="36" spans="1:18" ht="18" customHeight="1">
      <c r="A36" s="1355" t="s">
        <v>1036</v>
      </c>
      <c r="B36" s="347" t="s">
        <v>1445</v>
      </c>
      <c r="C36" s="24">
        <f ca="1">ROUND(C29*F36,1)</f>
        <v>119.6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14.8</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1075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23009</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35.619999999999997</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11767</v>
      </c>
      <c r="D43" s="383" t="s">
        <v>1484</v>
      </c>
      <c r="E43" s="384" t="s">
        <v>1485</v>
      </c>
      <c r="F43" s="385">
        <f ca="1">INDIRECT("'数据-取费表'!k"&amp;$G$1)</f>
        <v>19553.34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-35425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3083</v>
      </c>
      <c r="K47" s="1885" t="s">
        <v>1523</v>
      </c>
      <c r="L47" s="1886">
        <f ca="1">INDIRECT("'数据-取费表'!d"&amp;$G$1)</f>
        <v>50</v>
      </c>
      <c r="M47" s="1841" t="str">
        <f>IF(ISNUMBER(FIND("住宅",C1)),"住宅","非住宅")</f>
        <v>非住宅</v>
      </c>
      <c r="O47" s="1887" t="s">
        <v>1037</v>
      </c>
      <c r="P47" s="1888" t="s">
        <v>1524</v>
      </c>
      <c r="Q47" s="1889">
        <f ca="1">C40+J29</f>
        <v>23009</v>
      </c>
      <c r="R47" s="1889" t="s">
        <v>1525</v>
      </c>
    </row>
    <row r="48" spans="1:18" s="1845" customFormat="1" ht="28.5" thickBot="1">
      <c r="A48" s="1363" t="s">
        <v>1132</v>
      </c>
      <c r="B48" s="345" t="s">
        <v>1397</v>
      </c>
      <c r="C48" s="1820">
        <f ca="1">C49+C53+C55</f>
        <v>0</v>
      </c>
      <c r="D48" s="1365"/>
      <c r="E48" s="1366"/>
      <c r="F48" s="1184"/>
      <c r="G48" s="792"/>
      <c r="H48" s="793"/>
      <c r="I48" s="1890" t="s">
        <v>1526</v>
      </c>
      <c r="J48" s="1891" t="s">
        <v>3084</v>
      </c>
      <c r="K48" s="1892" t="s">
        <v>1527</v>
      </c>
      <c r="L48" s="1893">
        <f ca="1">INDIRECT("'数据-取费表'!f"&amp;$G$1)</f>
        <v>35.619999999999997</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3026</v>
      </c>
      <c r="E49" s="1833" t="s">
        <v>1487</v>
      </c>
      <c r="F49" s="1284"/>
      <c r="G49" s="1894"/>
      <c r="H49" s="793"/>
      <c r="I49" s="1890" t="s">
        <v>1530</v>
      </c>
      <c r="J49" s="1895">
        <v>2015</v>
      </c>
      <c r="K49" s="1892" t="s">
        <v>1531</v>
      </c>
      <c r="L49" s="1896"/>
      <c r="O49" s="1897" t="s">
        <v>1039</v>
      </c>
      <c r="P49" s="1888" t="s">
        <v>1532</v>
      </c>
      <c r="Q49" s="1889">
        <f ca="1">C29</f>
        <v>7972</v>
      </c>
      <c r="R49" s="1889" t="s">
        <v>1525</v>
      </c>
    </row>
    <row r="50" spans="1:18" s="1845" customFormat="1" ht="13.5" thickBot="1">
      <c r="A50" s="1198"/>
      <c r="B50" s="1201"/>
      <c r="C50" s="1371"/>
      <c r="D50" s="1175"/>
      <c r="E50" s="1280" t="s">
        <v>1402</v>
      </c>
      <c r="F50" s="1281">
        <f ca="1">F7</f>
        <v>19553.34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7586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35.619999999999997</v>
      </c>
      <c r="R52" s="1889" t="s">
        <v>1542</v>
      </c>
    </row>
    <row r="53" spans="1:18" s="1845" customFormat="1" ht="24.75" thickBot="1">
      <c r="A53" s="1408" t="s">
        <v>1134</v>
      </c>
      <c r="B53" s="1834" t="s">
        <v>1405</v>
      </c>
      <c r="C53" s="361">
        <f ca="1">ROUND(IF(F53="押一",C49/12*F11,IF(F53="押二",C49/12*2*F11,IF(F53="押三",C49/12*3*F11,C54*F11))),0)</f>
        <v>0</v>
      </c>
      <c r="D53" s="1827" t="s">
        <v>3033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35.619999999999997</v>
      </c>
      <c r="K53" s="3166" t="s">
        <v>1544</v>
      </c>
      <c r="L53" s="3167"/>
      <c r="O53" s="1887" t="s">
        <v>1043</v>
      </c>
      <c r="P53" s="1888" t="s">
        <v>1545</v>
      </c>
      <c r="Q53" s="1889">
        <f ca="1">Q47+Q48</f>
        <v>23009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7573</v>
      </c>
      <c r="D56" s="1917"/>
      <c r="E56" s="1918"/>
      <c r="F56" s="1910"/>
      <c r="I56" s="1919" t="s">
        <v>1550</v>
      </c>
      <c r="J56" s="1920" t="s">
        <v>3062</v>
      </c>
      <c r="K56" s="1890" t="s">
        <v>1551</v>
      </c>
      <c r="L56" s="1893" t="str">
        <f ca="1">IF(L48&lt;J51,"——",L48-J53)</f>
        <v>——</v>
      </c>
      <c r="O56" s="1887" t="s">
        <v>1037</v>
      </c>
      <c r="P56" s="1888" t="s">
        <v>1524</v>
      </c>
      <c r="Q56" s="1889">
        <f ca="1">C40+J29</f>
        <v>23009</v>
      </c>
      <c r="R56" s="1889" t="s">
        <v>1525</v>
      </c>
    </row>
    <row r="57" spans="1:18" s="1845" customFormat="1" ht="24.75" thickBot="1">
      <c r="A57" s="1921"/>
      <c r="B57" s="1172" t="s">
        <v>1474</v>
      </c>
      <c r="C57" s="282">
        <f ca="1">C29</f>
        <v>7972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802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671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669.65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1.37</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23009</v>
      </c>
      <c r="R62" s="1889" t="s">
        <v>1044</v>
      </c>
    </row>
    <row r="63" spans="1:18" s="1845" customFormat="1" ht="13.5" thickBot="1">
      <c r="A63" s="372"/>
      <c r="B63" s="1178"/>
      <c r="C63" s="29"/>
      <c r="D63" s="1188"/>
      <c r="E63" s="1172" t="s">
        <v>1495</v>
      </c>
      <c r="F63" s="348">
        <f t="shared" ca="1" si="0"/>
        <v>9161.2099999999991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119.6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11.4</v>
      </c>
      <c r="D65" s="1186" t="s">
        <v>1450</v>
      </c>
      <c r="E65" s="1172" t="s">
        <v>1451</v>
      </c>
      <c r="F65" s="376">
        <f t="shared" ca="1" si="0"/>
        <v>1.5E-3</v>
      </c>
      <c r="I65" s="1932" t="s">
        <v>1575</v>
      </c>
      <c r="J65" s="1933">
        <v>40</v>
      </c>
      <c r="K65" s="1933">
        <v>30</v>
      </c>
      <c r="L65" s="1933">
        <v>50</v>
      </c>
      <c r="M65" s="1935">
        <v>0.02</v>
      </c>
      <c r="O65" s="1887" t="s">
        <v>1037</v>
      </c>
      <c r="P65" s="1888" t="s">
        <v>1576</v>
      </c>
      <c r="Q65" s="1889">
        <f ca="1">C40+J29</f>
        <v>23009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-802</v>
      </c>
      <c r="D67" s="1185" t="s">
        <v>1460</v>
      </c>
      <c r="E67" s="1190"/>
      <c r="F67" s="1191"/>
      <c r="O67" s="1897" t="s">
        <v>1039</v>
      </c>
      <c r="P67" s="1888" t="s">
        <v>1558</v>
      </c>
      <c r="Q67" s="1936">
        <f ca="1">L51</f>
        <v>7586</v>
      </c>
      <c r="R67" s="1889" t="s">
        <v>1578</v>
      </c>
    </row>
    <row r="68" spans="1:18" s="1845" customFormat="1" ht="16.5" thickBot="1">
      <c r="A68" s="1169" t="s">
        <v>1029</v>
      </c>
      <c r="B68" s="1170" t="s">
        <v>1481</v>
      </c>
      <c r="C68" s="346">
        <f ca="1">ROUND(C67*(1-((1+F70)/(1+F68))^F69)/(F68-F70),0)</f>
        <v>-12416</v>
      </c>
      <c r="D68" s="1187" t="s">
        <v>1465</v>
      </c>
      <c r="E68" s="1172" t="s">
        <v>1466</v>
      </c>
      <c r="F68" s="357">
        <f ca="1">F40</f>
        <v>5.5E-2</v>
      </c>
      <c r="O68" s="1897" t="s">
        <v>1040</v>
      </c>
      <c r="P68" s="1937" t="s">
        <v>1579</v>
      </c>
      <c r="Q68" s="1889">
        <f ca="1">ROUND(Q69-Q70*Q71,0)</f>
        <v>431</v>
      </c>
      <c r="R68" s="1889" t="s">
        <v>1048</v>
      </c>
    </row>
    <row r="69" spans="1:18" s="1845" customFormat="1" ht="13.5" thickBot="1">
      <c r="A69" s="1173"/>
      <c r="B69" s="1174"/>
      <c r="C69" s="351"/>
      <c r="D69" s="1192" t="s">
        <v>1469</v>
      </c>
      <c r="E69" s="1172" t="s">
        <v>1470</v>
      </c>
      <c r="F69" s="379">
        <f ca="1">F41</f>
        <v>35.619999999999997</v>
      </c>
      <c r="O69" s="1897" t="s">
        <v>1045</v>
      </c>
      <c r="P69" s="1937" t="s">
        <v>1580</v>
      </c>
      <c r="Q69" s="1889">
        <f ca="1">C39</f>
        <v>1075</v>
      </c>
      <c r="R69" s="1889" t="s">
        <v>1525</v>
      </c>
    </row>
    <row r="70" spans="1:18" s="1845" customFormat="1" ht="13.5" thickBot="1">
      <c r="A70" s="1176"/>
      <c r="B70" s="1177"/>
      <c r="C70" s="355"/>
      <c r="D70" s="1188"/>
      <c r="E70" s="1172" t="s">
        <v>1473</v>
      </c>
      <c r="F70" s="1278"/>
      <c r="O70" s="1897" t="s">
        <v>1046</v>
      </c>
      <c r="P70" s="1937" t="s">
        <v>1581</v>
      </c>
      <c r="Q70" s="1889">
        <f ca="1">C13</f>
        <v>7573</v>
      </c>
      <c r="R70" s="1889" t="s">
        <v>1525</v>
      </c>
    </row>
    <row r="71" spans="1:18" s="1845" customFormat="1" ht="13.5" thickBot="1">
      <c r="A71" s="1193" t="s">
        <v>1030</v>
      </c>
      <c r="B71" s="1194" t="s">
        <v>1483</v>
      </c>
      <c r="C71" s="382">
        <f ca="1">ROUND(C68*10000/F71,0)</f>
        <v>-6350</v>
      </c>
      <c r="D71" s="1195" t="s">
        <v>1484</v>
      </c>
      <c r="E71" s="1196" t="s">
        <v>1485</v>
      </c>
      <c r="F71" s="385">
        <f ca="1">F43</f>
        <v>19553.34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644</v>
      </c>
      <c r="D75" s="1845"/>
      <c r="E75" s="1845"/>
      <c r="F75" s="1845"/>
      <c r="K75" s="1871"/>
      <c r="L75" s="1845"/>
      <c r="O75" s="1887" t="s">
        <v>1043</v>
      </c>
      <c r="P75" s="1888" t="s">
        <v>1545</v>
      </c>
      <c r="Q75" s="1889">
        <f ca="1">Q65+Q66</f>
        <v>23009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0.40100000000000002</v>
      </c>
    </row>
    <row r="80" spans="1:18">
      <c r="B80" s="386" t="s">
        <v>1507</v>
      </c>
      <c r="C80" s="318">
        <f ca="1">ROUND(C75/C39,3)</f>
        <v>0.59899999999999998</v>
      </c>
    </row>
    <row r="81" spans="2:3">
      <c r="B81" s="314" t="s">
        <v>1508</v>
      </c>
      <c r="C81" s="282"/>
    </row>
    <row r="82" spans="2:3">
      <c r="B82" s="317" t="s">
        <v>1509</v>
      </c>
      <c r="C82" s="319">
        <f ca="1">1-C83</f>
        <v>0.67100000000000004</v>
      </c>
    </row>
    <row r="83" spans="2:3">
      <c r="B83" s="317" t="s">
        <v>1510</v>
      </c>
      <c r="C83" s="318">
        <f ca="1">ROUND(C13/C40,3)</f>
        <v>0.32900000000000001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8" t="s">
        <v>1399</v>
      </c>
      <c r="C6" s="1299">
        <f ca="1">ROUND(F6*F8*F7*(1-F9),0)</f>
        <v>0</v>
      </c>
      <c r="D6" s="164" t="s">
        <v>3022</v>
      </c>
      <c r="E6" s="347" t="s">
        <v>1401</v>
      </c>
      <c r="F6" s="348">
        <f ca="1">INDIRECT("'数据-取费表'!u"&amp;$G$1)</f>
        <v>0</v>
      </c>
      <c r="G6" s="1854"/>
      <c r="H6" s="1294" t="s">
        <v>1032</v>
      </c>
      <c r="I6" s="3168" t="s">
        <v>1399</v>
      </c>
      <c r="J6" s="346">
        <f ca="1">ROUND(M6*M8*M7*(1-M9),0)</f>
        <v>0</v>
      </c>
      <c r="K6" s="1837" t="s">
        <v>3023</v>
      </c>
      <c r="L6" s="347" t="s">
        <v>1401</v>
      </c>
      <c r="M6" s="348">
        <f ca="1">INDIRECT("'数据-取费表'!z"&amp;$G$1)</f>
        <v>0</v>
      </c>
    </row>
    <row r="7" spans="1:37" ht="18" customHeight="1">
      <c r="A7" s="1298"/>
      <c r="B7" s="3169"/>
      <c r="C7" s="1300"/>
      <c r="D7" s="352"/>
      <c r="E7" s="1301" t="s">
        <v>1402</v>
      </c>
      <c r="F7" s="348">
        <f ca="1">IF(INDIRECT("'数据-取费表'!ah"&amp;$G$1)="",INDIRECT("'数据-取费表'!k"&amp;$G$1),INDIRECT("'数据-取费表'!ah"&amp;$G$1))</f>
        <v>0</v>
      </c>
      <c r="G7" s="1854"/>
      <c r="H7" s="349"/>
      <c r="I7" s="3169"/>
      <c r="J7" s="351"/>
      <c r="K7" s="352"/>
      <c r="L7" s="347" t="s">
        <v>1402</v>
      </c>
      <c r="M7" s="348">
        <f ca="1">F7</f>
        <v>0</v>
      </c>
    </row>
    <row r="8" spans="1:37" ht="18" customHeight="1">
      <c r="A8" s="349"/>
      <c r="B8" s="3169"/>
      <c r="C8" s="351"/>
      <c r="D8" s="352"/>
      <c r="E8" s="347" t="s">
        <v>1403</v>
      </c>
      <c r="F8" s="348">
        <f ca="1">INDIRECT("'数据-取费表'!ai"&amp;$G$1)</f>
        <v>0</v>
      </c>
      <c r="G8" s="1854"/>
      <c r="H8" s="349"/>
      <c r="I8" s="3169"/>
      <c r="J8" s="351"/>
      <c r="K8" s="352"/>
      <c r="L8" s="347" t="s">
        <v>1403</v>
      </c>
      <c r="M8" s="348">
        <f ca="1">INDIRECT("'数据-取费表'!ai"&amp;$G$1)</f>
        <v>0</v>
      </c>
    </row>
    <row r="9" spans="1:37" ht="18" customHeight="1">
      <c r="A9" s="349"/>
      <c r="B9" s="3170"/>
      <c r="C9" s="351"/>
      <c r="D9" s="352"/>
      <c r="E9" s="347" t="s">
        <v>1404</v>
      </c>
      <c r="F9" s="357">
        <f ca="1">INDIRECT("'数据-取费表'!w"&amp;$G$1)</f>
        <v>0</v>
      </c>
      <c r="G9" s="1854"/>
      <c r="H9" s="349"/>
      <c r="I9" s="317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38" t="s">
        <v>3035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6" t="s">
        <v>1544</v>
      </c>
      <c r="L53" s="316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23009</v>
      </c>
      <c r="C2" s="2569" t="s">
        <v>2514</v>
      </c>
      <c r="D2" s="2570" t="s">
        <v>2515</v>
      </c>
      <c r="E2" s="2571">
        <f>SUM(E6:E13)</f>
        <v>19553.34</v>
      </c>
    </row>
    <row r="3" spans="1:6" ht="15.75">
      <c r="A3" s="2567" t="s">
        <v>1391</v>
      </c>
      <c r="B3" s="2568">
        <f ca="1">ROUND(B2*10000/E2,0)</f>
        <v>11767</v>
      </c>
      <c r="C3" s="2569" t="s">
        <v>2522</v>
      </c>
      <c r="D3" s="2572"/>
      <c r="E3" s="2573"/>
    </row>
    <row r="4" spans="1:6" ht="15.75">
      <c r="A4" s="2574"/>
      <c r="B4" s="2572"/>
      <c r="C4" s="2572"/>
      <c r="D4" s="2572"/>
      <c r="E4" s="2573"/>
    </row>
    <row r="5" spans="1:6" ht="15">
      <c r="A5" s="2575" t="s">
        <v>2516</v>
      </c>
      <c r="B5" s="3171" t="s">
        <v>2517</v>
      </c>
      <c r="C5" s="3171"/>
      <c r="D5" s="2576"/>
      <c r="E5" s="2577" t="s">
        <v>2518</v>
      </c>
      <c r="F5" s="2578" t="s">
        <v>2519</v>
      </c>
    </row>
    <row r="6" spans="1:6">
      <c r="A6" s="2579" t="str">
        <f>'数据-取费表'!AN6</f>
        <v>收益法</v>
      </c>
      <c r="B6" s="2578">
        <f ca="1">IF(F6="是",'数据-取费表'!AO6,0)</f>
        <v>23009</v>
      </c>
      <c r="C6" s="2569" t="s">
        <v>2514</v>
      </c>
      <c r="D6" s="2572"/>
      <c r="E6" s="2580">
        <f>IF(OR(A6=0,F6="否"),0,'数据-取费表'!K6+'数据-取费表'!S6)</f>
        <v>19553.34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1073</v>
      </c>
      <c r="B1" s="3173"/>
      <c r="C1" s="3174"/>
      <c r="D1" s="3175">
        <f>SUM(I10,I15,I20,I21,I23)</f>
        <v>0</v>
      </c>
      <c r="E1" s="3175"/>
      <c r="F1" s="3175"/>
      <c r="G1" s="3175"/>
      <c r="H1" s="3175"/>
      <c r="I1" s="3176"/>
    </row>
    <row r="2" spans="1:9">
      <c r="A2" s="3177" t="s">
        <v>1074</v>
      </c>
      <c r="B2" s="3178" t="s">
        <v>1075</v>
      </c>
      <c r="C2" s="3178"/>
      <c r="D2" s="1304" t="s">
        <v>1076</v>
      </c>
      <c r="E2" s="1304" t="s">
        <v>1077</v>
      </c>
      <c r="F2" s="1304" t="s">
        <v>1078</v>
      </c>
      <c r="G2" s="1304" t="s">
        <v>1079</v>
      </c>
      <c r="H2" s="1304" t="s">
        <v>1080</v>
      </c>
      <c r="I2" s="1305" t="s">
        <v>1081</v>
      </c>
    </row>
    <row r="3" spans="1:9">
      <c r="A3" s="3177"/>
      <c r="B3" s="3178" t="s">
        <v>1082</v>
      </c>
      <c r="C3" s="3178"/>
      <c r="D3" s="1306"/>
      <c r="E3" s="1304"/>
      <c r="F3" s="1307"/>
      <c r="G3" s="1307"/>
      <c r="H3" s="1308"/>
      <c r="I3" s="1309">
        <f>ROUND(D3*E3*F3*G3*H3/10000,0)</f>
        <v>0</v>
      </c>
    </row>
    <row r="4" spans="1:9">
      <c r="A4" s="3177"/>
      <c r="B4" s="3178" t="s">
        <v>1083</v>
      </c>
      <c r="C4" s="3178"/>
      <c r="D4" s="1306"/>
      <c r="E4" s="1304"/>
      <c r="F4" s="1307"/>
      <c r="G4" s="1307"/>
      <c r="H4" s="1308"/>
      <c r="I4" s="1309">
        <f t="shared" ref="I4:I9" si="0">ROUND(D4*E4*F4*G4*H4/10000,0)</f>
        <v>0</v>
      </c>
    </row>
    <row r="5" spans="1:9">
      <c r="A5" s="3177"/>
      <c r="B5" s="3178" t="s">
        <v>1084</v>
      </c>
      <c r="C5" s="3178"/>
      <c r="D5" s="1306"/>
      <c r="E5" s="1304"/>
      <c r="F5" s="1307"/>
      <c r="G5" s="1307"/>
      <c r="H5" s="1308"/>
      <c r="I5" s="1309">
        <f t="shared" si="0"/>
        <v>0</v>
      </c>
    </row>
    <row r="6" spans="1:9">
      <c r="A6" s="3177"/>
      <c r="B6" s="3178" t="s">
        <v>1085</v>
      </c>
      <c r="C6" s="3178"/>
      <c r="D6" s="1306"/>
      <c r="E6" s="1304"/>
      <c r="F6" s="1307"/>
      <c r="G6" s="1307"/>
      <c r="H6" s="1308"/>
      <c r="I6" s="1309">
        <f t="shared" si="0"/>
        <v>0</v>
      </c>
    </row>
    <row r="7" spans="1:9">
      <c r="A7" s="3177"/>
      <c r="B7" s="3178" t="s">
        <v>1086</v>
      </c>
      <c r="C7" s="3178"/>
      <c r="D7" s="1306"/>
      <c r="E7" s="1304"/>
      <c r="F7" s="1307"/>
      <c r="G7" s="1307"/>
      <c r="H7" s="1308"/>
      <c r="I7" s="1309">
        <f t="shared" si="0"/>
        <v>0</v>
      </c>
    </row>
    <row r="8" spans="1:9">
      <c r="A8" s="3177"/>
      <c r="B8" s="3178" t="s">
        <v>1087</v>
      </c>
      <c r="C8" s="3178"/>
      <c r="D8" s="1306"/>
      <c r="E8" s="1304"/>
      <c r="F8" s="1307"/>
      <c r="G8" s="1307"/>
      <c r="H8" s="1308"/>
      <c r="I8" s="1309">
        <f t="shared" si="0"/>
        <v>0</v>
      </c>
    </row>
    <row r="9" spans="1:9">
      <c r="A9" s="3177"/>
      <c r="B9" s="3178" t="s">
        <v>1088</v>
      </c>
      <c r="C9" s="3178"/>
      <c r="D9" s="1306"/>
      <c r="E9" s="1304"/>
      <c r="F9" s="1307"/>
      <c r="G9" s="1307"/>
      <c r="H9" s="1308"/>
      <c r="I9" s="1309">
        <f t="shared" si="0"/>
        <v>0</v>
      </c>
    </row>
    <row r="10" spans="1:9">
      <c r="A10" s="3177"/>
      <c r="B10" s="3179" t="s">
        <v>1089</v>
      </c>
      <c r="C10" s="3179"/>
      <c r="D10" s="1310"/>
      <c r="E10" s="1310" t="e">
        <f>ROUND(D1*10000/D10/H9,0)</f>
        <v>#DIV/0!</v>
      </c>
      <c r="F10" s="1311"/>
      <c r="G10" s="1311"/>
      <c r="H10" s="1312"/>
      <c r="I10" s="1313">
        <f>SUM(I3:I9)</f>
        <v>0</v>
      </c>
    </row>
    <row r="11" spans="1:9" ht="14.25">
      <c r="A11" s="3177" t="s">
        <v>1090</v>
      </c>
      <c r="B11" s="3178" t="s">
        <v>1091</v>
      </c>
      <c r="C11" s="3178"/>
      <c r="D11" s="1306" t="s">
        <v>1092</v>
      </c>
      <c r="E11" s="1306" t="s">
        <v>1093</v>
      </c>
      <c r="F11" s="1307" t="s">
        <v>1094</v>
      </c>
      <c r="G11" s="1307" t="s">
        <v>1080</v>
      </c>
      <c r="H11" s="1314" t="s">
        <v>1095</v>
      </c>
      <c r="I11" s="1305" t="s">
        <v>1081</v>
      </c>
    </row>
    <row r="12" spans="1:9">
      <c r="A12" s="3177"/>
      <c r="B12" s="3178" t="s">
        <v>1096</v>
      </c>
      <c r="C12" s="3178"/>
      <c r="D12" s="1306"/>
      <c r="E12" s="1306"/>
      <c r="F12" s="1307"/>
      <c r="G12" s="1308"/>
      <c r="H12" s="1315"/>
      <c r="I12" s="1305">
        <f>ROUND(D12*E12*F12*G12/10000,0)</f>
        <v>0</v>
      </c>
    </row>
    <row r="13" spans="1:9">
      <c r="A13" s="3177"/>
      <c r="B13" s="3178" t="s">
        <v>1097</v>
      </c>
      <c r="C13" s="3178"/>
      <c r="D13" s="1306"/>
      <c r="E13" s="1306"/>
      <c r="F13" s="1307"/>
      <c r="G13" s="1308"/>
      <c r="H13" s="1315"/>
      <c r="I13" s="1305">
        <f>ROUND(D13*E13*F13*G13/10000,0)</f>
        <v>0</v>
      </c>
    </row>
    <row r="14" spans="1:9">
      <c r="A14" s="3177"/>
      <c r="B14" s="3178" t="s">
        <v>1098</v>
      </c>
      <c r="C14" s="3178"/>
      <c r="D14" s="1306"/>
      <c r="E14" s="1306"/>
      <c r="F14" s="1307"/>
      <c r="G14" s="1308"/>
      <c r="H14" s="1315"/>
      <c r="I14" s="1305">
        <f>ROUND(D14*E14*F14*G14/10000,0)</f>
        <v>0</v>
      </c>
    </row>
    <row r="15" spans="1:9">
      <c r="A15" s="3177"/>
      <c r="B15" s="3179" t="s">
        <v>1089</v>
      </c>
      <c r="C15" s="3179"/>
      <c r="D15" s="1310"/>
      <c r="E15" s="1310">
        <f>SUM(E12:E14)</f>
        <v>0</v>
      </c>
      <c r="F15" s="1311"/>
      <c r="G15" s="1308"/>
      <c r="H15" s="1315"/>
      <c r="I15" s="1316">
        <f>SUM(I12:I14)</f>
        <v>0</v>
      </c>
    </row>
    <row r="16" spans="1:9" ht="24">
      <c r="A16" s="3177" t="s">
        <v>1099</v>
      </c>
      <c r="B16" s="3178" t="s">
        <v>1100</v>
      </c>
      <c r="C16" s="3178"/>
      <c r="D16" s="1306" t="s">
        <v>1076</v>
      </c>
      <c r="E16" s="1317" t="s">
        <v>1101</v>
      </c>
      <c r="F16" s="1307" t="s">
        <v>1102</v>
      </c>
      <c r="G16" s="1308" t="s">
        <v>1080</v>
      </c>
      <c r="H16" s="1314" t="s">
        <v>1095</v>
      </c>
      <c r="I16" s="1305" t="s">
        <v>1081</v>
      </c>
    </row>
    <row r="17" spans="1:9" ht="14.25">
      <c r="A17" s="3177"/>
      <c r="B17" s="3178" t="s">
        <v>1103</v>
      </c>
      <c r="C17" s="3178"/>
      <c r="D17" s="1306"/>
      <c r="E17" s="1306"/>
      <c r="F17" s="1307"/>
      <c r="G17" s="1308"/>
      <c r="H17" s="1318"/>
      <c r="I17" s="1319">
        <f>ROUND(D17*E17*F17*G17/10000,0)</f>
        <v>0</v>
      </c>
    </row>
    <row r="18" spans="1:9" ht="14.25">
      <c r="A18" s="3177"/>
      <c r="B18" s="3178" t="s">
        <v>1104</v>
      </c>
      <c r="C18" s="3178"/>
      <c r="D18" s="1306"/>
      <c r="E18" s="1306"/>
      <c r="F18" s="1307"/>
      <c r="G18" s="1308"/>
      <c r="H18" s="1318"/>
      <c r="I18" s="1319">
        <f>ROUND(D18*E18*F18*G18/10000,0)</f>
        <v>0</v>
      </c>
    </row>
    <row r="19" spans="1:9" ht="14.25">
      <c r="A19" s="3177"/>
      <c r="B19" s="3178" t="s">
        <v>1105</v>
      </c>
      <c r="C19" s="3178"/>
      <c r="D19" s="1306"/>
      <c r="E19" s="1306"/>
      <c r="F19" s="1307"/>
      <c r="G19" s="1308"/>
      <c r="H19" s="1318"/>
      <c r="I19" s="1319">
        <f>ROUND(D19*E19*F19*G19/10000,0)</f>
        <v>0</v>
      </c>
    </row>
    <row r="20" spans="1:9">
      <c r="A20" s="3177"/>
      <c r="B20" s="3179" t="s">
        <v>1089</v>
      </c>
      <c r="C20" s="3179"/>
      <c r="D20" s="1310">
        <f>SUM(D17:D19)</f>
        <v>0</v>
      </c>
      <c r="E20" s="1310"/>
      <c r="F20" s="1311"/>
      <c r="G20" s="1308"/>
      <c r="H20" s="1315"/>
      <c r="I20" s="1316">
        <f>SUM(I17:I19)</f>
        <v>0</v>
      </c>
    </row>
    <row r="21" spans="1:9">
      <c r="A21" s="3177" t="s">
        <v>1106</v>
      </c>
      <c r="B21" s="3181"/>
      <c r="C21" s="3181"/>
      <c r="D21" s="3181"/>
      <c r="E21" s="3181"/>
      <c r="F21" s="3181"/>
      <c r="G21" s="3181"/>
      <c r="H21" s="1768">
        <v>0.1</v>
      </c>
      <c r="I21" s="1313">
        <f>ROUND(I10*H21,0)</f>
        <v>0</v>
      </c>
    </row>
    <row r="22" spans="1:9" ht="14.25">
      <c r="A22" s="3182" t="s">
        <v>1107</v>
      </c>
      <c r="B22" s="3183"/>
      <c r="C22" s="3184"/>
      <c r="D22" s="1320" t="s">
        <v>1108</v>
      </c>
      <c r="E22" s="1320" t="s">
        <v>1109</v>
      </c>
      <c r="F22" s="1321" t="s">
        <v>1110</v>
      </c>
      <c r="G22" s="1321" t="s">
        <v>1111</v>
      </c>
      <c r="H22" s="1314" t="s">
        <v>1112</v>
      </c>
      <c r="I22" s="1305" t="s">
        <v>1113</v>
      </c>
    </row>
    <row r="23" spans="1:9" ht="14.25" thickBot="1">
      <c r="A23" s="3185"/>
      <c r="B23" s="3186"/>
      <c r="C23" s="3187"/>
      <c r="D23" s="1322"/>
      <c r="E23" s="1322"/>
      <c r="F23" s="1322"/>
      <c r="G23" s="1323"/>
      <c r="H23" s="1324"/>
      <c r="I23" s="1325">
        <f>ROUND(E23*D23*F23*(1-G23)/10000,0)</f>
        <v>0</v>
      </c>
    </row>
    <row r="26" spans="1:9">
      <c r="A26" s="1326" t="s">
        <v>1114</v>
      </c>
      <c r="B26" s="1326"/>
      <c r="C26" s="1326"/>
      <c r="D26" s="1326"/>
      <c r="E26" s="3188">
        <f>C27-C30-C31-C32</f>
        <v>0</v>
      </c>
      <c r="F26" s="3188"/>
      <c r="G26" s="3188"/>
      <c r="H26" s="1740" t="s">
        <v>1336</v>
      </c>
    </row>
    <row r="27" spans="1:9">
      <c r="A27" s="1327">
        <v>1</v>
      </c>
      <c r="B27" s="1328" t="s">
        <v>1115</v>
      </c>
      <c r="C27" s="1328">
        <f>C28+C29</f>
        <v>0</v>
      </c>
      <c r="D27" s="1328"/>
      <c r="E27" s="3189"/>
      <c r="F27" s="3189"/>
      <c r="G27" s="3189"/>
    </row>
    <row r="28" spans="1:9">
      <c r="A28" s="1329" t="s">
        <v>1116</v>
      </c>
      <c r="B28" s="1328" t="s">
        <v>1117</v>
      </c>
      <c r="C28" s="1328"/>
      <c r="D28" s="1328"/>
      <c r="E28" s="3189"/>
      <c r="F28" s="3189"/>
      <c r="G28" s="318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0"/>
      <c r="F32" s="3180"/>
      <c r="G32" s="3180"/>
    </row>
    <row r="33" spans="1:7" hidden="1">
      <c r="A33" s="3190" t="s">
        <v>1126</v>
      </c>
      <c r="B33" s="3191"/>
      <c r="C33" s="3191"/>
      <c r="D33" s="3192"/>
      <c r="E33" s="3188"/>
      <c r="F33" s="3188"/>
      <c r="G33" s="3188"/>
    </row>
    <row r="34" spans="1:7" hidden="1">
      <c r="A34" s="1331">
        <v>1</v>
      </c>
      <c r="B34" s="1328" t="s">
        <v>1127</v>
      </c>
      <c r="C34" s="1328"/>
      <c r="D34" s="1328"/>
      <c r="E34" s="3189"/>
      <c r="F34" s="3189"/>
      <c r="G34" s="3189"/>
    </row>
    <row r="35" spans="1:7" hidden="1">
      <c r="A35" s="1331">
        <v>2</v>
      </c>
      <c r="B35" s="1328" t="s">
        <v>1128</v>
      </c>
      <c r="C35" s="1328"/>
      <c r="D35" s="1328"/>
      <c r="E35" s="3189"/>
      <c r="F35" s="3189"/>
      <c r="G35" s="3189"/>
    </row>
    <row r="36" spans="1:7" hidden="1">
      <c r="A36" s="1331">
        <v>3</v>
      </c>
      <c r="B36" s="1328" t="s">
        <v>1129</v>
      </c>
      <c r="C36" s="1328"/>
      <c r="D36" s="1328"/>
      <c r="E36" s="3189"/>
      <c r="F36" s="3189"/>
      <c r="G36" s="3189"/>
    </row>
    <row r="37" spans="1:7" hidden="1">
      <c r="A37" s="1331">
        <v>4</v>
      </c>
      <c r="B37" s="1328" t="s">
        <v>1130</v>
      </c>
      <c r="C37" s="1328"/>
      <c r="D37" s="1328"/>
      <c r="E37" s="3189"/>
      <c r="F37" s="3189"/>
      <c r="G37" s="3189"/>
    </row>
    <row r="38" spans="1:7" hidden="1">
      <c r="A38" s="3190" t="s">
        <v>1131</v>
      </c>
      <c r="B38" s="3191"/>
      <c r="C38" s="3191"/>
      <c r="D38" s="3192"/>
      <c r="E38" s="3188"/>
      <c r="F38" s="3188"/>
      <c r="G38" s="31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2529</v>
      </c>
      <c r="D3" s="399">
        <f>IF(D1="",'数据-汇总表'!E3,SUMIF('数据-汇总表'!$C19:$C33,D1,'数据-汇总表'!$E19:$E33))</f>
        <v>19553.34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211" t="s">
        <v>2531</v>
      </c>
      <c r="D4" s="3212"/>
      <c r="E4" s="3213" t="s">
        <v>2532</v>
      </c>
      <c r="F4" s="3214"/>
      <c r="G4" s="3211" t="s">
        <v>2533</v>
      </c>
      <c r="H4" s="3212"/>
      <c r="I4" s="3211" t="s">
        <v>2534</v>
      </c>
      <c r="J4" s="3212"/>
      <c r="K4" s="2599" t="s">
        <v>2535</v>
      </c>
      <c r="L4" s="1133"/>
      <c r="M4" s="1134"/>
      <c r="N4" s="1134"/>
      <c r="O4" s="1134"/>
      <c r="P4" s="3215" t="s">
        <v>2536</v>
      </c>
      <c r="Q4" s="3216"/>
      <c r="R4" s="3198" t="s">
        <v>2532</v>
      </c>
      <c r="S4" s="3199"/>
      <c r="T4" s="3198" t="s">
        <v>2533</v>
      </c>
      <c r="U4" s="3199"/>
      <c r="V4" s="3223" t="s">
        <v>2534</v>
      </c>
      <c r="W4" s="3223"/>
      <c r="X4" s="1816"/>
      <c r="Y4" s="3198" t="s">
        <v>2536</v>
      </c>
      <c r="Z4" s="3199"/>
      <c r="AA4" s="3193" t="s">
        <v>2532</v>
      </c>
      <c r="AB4" s="3193" t="s">
        <v>2533</v>
      </c>
      <c r="AC4" s="3193" t="s">
        <v>2534</v>
      </c>
    </row>
    <row r="5" spans="1:29" ht="15">
      <c r="A5" s="404"/>
      <c r="B5" s="405"/>
      <c r="C5" s="3204" t="s">
        <v>2537</v>
      </c>
      <c r="D5" s="3205"/>
      <c r="E5" s="3202" t="s">
        <v>2538</v>
      </c>
      <c r="F5" s="3203"/>
      <c r="G5" s="3204" t="s">
        <v>2539</v>
      </c>
      <c r="H5" s="3205"/>
      <c r="I5" s="3204" t="s">
        <v>2540</v>
      </c>
      <c r="J5" s="3205"/>
      <c r="K5" s="2600"/>
      <c r="L5" s="1133"/>
      <c r="M5" s="1134"/>
      <c r="N5" s="1134"/>
      <c r="O5" s="1134"/>
      <c r="P5" s="3217"/>
      <c r="Q5" s="3218"/>
      <c r="R5" s="3200"/>
      <c r="S5" s="3201"/>
      <c r="T5" s="3200"/>
      <c r="U5" s="3201"/>
      <c r="V5" s="3223"/>
      <c r="W5" s="3223"/>
      <c r="X5" s="1816"/>
      <c r="Y5" s="3200"/>
      <c r="Z5" s="3201"/>
      <c r="AA5" s="3194"/>
      <c r="AB5" s="3194"/>
      <c r="AC5" s="3194"/>
    </row>
    <row r="6" spans="1:29" ht="15.75" thickBot="1">
      <c r="A6" s="406"/>
      <c r="B6" s="407"/>
      <c r="C6" s="3206" t="s">
        <v>2541</v>
      </c>
      <c r="D6" s="3207"/>
      <c r="E6" s="3208" t="s">
        <v>2541</v>
      </c>
      <c r="F6" s="3209"/>
      <c r="G6" s="3206" t="s">
        <v>2541</v>
      </c>
      <c r="H6" s="3207"/>
      <c r="I6" s="3206" t="s">
        <v>2541</v>
      </c>
      <c r="J6" s="3207"/>
      <c r="K6" s="2600" t="s">
        <v>2542</v>
      </c>
      <c r="L6" s="1133"/>
      <c r="M6" s="1134"/>
      <c r="N6" s="1134"/>
      <c r="O6" s="1134"/>
      <c r="P6" s="3219"/>
      <c r="Q6" s="3220"/>
      <c r="R6" s="3200"/>
      <c r="S6" s="3201"/>
      <c r="T6" s="3221"/>
      <c r="U6" s="3222"/>
      <c r="V6" s="3223"/>
      <c r="W6" s="3223"/>
      <c r="X6" s="1816"/>
      <c r="Y6" s="3221"/>
      <c r="Z6" s="3222"/>
      <c r="AA6" s="3195"/>
      <c r="AB6" s="3195"/>
      <c r="AC6" s="3195"/>
    </row>
    <row r="7" spans="1:29" s="117" customFormat="1" ht="15.75" thickBot="1">
      <c r="A7" s="408" t="s">
        <v>2543</v>
      </c>
      <c r="B7" s="409"/>
      <c r="C7" s="410">
        <f>'数据-取费表'!B2</f>
        <v>43473</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6" t="s">
        <v>2544</v>
      </c>
      <c r="Q7" s="3224"/>
      <c r="R7" s="770" t="s">
        <v>23</v>
      </c>
      <c r="S7" s="771">
        <f t="shared" ref="S7:S15" si="0">F7</f>
        <v>0</v>
      </c>
      <c r="T7" s="770" t="s">
        <v>23</v>
      </c>
      <c r="U7" s="771">
        <f t="shared" ref="U7:U15" si="1">H7</f>
        <v>0</v>
      </c>
      <c r="V7" s="770" t="s">
        <v>23</v>
      </c>
      <c r="W7" s="771">
        <f t="shared" ref="W7:W15" si="2">J7</f>
        <v>0</v>
      </c>
      <c r="X7" s="772"/>
      <c r="Y7" s="3196" t="s">
        <v>2544</v>
      </c>
      <c r="Z7" s="3197"/>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6" t="s">
        <v>2547</v>
      </c>
      <c r="Q8" s="3197"/>
      <c r="R8" s="770" t="s">
        <v>23</v>
      </c>
      <c r="S8" s="771">
        <f t="shared" si="0"/>
        <v>0</v>
      </c>
      <c r="T8" s="770" t="s">
        <v>23</v>
      </c>
      <c r="U8" s="771">
        <f t="shared" si="1"/>
        <v>0</v>
      </c>
      <c r="V8" s="770" t="s">
        <v>23</v>
      </c>
      <c r="W8" s="771">
        <f t="shared" si="2"/>
        <v>0</v>
      </c>
      <c r="X8" s="772"/>
      <c r="Y8" s="3196" t="s">
        <v>2547</v>
      </c>
      <c r="Z8" s="3197"/>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0"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0"/>
      <c r="Q11" s="1798"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0"/>
      <c r="Q12" s="1798">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0"/>
      <c r="Q13" s="1798">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0"/>
      <c r="Q14" s="1798">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2554</v>
      </c>
      <c r="B15" s="69" t="s">
        <v>2079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7" t="s">
        <v>2555</v>
      </c>
      <c r="Q15" s="1813" t="str">
        <f t="shared" si="6"/>
        <v>居住社区成熟度</v>
      </c>
      <c r="R15" s="774" t="s">
        <v>21</v>
      </c>
      <c r="S15" s="775">
        <f t="shared" si="0"/>
        <v>100</v>
      </c>
      <c r="T15" s="774" t="s">
        <v>21</v>
      </c>
      <c r="U15" s="775">
        <f t="shared" si="1"/>
        <v>100</v>
      </c>
      <c r="V15" s="774" t="s">
        <v>21</v>
      </c>
      <c r="W15" s="775">
        <f t="shared" si="2"/>
        <v>100</v>
      </c>
      <c r="X15" s="1816"/>
      <c r="Y15" s="3230"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8"/>
      <c r="Q16" s="1813"/>
      <c r="R16" s="774"/>
      <c r="S16" s="775"/>
      <c r="T16" s="774"/>
      <c r="U16" s="775"/>
      <c r="V16" s="774"/>
      <c r="W16" s="775"/>
      <c r="X16" s="1816"/>
      <c r="Y16" s="3231"/>
      <c r="Z16" s="1817"/>
      <c r="AA16" s="1814">
        <v>1</v>
      </c>
      <c r="AB16" s="1814">
        <v>1</v>
      </c>
      <c r="AC16" s="1814">
        <v>1</v>
      </c>
    </row>
    <row r="17" spans="1:29" ht="85.5">
      <c r="A17" s="428"/>
      <c r="B17" s="451" t="s">
        <v>2091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8"/>
      <c r="Q17" s="1813" t="str">
        <f>B17</f>
        <v>交通便捷度</v>
      </c>
      <c r="R17" s="774" t="s">
        <v>21</v>
      </c>
      <c r="S17" s="775">
        <f>F17</f>
        <v>100</v>
      </c>
      <c r="T17" s="774" t="s">
        <v>21</v>
      </c>
      <c r="U17" s="775">
        <f>H17</f>
        <v>100</v>
      </c>
      <c r="V17" s="774" t="s">
        <v>21</v>
      </c>
      <c r="W17" s="775">
        <f>J17</f>
        <v>100</v>
      </c>
      <c r="X17" s="1816"/>
      <c r="Y17" s="3231"/>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8"/>
      <c r="Q18" s="1813"/>
      <c r="R18" s="774"/>
      <c r="S18" s="775"/>
      <c r="T18" s="774"/>
      <c r="U18" s="775"/>
      <c r="V18" s="774"/>
      <c r="W18" s="775"/>
      <c r="X18" s="1816"/>
      <c r="Y18" s="3231"/>
      <c r="Z18" s="1817"/>
      <c r="AA18" s="1814">
        <v>1</v>
      </c>
      <c r="AB18" s="1814">
        <v>1</v>
      </c>
      <c r="AC18" s="1814">
        <v>1</v>
      </c>
    </row>
    <row r="19" spans="1:29" ht="42.75">
      <c r="A19" s="428"/>
      <c r="B19" s="451" t="s">
        <v>2089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8"/>
      <c r="Q19" s="1813" t="str">
        <f>B19</f>
        <v>公共配套设施</v>
      </c>
      <c r="R19" s="774" t="s">
        <v>21</v>
      </c>
      <c r="S19" s="775">
        <f>F19</f>
        <v>100</v>
      </c>
      <c r="T19" s="774" t="s">
        <v>21</v>
      </c>
      <c r="U19" s="775">
        <f>H19</f>
        <v>100</v>
      </c>
      <c r="V19" s="774" t="s">
        <v>21</v>
      </c>
      <c r="W19" s="775">
        <f>J19</f>
        <v>100</v>
      </c>
      <c r="X19" s="1816"/>
      <c r="Y19" s="3231"/>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8"/>
      <c r="Q20" s="1813"/>
      <c r="R20" s="774"/>
      <c r="S20" s="775"/>
      <c r="T20" s="774"/>
      <c r="U20" s="775"/>
      <c r="V20" s="774"/>
      <c r="W20" s="775"/>
      <c r="X20" s="1816"/>
      <c r="Y20" s="3231"/>
      <c r="Z20" s="1817"/>
      <c r="AA20" s="1814">
        <v>1</v>
      </c>
      <c r="AB20" s="1814">
        <v>1</v>
      </c>
      <c r="AC20" s="1814">
        <v>1</v>
      </c>
    </row>
    <row r="21" spans="1:29" ht="28.5">
      <c r="A21" s="428"/>
      <c r="B21" s="1387" t="s">
        <v>2092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8"/>
      <c r="Q21" s="1813" t="str">
        <f>B21</f>
        <v>基础设施水平</v>
      </c>
      <c r="R21" s="774" t="s">
        <v>17</v>
      </c>
      <c r="S21" s="775">
        <f>F21</f>
        <v>100</v>
      </c>
      <c r="T21" s="774" t="s">
        <v>17</v>
      </c>
      <c r="U21" s="775">
        <f>H21</f>
        <v>100</v>
      </c>
      <c r="V21" s="774" t="s">
        <v>17</v>
      </c>
      <c r="W21" s="775">
        <f>J21</f>
        <v>100</v>
      </c>
      <c r="X21" s="1816"/>
      <c r="Y21" s="323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8"/>
      <c r="Q22" s="1813"/>
      <c r="R22" s="774"/>
      <c r="S22" s="775"/>
      <c r="T22" s="774"/>
      <c r="U22" s="775"/>
      <c r="V22" s="774"/>
      <c r="W22" s="775"/>
      <c r="X22" s="1816"/>
      <c r="Y22" s="3231"/>
      <c r="Z22" s="1817"/>
      <c r="AA22" s="1814">
        <v>1</v>
      </c>
      <c r="AB22" s="1814">
        <v>1</v>
      </c>
      <c r="AC22" s="1814">
        <v>1</v>
      </c>
    </row>
    <row r="23" spans="1:29" ht="57">
      <c r="A23" s="428"/>
      <c r="B23" s="451" t="s">
        <v>2096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8"/>
      <c r="Q23" s="1813" t="str">
        <f>B23</f>
        <v>自然及人文环境</v>
      </c>
      <c r="R23" s="774" t="s">
        <v>21</v>
      </c>
      <c r="S23" s="775">
        <f>F23</f>
        <v>100</v>
      </c>
      <c r="T23" s="774" t="s">
        <v>21</v>
      </c>
      <c r="U23" s="775">
        <f>H23</f>
        <v>100</v>
      </c>
      <c r="V23" s="774" t="s">
        <v>21</v>
      </c>
      <c r="W23" s="775">
        <f>J23</f>
        <v>100</v>
      </c>
      <c r="X23" s="1816"/>
      <c r="Y23" s="3231"/>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8"/>
      <c r="Q24" s="1813"/>
      <c r="R24" s="774"/>
      <c r="S24" s="775"/>
      <c r="T24" s="774"/>
      <c r="U24" s="775"/>
      <c r="V24" s="774"/>
      <c r="W24" s="775"/>
      <c r="X24" s="1816"/>
      <c r="Y24" s="3231"/>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1"/>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8"/>
      <c r="Q26" s="1813" t="str">
        <f t="shared" si="11"/>
        <v>朝向</v>
      </c>
      <c r="R26" s="774" t="s">
        <v>21</v>
      </c>
      <c r="S26" s="775">
        <f t="shared" si="12"/>
        <v>100</v>
      </c>
      <c r="T26" s="774" t="s">
        <v>21</v>
      </c>
      <c r="U26" s="775">
        <f t="shared" si="13"/>
        <v>100</v>
      </c>
      <c r="V26" s="774" t="s">
        <v>21</v>
      </c>
      <c r="W26" s="775">
        <f t="shared" si="14"/>
        <v>100</v>
      </c>
      <c r="X26" s="1816"/>
      <c r="Y26" s="323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8"/>
      <c r="Q27" s="1798">
        <f t="shared" si="11"/>
        <v>111</v>
      </c>
      <c r="R27" s="770" t="s">
        <v>21</v>
      </c>
      <c r="S27" s="771">
        <f t="shared" si="12"/>
        <v>100</v>
      </c>
      <c r="T27" s="770" t="s">
        <v>21</v>
      </c>
      <c r="U27" s="771">
        <f t="shared" si="13"/>
        <v>100</v>
      </c>
      <c r="V27" s="770" t="s">
        <v>21</v>
      </c>
      <c r="W27" s="771">
        <f t="shared" si="14"/>
        <v>100</v>
      </c>
      <c r="X27" s="772"/>
      <c r="Y27" s="323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8"/>
      <c r="Q28" s="1813">
        <f t="shared" si="11"/>
        <v>111</v>
      </c>
      <c r="R28" s="774" t="s">
        <v>21</v>
      </c>
      <c r="S28" s="775">
        <f t="shared" si="12"/>
        <v>100</v>
      </c>
      <c r="T28" s="774" t="s">
        <v>21</v>
      </c>
      <c r="U28" s="775">
        <f t="shared" si="13"/>
        <v>100</v>
      </c>
      <c r="V28" s="774" t="s">
        <v>21</v>
      </c>
      <c r="W28" s="775">
        <f t="shared" si="14"/>
        <v>100</v>
      </c>
      <c r="X28" s="1816"/>
      <c r="Y28" s="323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8"/>
      <c r="Q29" s="1813">
        <f t="shared" si="11"/>
        <v>111</v>
      </c>
      <c r="R29" s="774" t="s">
        <v>21</v>
      </c>
      <c r="S29" s="775">
        <f t="shared" si="12"/>
        <v>100</v>
      </c>
      <c r="T29" s="774" t="s">
        <v>21</v>
      </c>
      <c r="U29" s="775">
        <f t="shared" si="13"/>
        <v>100</v>
      </c>
      <c r="V29" s="774" t="s">
        <v>21</v>
      </c>
      <c r="W29" s="775">
        <f t="shared" si="14"/>
        <v>100</v>
      </c>
      <c r="X29" s="1816"/>
      <c r="Y29" s="323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8"/>
      <c r="Q30" s="1813">
        <f t="shared" si="11"/>
        <v>111</v>
      </c>
      <c r="R30" s="774" t="s">
        <v>21</v>
      </c>
      <c r="S30" s="775">
        <f t="shared" si="12"/>
        <v>100</v>
      </c>
      <c r="T30" s="774" t="s">
        <v>21</v>
      </c>
      <c r="U30" s="775">
        <f t="shared" si="13"/>
        <v>100</v>
      </c>
      <c r="V30" s="774" t="s">
        <v>21</v>
      </c>
      <c r="W30" s="775">
        <f t="shared" si="14"/>
        <v>100</v>
      </c>
      <c r="X30" s="1816"/>
      <c r="Y30" s="323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8"/>
      <c r="Q31" s="1813">
        <f t="shared" si="11"/>
        <v>111</v>
      </c>
      <c r="R31" s="774" t="s">
        <v>21</v>
      </c>
      <c r="S31" s="775">
        <f t="shared" si="12"/>
        <v>100</v>
      </c>
      <c r="T31" s="774" t="s">
        <v>21</v>
      </c>
      <c r="U31" s="775">
        <f t="shared" si="13"/>
        <v>100</v>
      </c>
      <c r="V31" s="774" t="s">
        <v>21</v>
      </c>
      <c r="W31" s="775">
        <f t="shared" si="14"/>
        <v>100</v>
      </c>
      <c r="X31" s="1816"/>
      <c r="Y31" s="3231"/>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2" t="s">
        <v>2560</v>
      </c>
      <c r="Q32" s="1813" t="str">
        <f t="shared" si="11"/>
        <v>建筑类型</v>
      </c>
      <c r="R32" s="774" t="s">
        <v>21</v>
      </c>
      <c r="S32" s="775">
        <f t="shared" si="12"/>
        <v>100</v>
      </c>
      <c r="T32" s="774" t="s">
        <v>21</v>
      </c>
      <c r="U32" s="775">
        <f t="shared" si="13"/>
        <v>100</v>
      </c>
      <c r="V32" s="774" t="s">
        <v>21</v>
      </c>
      <c r="W32" s="775">
        <f t="shared" si="14"/>
        <v>100</v>
      </c>
      <c r="X32" s="1816"/>
      <c r="Y32" s="3235"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3"/>
      <c r="Q33" s="776" t="str">
        <f t="shared" si="11"/>
        <v>项目建筑规模</v>
      </c>
      <c r="R33" s="777" t="s">
        <v>21</v>
      </c>
      <c r="S33" s="778" t="e">
        <f t="shared" si="12"/>
        <v>#N/A</v>
      </c>
      <c r="T33" s="777" t="s">
        <v>21</v>
      </c>
      <c r="U33" s="778" t="e">
        <f t="shared" si="13"/>
        <v>#N/A</v>
      </c>
      <c r="V33" s="777" t="s">
        <v>21</v>
      </c>
      <c r="W33" s="778" t="e">
        <f t="shared" si="14"/>
        <v>#N/A</v>
      </c>
      <c r="X33" s="779"/>
      <c r="Y33" s="3235"/>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3"/>
      <c r="Q34" s="1813" t="str">
        <f t="shared" si="11"/>
        <v>建筑结构</v>
      </c>
      <c r="R34" s="774" t="s">
        <v>21</v>
      </c>
      <c r="S34" s="775">
        <f t="shared" si="12"/>
        <v>100</v>
      </c>
      <c r="T34" s="774" t="s">
        <v>21</v>
      </c>
      <c r="U34" s="775">
        <f t="shared" si="13"/>
        <v>100</v>
      </c>
      <c r="V34" s="774" t="s">
        <v>21</v>
      </c>
      <c r="W34" s="775">
        <f t="shared" si="14"/>
        <v>100</v>
      </c>
      <c r="X34" s="1816"/>
      <c r="Y34" s="3235"/>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3"/>
      <c r="Q35" s="1813" t="str">
        <f t="shared" si="11"/>
        <v>建筑品质</v>
      </c>
      <c r="R35" s="774" t="s">
        <v>21</v>
      </c>
      <c r="S35" s="775">
        <f t="shared" si="12"/>
        <v>100</v>
      </c>
      <c r="T35" s="774" t="s">
        <v>21</v>
      </c>
      <c r="U35" s="775">
        <f t="shared" si="13"/>
        <v>100</v>
      </c>
      <c r="V35" s="774" t="s">
        <v>21</v>
      </c>
      <c r="W35" s="775">
        <f t="shared" si="14"/>
        <v>100</v>
      </c>
      <c r="X35" s="1816"/>
      <c r="Y35" s="3235"/>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3"/>
      <c r="Q36" s="1813" t="str">
        <f t="shared" si="11"/>
        <v>公共部分装修</v>
      </c>
      <c r="R36" s="774" t="s">
        <v>21</v>
      </c>
      <c r="S36" s="775">
        <f t="shared" si="12"/>
        <v>100</v>
      </c>
      <c r="T36" s="774" t="s">
        <v>21</v>
      </c>
      <c r="U36" s="775">
        <f t="shared" si="13"/>
        <v>100</v>
      </c>
      <c r="V36" s="774" t="s">
        <v>21</v>
      </c>
      <c r="W36" s="775">
        <f t="shared" si="14"/>
        <v>100</v>
      </c>
      <c r="X36" s="1816"/>
      <c r="Y36" s="3235"/>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3"/>
      <c r="Q37" s="1798" t="str">
        <f t="shared" si="11"/>
        <v>成新度</v>
      </c>
      <c r="R37" s="770" t="s">
        <v>21</v>
      </c>
      <c r="S37" s="771" t="e">
        <f t="shared" si="12"/>
        <v>#N/A</v>
      </c>
      <c r="T37" s="770" t="s">
        <v>21</v>
      </c>
      <c r="U37" s="771" t="e">
        <f t="shared" si="13"/>
        <v>#N/A</v>
      </c>
      <c r="V37" s="770" t="s">
        <v>21</v>
      </c>
      <c r="W37" s="771" t="e">
        <f t="shared" si="14"/>
        <v>#N/A</v>
      </c>
      <c r="X37" s="772"/>
      <c r="Y37" s="3235"/>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3" t="s">
        <v>2560</v>
      </c>
      <c r="Q38" s="1813" t="str">
        <f t="shared" si="11"/>
        <v>物业管理</v>
      </c>
      <c r="R38" s="774" t="s">
        <v>21</v>
      </c>
      <c r="S38" s="775">
        <f t="shared" si="12"/>
        <v>100</v>
      </c>
      <c r="T38" s="774" t="s">
        <v>21</v>
      </c>
      <c r="U38" s="775">
        <f t="shared" si="13"/>
        <v>100</v>
      </c>
      <c r="V38" s="774" t="s">
        <v>21</v>
      </c>
      <c r="W38" s="775">
        <f t="shared" si="14"/>
        <v>100</v>
      </c>
      <c r="X38" s="1816"/>
      <c r="Y38" s="3235"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3"/>
      <c r="Q39" s="1813" t="str">
        <f t="shared" si="11"/>
        <v>市政基础设施</v>
      </c>
      <c r="R39" s="774" t="s">
        <v>21</v>
      </c>
      <c r="S39" s="775">
        <f t="shared" si="12"/>
        <v>100</v>
      </c>
      <c r="T39" s="774" t="s">
        <v>21</v>
      </c>
      <c r="U39" s="775">
        <f t="shared" si="13"/>
        <v>100</v>
      </c>
      <c r="V39" s="774" t="s">
        <v>21</v>
      </c>
      <c r="W39" s="775">
        <f t="shared" si="14"/>
        <v>100</v>
      </c>
      <c r="X39" s="1816"/>
      <c r="Y39" s="3235"/>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3"/>
      <c r="Q40" s="1813" t="str">
        <f t="shared" si="11"/>
        <v>房型</v>
      </c>
      <c r="R40" s="774" t="s">
        <v>21</v>
      </c>
      <c r="S40" s="775">
        <f t="shared" si="12"/>
        <v>100</v>
      </c>
      <c r="T40" s="774" t="s">
        <v>21</v>
      </c>
      <c r="U40" s="775">
        <f t="shared" si="13"/>
        <v>100</v>
      </c>
      <c r="V40" s="774" t="s">
        <v>21</v>
      </c>
      <c r="W40" s="775">
        <f t="shared" si="14"/>
        <v>100</v>
      </c>
      <c r="X40" s="1816"/>
      <c r="Y40" s="3235"/>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3"/>
      <c r="Q42" s="1813" t="str">
        <f t="shared" si="11"/>
        <v>内部装修</v>
      </c>
      <c r="R42" s="774" t="s">
        <v>21</v>
      </c>
      <c r="S42" s="775">
        <f t="shared" si="12"/>
        <v>100</v>
      </c>
      <c r="T42" s="774" t="s">
        <v>21</v>
      </c>
      <c r="U42" s="775">
        <f t="shared" si="13"/>
        <v>100</v>
      </c>
      <c r="V42" s="774" t="s">
        <v>21</v>
      </c>
      <c r="W42" s="775">
        <f t="shared" si="14"/>
        <v>100</v>
      </c>
      <c r="X42" s="1816"/>
      <c r="Y42" s="3235"/>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3"/>
      <c r="Q43" s="1813" t="str">
        <f t="shared" si="11"/>
        <v>内部装修维护情况</v>
      </c>
      <c r="R43" s="774" t="s">
        <v>21</v>
      </c>
      <c r="S43" s="775">
        <f t="shared" si="12"/>
        <v>100</v>
      </c>
      <c r="T43" s="774" t="s">
        <v>21</v>
      </c>
      <c r="U43" s="775">
        <f t="shared" si="13"/>
        <v>100</v>
      </c>
      <c r="V43" s="774" t="s">
        <v>21</v>
      </c>
      <c r="W43" s="775">
        <f t="shared" si="14"/>
        <v>100</v>
      </c>
      <c r="X43" s="1816"/>
      <c r="Y43" s="323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3"/>
      <c r="Q44" s="1798">
        <f t="shared" si="11"/>
        <v>111</v>
      </c>
      <c r="R44" s="770" t="s">
        <v>21</v>
      </c>
      <c r="S44" s="771">
        <f t="shared" si="12"/>
        <v>100</v>
      </c>
      <c r="T44" s="770" t="s">
        <v>21</v>
      </c>
      <c r="U44" s="771">
        <f t="shared" si="13"/>
        <v>100</v>
      </c>
      <c r="V44" s="770" t="s">
        <v>21</v>
      </c>
      <c r="W44" s="771">
        <f t="shared" si="14"/>
        <v>100</v>
      </c>
      <c r="X44" s="772"/>
      <c r="Y44" s="323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3"/>
      <c r="Q45" s="1813">
        <f t="shared" si="11"/>
        <v>111</v>
      </c>
      <c r="R45" s="774" t="s">
        <v>21</v>
      </c>
      <c r="S45" s="775">
        <f t="shared" si="12"/>
        <v>100</v>
      </c>
      <c r="T45" s="774" t="s">
        <v>21</v>
      </c>
      <c r="U45" s="775">
        <f t="shared" si="13"/>
        <v>100</v>
      </c>
      <c r="V45" s="774" t="s">
        <v>21</v>
      </c>
      <c r="W45" s="775">
        <f t="shared" si="14"/>
        <v>100</v>
      </c>
      <c r="X45" s="1816"/>
      <c r="Y45" s="3235"/>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4"/>
      <c r="Q46" s="1813">
        <f t="shared" si="11"/>
        <v>111</v>
      </c>
      <c r="R46" s="774" t="s">
        <v>20</v>
      </c>
      <c r="S46" s="775">
        <f t="shared" si="12"/>
        <v>100</v>
      </c>
      <c r="T46" s="774" t="s">
        <v>20</v>
      </c>
      <c r="U46" s="775">
        <f t="shared" si="13"/>
        <v>100</v>
      </c>
      <c r="V46" s="774" t="s">
        <v>20</v>
      </c>
      <c r="W46" s="775">
        <f t="shared" si="14"/>
        <v>100</v>
      </c>
      <c r="X46" s="1816"/>
      <c r="Y46" s="3236"/>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228" t="str">
        <f>A47</f>
        <v>成交单价（元/平方米）</v>
      </c>
      <c r="Q47" s="3228"/>
      <c r="R47" s="3229">
        <f>E47</f>
        <v>0</v>
      </c>
      <c r="S47" s="3229"/>
      <c r="T47" s="3229">
        <f>G47</f>
        <v>0</v>
      </c>
      <c r="U47" s="3229"/>
      <c r="V47" s="3229">
        <f>I47</f>
        <v>0</v>
      </c>
      <c r="W47" s="3229"/>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225" t="str">
        <f>A49</f>
        <v>估价对象XX用房的比较价值（楼面单价，元/平方米）</v>
      </c>
      <c r="Q49" s="3226"/>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2092</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19553.34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223" t="s">
        <v>2643</v>
      </c>
      <c r="AC4" s="3193" t="s">
        <v>2644</v>
      </c>
    </row>
    <row r="5" spans="1:29"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223"/>
      <c r="AC5" s="3194"/>
    </row>
    <row r="6" spans="1:29" ht="15.75" thickBot="1">
      <c r="A6" s="406"/>
      <c r="B6" s="407"/>
      <c r="C6" s="3206" t="s">
        <v>2541</v>
      </c>
      <c r="D6" s="3207"/>
      <c r="E6" s="3208" t="s">
        <v>2541</v>
      </c>
      <c r="F6" s="3209"/>
      <c r="G6" s="3206" t="s">
        <v>2541</v>
      </c>
      <c r="H6" s="3207"/>
      <c r="I6" s="3206" t="s">
        <v>2541</v>
      </c>
      <c r="J6" s="3207"/>
      <c r="K6" s="610" t="s">
        <v>2542</v>
      </c>
      <c r="L6" s="1133"/>
      <c r="M6" s="1134"/>
      <c r="N6" s="1134"/>
      <c r="O6" s="1134"/>
      <c r="P6" s="3219"/>
      <c r="Q6" s="3220"/>
      <c r="R6" s="3200"/>
      <c r="S6" s="3201"/>
      <c r="T6" s="3221"/>
      <c r="U6" s="3222"/>
      <c r="V6" s="3223"/>
      <c r="W6" s="3223"/>
      <c r="X6" s="1816"/>
      <c r="Y6" s="3221"/>
      <c r="Z6" s="3222"/>
      <c r="AA6" s="3195"/>
      <c r="AB6" s="3223"/>
      <c r="AC6" s="3195"/>
    </row>
    <row r="7" spans="1:29" s="117" customFormat="1" ht="15.75" thickBot="1">
      <c r="A7" s="408" t="s">
        <v>2543</v>
      </c>
      <c r="B7" s="409"/>
      <c r="C7" s="410">
        <f>'数据-取费表'!B2</f>
        <v>43473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2544</v>
      </c>
      <c r="Q7" s="3224"/>
      <c r="R7" s="770" t="s">
        <v>17</v>
      </c>
      <c r="S7" s="771">
        <f t="shared" ref="S7:S15" si="0">F7</f>
        <v>0</v>
      </c>
      <c r="T7" s="770" t="s">
        <v>17</v>
      </c>
      <c r="U7" s="771">
        <f t="shared" ref="U7:U15" si="1">H7</f>
        <v>0</v>
      </c>
      <c r="V7" s="770" t="s">
        <v>17</v>
      </c>
      <c r="W7" s="771">
        <f t="shared" ref="W7:W15" si="2">J7</f>
        <v>0</v>
      </c>
      <c r="X7" s="772"/>
      <c r="Y7" s="3196" t="s">
        <v>2544</v>
      </c>
      <c r="Z7" s="3197"/>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2547</v>
      </c>
      <c r="Q8" s="3197"/>
      <c r="R8" s="770" t="s">
        <v>17</v>
      </c>
      <c r="S8" s="771">
        <f t="shared" si="0"/>
        <v>0</v>
      </c>
      <c r="T8" s="770" t="s">
        <v>17</v>
      </c>
      <c r="U8" s="771">
        <f t="shared" si="1"/>
        <v>0</v>
      </c>
      <c r="V8" s="770" t="s">
        <v>17</v>
      </c>
      <c r="W8" s="771">
        <f t="shared" si="2"/>
        <v>0</v>
      </c>
      <c r="X8" s="772"/>
      <c r="Y8" s="3196" t="s">
        <v>2547</v>
      </c>
      <c r="Z8" s="3197"/>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0"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0"/>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7" t="s">
        <v>2555</v>
      </c>
      <c r="Q15" s="1813" t="str">
        <f t="shared" si="6"/>
        <v>商业繁华度</v>
      </c>
      <c r="R15" s="774" t="s">
        <v>17</v>
      </c>
      <c r="S15" s="775">
        <f t="shared" si="0"/>
        <v>100</v>
      </c>
      <c r="T15" s="774" t="s">
        <v>17</v>
      </c>
      <c r="U15" s="775">
        <f t="shared" si="1"/>
        <v>100</v>
      </c>
      <c r="V15" s="774" t="s">
        <v>17</v>
      </c>
      <c r="W15" s="775">
        <f t="shared" si="2"/>
        <v>100</v>
      </c>
      <c r="X15" s="1816"/>
      <c r="Y15" s="3230"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8"/>
      <c r="Q16" s="1813"/>
      <c r="R16" s="774"/>
      <c r="S16" s="775"/>
      <c r="T16" s="774"/>
      <c r="U16" s="775"/>
      <c r="V16" s="774"/>
      <c r="W16" s="775"/>
      <c r="X16" s="1816"/>
      <c r="Y16" s="3231"/>
      <c r="Z16" s="1817"/>
      <c r="AA16" s="1814">
        <v>1</v>
      </c>
      <c r="AB16" s="1814">
        <v>1</v>
      </c>
      <c r="AC16" s="1814">
        <v>1</v>
      </c>
    </row>
    <row r="17" spans="1:29" ht="85.5">
      <c r="A17" s="428"/>
      <c r="B17" s="451" t="s">
        <v>2091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231"/>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8"/>
      <c r="Q18" s="1813"/>
      <c r="R18" s="774"/>
      <c r="S18" s="775"/>
      <c r="T18" s="774"/>
      <c r="U18" s="775"/>
      <c r="V18" s="774"/>
      <c r="W18" s="775"/>
      <c r="X18" s="1816"/>
      <c r="Y18" s="3231"/>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231"/>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8"/>
      <c r="Q20" s="1813"/>
      <c r="R20" s="774"/>
      <c r="S20" s="775"/>
      <c r="T20" s="774"/>
      <c r="U20" s="775"/>
      <c r="V20" s="774"/>
      <c r="W20" s="775"/>
      <c r="X20" s="1816"/>
      <c r="Y20" s="3231"/>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23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8"/>
      <c r="Q22" s="1813"/>
      <c r="R22" s="774"/>
      <c r="S22" s="775"/>
      <c r="T22" s="774"/>
      <c r="U22" s="775"/>
      <c r="V22" s="774"/>
      <c r="W22" s="775"/>
      <c r="X22" s="1816"/>
      <c r="Y22" s="3231"/>
      <c r="Z22" s="1817"/>
      <c r="AA22" s="1814">
        <v>1</v>
      </c>
      <c r="AB22" s="1814">
        <v>1</v>
      </c>
      <c r="AC22" s="1814">
        <v>1</v>
      </c>
    </row>
    <row r="23" spans="1:29" ht="57">
      <c r="A23" s="428"/>
      <c r="B23" s="451" t="s">
        <v>2096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8"/>
      <c r="Q23" s="1813" t="str">
        <f>B23</f>
        <v>自然及人文环境</v>
      </c>
      <c r="R23" s="774" t="s">
        <v>17</v>
      </c>
      <c r="S23" s="775">
        <f>F23</f>
        <v>100</v>
      </c>
      <c r="T23" s="774" t="s">
        <v>17</v>
      </c>
      <c r="U23" s="775">
        <f>H23</f>
        <v>100</v>
      </c>
      <c r="V23" s="774" t="s">
        <v>17</v>
      </c>
      <c r="W23" s="775">
        <f>J23</f>
        <v>100</v>
      </c>
      <c r="X23" s="1816"/>
      <c r="Y23" s="3231"/>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8"/>
      <c r="Q24" s="1813"/>
      <c r="R24" s="774"/>
      <c r="S24" s="775"/>
      <c r="T24" s="774"/>
      <c r="U24" s="775"/>
      <c r="V24" s="774"/>
      <c r="W24" s="775"/>
      <c r="X24" s="1816"/>
      <c r="Y24" s="3231"/>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8"/>
      <c r="Q25" s="1813" t="str">
        <f t="shared" ref="Q25:Q46" si="11">B25</f>
        <v>临街状况</v>
      </c>
      <c r="R25" s="774" t="s">
        <v>17</v>
      </c>
      <c r="S25" s="775">
        <f>F25</f>
        <v>100</v>
      </c>
      <c r="T25" s="774" t="s">
        <v>17</v>
      </c>
      <c r="U25" s="775">
        <f>H25</f>
        <v>100</v>
      </c>
      <c r="V25" s="774" t="s">
        <v>17</v>
      </c>
      <c r="W25" s="775">
        <f>J25</f>
        <v>100</v>
      </c>
      <c r="X25" s="1816"/>
      <c r="Y25" s="3231"/>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8"/>
      <c r="Q26" s="1813" t="str">
        <f t="shared" si="11"/>
        <v>平面位置/可视性</v>
      </c>
      <c r="R26" s="774" t="s">
        <v>17</v>
      </c>
      <c r="S26" s="775">
        <f>F26</f>
        <v>100</v>
      </c>
      <c r="T26" s="774" t="s">
        <v>17</v>
      </c>
      <c r="U26" s="775">
        <f>H26</f>
        <v>100</v>
      </c>
      <c r="V26" s="774" t="s">
        <v>17</v>
      </c>
      <c r="W26" s="775">
        <f>J26</f>
        <v>100</v>
      </c>
      <c r="X26" s="1816"/>
      <c r="Y26" s="3231"/>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8"/>
      <c r="Q27" s="1798" t="str">
        <f t="shared" si="11"/>
        <v>人流量</v>
      </c>
      <c r="R27" s="770" t="s">
        <v>17</v>
      </c>
      <c r="S27" s="771">
        <f>F27</f>
        <v>100</v>
      </c>
      <c r="T27" s="770" t="s">
        <v>17</v>
      </c>
      <c r="U27" s="771">
        <f>H27</f>
        <v>100</v>
      </c>
      <c r="V27" s="770" t="s">
        <v>17</v>
      </c>
      <c r="W27" s="771">
        <f>J27</f>
        <v>100</v>
      </c>
      <c r="X27" s="772"/>
      <c r="Y27" s="3231"/>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8"/>
      <c r="Q29" s="1813">
        <f t="shared" si="11"/>
        <v>111</v>
      </c>
      <c r="R29" s="774" t="s">
        <v>17</v>
      </c>
      <c r="S29" s="775">
        <f t="shared" si="12"/>
        <v>100</v>
      </c>
      <c r="T29" s="774" t="s">
        <v>17</v>
      </c>
      <c r="U29" s="775">
        <f t="shared" si="13"/>
        <v>100</v>
      </c>
      <c r="V29" s="774" t="s">
        <v>17</v>
      </c>
      <c r="W29" s="775">
        <f t="shared" si="14"/>
        <v>100</v>
      </c>
      <c r="X29" s="1816"/>
      <c r="Y29" s="323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23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231"/>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2" t="s">
        <v>2560</v>
      </c>
      <c r="Q32" s="1813" t="str">
        <f t="shared" si="11"/>
        <v>商业类型</v>
      </c>
      <c r="R32" s="774" t="s">
        <v>17</v>
      </c>
      <c r="S32" s="775">
        <f t="shared" si="12"/>
        <v>100</v>
      </c>
      <c r="T32" s="774" t="s">
        <v>17</v>
      </c>
      <c r="U32" s="775">
        <f t="shared" si="13"/>
        <v>100</v>
      </c>
      <c r="V32" s="774" t="s">
        <v>17</v>
      </c>
      <c r="W32" s="775">
        <f t="shared" si="14"/>
        <v>100</v>
      </c>
      <c r="X32" s="1816"/>
      <c r="Y32" s="3235"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235"/>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3"/>
      <c r="Q34" s="1813" t="str">
        <f t="shared" si="11"/>
        <v>建筑结构</v>
      </c>
      <c r="R34" s="774" t="s">
        <v>17</v>
      </c>
      <c r="S34" s="775">
        <f t="shared" si="12"/>
        <v>100</v>
      </c>
      <c r="T34" s="774" t="s">
        <v>17</v>
      </c>
      <c r="U34" s="775">
        <f t="shared" si="13"/>
        <v>100</v>
      </c>
      <c r="V34" s="774" t="s">
        <v>17</v>
      </c>
      <c r="W34" s="775">
        <f t="shared" si="14"/>
        <v>100</v>
      </c>
      <c r="X34" s="1816"/>
      <c r="Y34" s="3235"/>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3"/>
      <c r="Q35" s="1813" t="str">
        <f t="shared" si="11"/>
        <v>公共部分装修</v>
      </c>
      <c r="R35" s="774" t="s">
        <v>17</v>
      </c>
      <c r="S35" s="775">
        <f t="shared" si="12"/>
        <v>100</v>
      </c>
      <c r="T35" s="774" t="s">
        <v>17</v>
      </c>
      <c r="U35" s="775">
        <f t="shared" si="13"/>
        <v>100</v>
      </c>
      <c r="V35" s="774" t="s">
        <v>17</v>
      </c>
      <c r="W35" s="775">
        <f t="shared" si="14"/>
        <v>100</v>
      </c>
      <c r="X35" s="1816"/>
      <c r="Y35" s="3235"/>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3" t="str">
        <f t="shared" si="11"/>
        <v>成新度</v>
      </c>
      <c r="R36" s="774" t="s">
        <v>17</v>
      </c>
      <c r="S36" s="775" t="e">
        <f t="shared" si="12"/>
        <v>#N/A</v>
      </c>
      <c r="T36" s="774" t="s">
        <v>17</v>
      </c>
      <c r="U36" s="775" t="e">
        <f t="shared" si="13"/>
        <v>#N/A</v>
      </c>
      <c r="V36" s="774" t="s">
        <v>17</v>
      </c>
      <c r="W36" s="775" t="e">
        <f t="shared" si="14"/>
        <v>#N/A</v>
      </c>
      <c r="X36" s="1816"/>
      <c r="Y36" s="3235"/>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3"/>
      <c r="Q37" s="1798" t="str">
        <f t="shared" si="11"/>
        <v>市政基础设施</v>
      </c>
      <c r="R37" s="770" t="s">
        <v>17</v>
      </c>
      <c r="S37" s="771">
        <f t="shared" si="12"/>
        <v>100</v>
      </c>
      <c r="T37" s="770" t="s">
        <v>17</v>
      </c>
      <c r="U37" s="771">
        <f t="shared" si="13"/>
        <v>100</v>
      </c>
      <c r="V37" s="770" t="s">
        <v>17</v>
      </c>
      <c r="W37" s="771">
        <f t="shared" si="14"/>
        <v>100</v>
      </c>
      <c r="X37" s="772"/>
      <c r="Y37" s="3235"/>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3" t="s">
        <v>2560</v>
      </c>
      <c r="Q38" s="1813" t="str">
        <f t="shared" si="11"/>
        <v>业态</v>
      </c>
      <c r="R38" s="774" t="s">
        <v>17</v>
      </c>
      <c r="S38" s="775">
        <f t="shared" si="12"/>
        <v>100</v>
      </c>
      <c r="T38" s="774" t="s">
        <v>17</v>
      </c>
      <c r="U38" s="775">
        <f t="shared" si="13"/>
        <v>100</v>
      </c>
      <c r="V38" s="774" t="s">
        <v>17</v>
      </c>
      <c r="W38" s="775">
        <f t="shared" si="14"/>
        <v>100</v>
      </c>
      <c r="X38" s="1816"/>
      <c r="Y38" s="3235"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3"/>
      <c r="Q39" s="1813" t="str">
        <f t="shared" si="11"/>
        <v>层高</v>
      </c>
      <c r="R39" s="774" t="s">
        <v>17</v>
      </c>
      <c r="S39" s="775">
        <f t="shared" si="12"/>
        <v>100</v>
      </c>
      <c r="T39" s="774" t="s">
        <v>17</v>
      </c>
      <c r="U39" s="775">
        <f t="shared" si="13"/>
        <v>100</v>
      </c>
      <c r="V39" s="774" t="s">
        <v>17</v>
      </c>
      <c r="W39" s="775">
        <f t="shared" si="14"/>
        <v>100</v>
      </c>
      <c r="X39" s="1816"/>
      <c r="Y39" s="3235"/>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3" t="str">
        <f t="shared" si="11"/>
        <v>单套建筑面积</v>
      </c>
      <c r="R40" s="774" t="s">
        <v>17</v>
      </c>
      <c r="S40" s="775">
        <f t="shared" si="12"/>
        <v>100</v>
      </c>
      <c r="T40" s="774" t="s">
        <v>17</v>
      </c>
      <c r="U40" s="775">
        <f t="shared" si="13"/>
        <v>100</v>
      </c>
      <c r="V40" s="774" t="s">
        <v>17</v>
      </c>
      <c r="W40" s="775">
        <f t="shared" si="14"/>
        <v>100</v>
      </c>
      <c r="X40" s="1816"/>
      <c r="Y40" s="3235"/>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235"/>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3"/>
      <c r="Q42" s="1813" t="str">
        <f t="shared" si="11"/>
        <v>内部装修</v>
      </c>
      <c r="R42" s="774" t="s">
        <v>17</v>
      </c>
      <c r="S42" s="775">
        <f t="shared" si="12"/>
        <v>100</v>
      </c>
      <c r="T42" s="774" t="s">
        <v>17</v>
      </c>
      <c r="U42" s="775">
        <f t="shared" si="13"/>
        <v>100</v>
      </c>
      <c r="V42" s="774" t="s">
        <v>17</v>
      </c>
      <c r="W42" s="775">
        <f t="shared" si="14"/>
        <v>100</v>
      </c>
      <c r="X42" s="1816"/>
      <c r="Y42" s="3235"/>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3"/>
      <c r="Q43" s="1813" t="str">
        <f t="shared" si="11"/>
        <v>内部装修维护情况</v>
      </c>
      <c r="R43" s="774" t="s">
        <v>17</v>
      </c>
      <c r="S43" s="775">
        <f t="shared" si="12"/>
        <v>100</v>
      </c>
      <c r="T43" s="774" t="s">
        <v>17</v>
      </c>
      <c r="U43" s="775">
        <f t="shared" si="13"/>
        <v>100</v>
      </c>
      <c r="V43" s="774" t="s">
        <v>17</v>
      </c>
      <c r="W43" s="775">
        <f t="shared" si="14"/>
        <v>100</v>
      </c>
      <c r="X43" s="1816"/>
      <c r="Y43" s="323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8">
        <f t="shared" si="11"/>
        <v>111</v>
      </c>
      <c r="R44" s="770" t="s">
        <v>17</v>
      </c>
      <c r="S44" s="771">
        <f t="shared" si="12"/>
        <v>100</v>
      </c>
      <c r="T44" s="770" t="s">
        <v>17</v>
      </c>
      <c r="U44" s="771">
        <f t="shared" si="13"/>
        <v>100</v>
      </c>
      <c r="V44" s="770" t="s">
        <v>17</v>
      </c>
      <c r="W44" s="771">
        <f t="shared" si="14"/>
        <v>100</v>
      </c>
      <c r="X44" s="772"/>
      <c r="Y44" s="323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3">
        <f t="shared" si="11"/>
        <v>111</v>
      </c>
      <c r="R45" s="774" t="s">
        <v>17</v>
      </c>
      <c r="S45" s="775">
        <f t="shared" si="12"/>
        <v>100</v>
      </c>
      <c r="T45" s="774" t="s">
        <v>17</v>
      </c>
      <c r="U45" s="775">
        <f t="shared" si="13"/>
        <v>100</v>
      </c>
      <c r="V45" s="774" t="s">
        <v>17</v>
      </c>
      <c r="W45" s="775">
        <f t="shared" si="14"/>
        <v>100</v>
      </c>
      <c r="X45" s="1816"/>
      <c r="Y45" s="3235"/>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28" t="str">
        <f>A47</f>
        <v>成交单价（元/平方米）</v>
      </c>
      <c r="Q47" s="3228"/>
      <c r="R47" s="3223">
        <f>E47</f>
        <v>0</v>
      </c>
      <c r="S47" s="3223"/>
      <c r="T47" s="3223">
        <f>G47</f>
        <v>0</v>
      </c>
      <c r="U47" s="3223"/>
      <c r="V47" s="3223">
        <f>I47</f>
        <v>0</v>
      </c>
      <c r="W47" s="3223"/>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25" t="str">
        <f>A49</f>
        <v>估价对象XX用房的比较价值（楼面单价，元/平方米）</v>
      </c>
      <c r="Q49" s="3226"/>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19553.34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45" t="s">
        <v>2646</v>
      </c>
      <c r="Q4" s="3246"/>
      <c r="R4" s="3240" t="s">
        <v>2642</v>
      </c>
      <c r="S4" s="3241"/>
      <c r="T4" s="3240" t="s">
        <v>2643</v>
      </c>
      <c r="U4" s="3241"/>
      <c r="V4" s="3249" t="s">
        <v>2644</v>
      </c>
      <c r="W4" s="3249"/>
      <c r="X4" s="2673"/>
      <c r="Y4" s="3240" t="s">
        <v>2646</v>
      </c>
      <c r="Z4" s="3241"/>
      <c r="AA4" s="3239" t="s">
        <v>2642</v>
      </c>
      <c r="AB4" s="3239" t="s">
        <v>2643</v>
      </c>
      <c r="AC4" s="3242" t="s">
        <v>2644</v>
      </c>
    </row>
    <row r="5" spans="1:29" ht="15">
      <c r="A5" s="404"/>
      <c r="B5" s="405"/>
      <c r="C5" s="3204" t="s">
        <v>2537</v>
      </c>
      <c r="D5" s="3205"/>
      <c r="E5" s="3202" t="s">
        <v>2538</v>
      </c>
      <c r="F5" s="3203"/>
      <c r="G5" s="3204" t="s">
        <v>2539</v>
      </c>
      <c r="H5" s="3205"/>
      <c r="I5" s="3204" t="s">
        <v>2540</v>
      </c>
      <c r="J5" s="3205"/>
      <c r="K5" s="610"/>
      <c r="L5" s="1133"/>
      <c r="M5" s="1134"/>
      <c r="N5" s="1134"/>
      <c r="O5" s="1134"/>
      <c r="P5" s="3247"/>
      <c r="Q5" s="3218"/>
      <c r="R5" s="3200"/>
      <c r="S5" s="3201"/>
      <c r="T5" s="3200"/>
      <c r="U5" s="3201"/>
      <c r="V5" s="3223"/>
      <c r="W5" s="3223"/>
      <c r="X5" s="1816"/>
      <c r="Y5" s="3200"/>
      <c r="Z5" s="3201"/>
      <c r="AA5" s="3194"/>
      <c r="AB5" s="3194"/>
      <c r="AC5" s="3243"/>
    </row>
    <row r="6" spans="1:29" ht="15.75" thickBot="1">
      <c r="A6" s="406"/>
      <c r="B6" s="407"/>
      <c r="C6" s="3206" t="s">
        <v>2541</v>
      </c>
      <c r="D6" s="3207"/>
      <c r="E6" s="3208" t="s">
        <v>2541</v>
      </c>
      <c r="F6" s="3209"/>
      <c r="G6" s="3206" t="s">
        <v>2541</v>
      </c>
      <c r="H6" s="3207"/>
      <c r="I6" s="3206" t="s">
        <v>2541</v>
      </c>
      <c r="J6" s="3207"/>
      <c r="K6" s="610" t="s">
        <v>2542</v>
      </c>
      <c r="L6" s="1133"/>
      <c r="M6" s="1134"/>
      <c r="N6" s="1134"/>
      <c r="O6" s="1134"/>
      <c r="P6" s="3248"/>
      <c r="Q6" s="3220"/>
      <c r="R6" s="3200"/>
      <c r="S6" s="3201"/>
      <c r="T6" s="3221"/>
      <c r="U6" s="3222"/>
      <c r="V6" s="3223"/>
      <c r="W6" s="3223"/>
      <c r="X6" s="1816"/>
      <c r="Y6" s="3221"/>
      <c r="Z6" s="3222"/>
      <c r="AA6" s="3195"/>
      <c r="AB6" s="3195"/>
      <c r="AC6" s="3244"/>
    </row>
    <row r="7" spans="1:29" s="117" customFormat="1" ht="15.75" thickBot="1">
      <c r="A7" s="408" t="s">
        <v>2543</v>
      </c>
      <c r="B7" s="409"/>
      <c r="C7" s="410">
        <f>'数据-取费表'!B2</f>
        <v>43473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2544</v>
      </c>
      <c r="Q7" s="3224"/>
      <c r="R7" s="770" t="s">
        <v>17</v>
      </c>
      <c r="S7" s="771">
        <f t="shared" ref="S7:S15" si="0">F7</f>
        <v>0</v>
      </c>
      <c r="T7" s="770" t="s">
        <v>17</v>
      </c>
      <c r="U7" s="771">
        <f t="shared" ref="U7:U15" si="1">H7</f>
        <v>0</v>
      </c>
      <c r="V7" s="770" t="s">
        <v>17</v>
      </c>
      <c r="W7" s="771">
        <f t="shared" ref="W7:W15" si="2">J7</f>
        <v>0</v>
      </c>
      <c r="X7" s="772"/>
      <c r="Y7" s="3196" t="s">
        <v>2544</v>
      </c>
      <c r="Z7" s="3197"/>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2547</v>
      </c>
      <c r="Q8" s="3197"/>
      <c r="R8" s="770" t="s">
        <v>17</v>
      </c>
      <c r="S8" s="771">
        <f t="shared" si="0"/>
        <v>0</v>
      </c>
      <c r="T8" s="770" t="s">
        <v>17</v>
      </c>
      <c r="U8" s="771">
        <f t="shared" si="1"/>
        <v>0</v>
      </c>
      <c r="V8" s="770" t="s">
        <v>17</v>
      </c>
      <c r="W8" s="771">
        <f t="shared" si="2"/>
        <v>0</v>
      </c>
      <c r="X8" s="772"/>
      <c r="Y8" s="3196" t="s">
        <v>2547</v>
      </c>
      <c r="Z8" s="3197"/>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0"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0"/>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7" t="s">
        <v>2555</v>
      </c>
      <c r="Q15" s="1813" t="str">
        <f t="shared" si="6"/>
        <v>办公集聚程度</v>
      </c>
      <c r="R15" s="774" t="s">
        <v>17</v>
      </c>
      <c r="S15" s="775">
        <f t="shared" si="0"/>
        <v>100</v>
      </c>
      <c r="T15" s="774" t="s">
        <v>17</v>
      </c>
      <c r="U15" s="775">
        <f t="shared" si="1"/>
        <v>100</v>
      </c>
      <c r="V15" s="774" t="s">
        <v>17</v>
      </c>
      <c r="W15" s="775">
        <f t="shared" si="2"/>
        <v>100</v>
      </c>
      <c r="X15" s="1816"/>
      <c r="Y15" s="3230"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8"/>
      <c r="Q16" s="1813"/>
      <c r="R16" s="774"/>
      <c r="S16" s="775"/>
      <c r="T16" s="774"/>
      <c r="U16" s="775"/>
      <c r="V16" s="774"/>
      <c r="W16" s="775"/>
      <c r="X16" s="1816"/>
      <c r="Y16" s="3231"/>
      <c r="Z16" s="1817"/>
      <c r="AA16" s="1814">
        <v>1</v>
      </c>
      <c r="AB16" s="1814">
        <v>1</v>
      </c>
      <c r="AC16" s="2677">
        <v>1</v>
      </c>
    </row>
    <row r="17" spans="1:29" ht="71.25">
      <c r="A17" s="428"/>
      <c r="B17" s="631" t="s">
        <v>2091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231"/>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8"/>
      <c r="Q18" s="1813"/>
      <c r="R18" s="774"/>
      <c r="S18" s="775"/>
      <c r="T18" s="774"/>
      <c r="U18" s="775"/>
      <c r="V18" s="774"/>
      <c r="W18" s="775"/>
      <c r="X18" s="1816"/>
      <c r="Y18" s="3231"/>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231"/>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8"/>
      <c r="Q20" s="1813"/>
      <c r="R20" s="774"/>
      <c r="S20" s="775"/>
      <c r="T20" s="774"/>
      <c r="U20" s="775"/>
      <c r="V20" s="774"/>
      <c r="W20" s="775"/>
      <c r="X20" s="1816"/>
      <c r="Y20" s="3231"/>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231"/>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8"/>
      <c r="Q22" s="1813"/>
      <c r="R22" s="774"/>
      <c r="S22" s="775"/>
      <c r="T22" s="774"/>
      <c r="U22" s="775"/>
      <c r="V22" s="774"/>
      <c r="W22" s="775"/>
      <c r="X22" s="1816"/>
      <c r="Y22" s="3231"/>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8"/>
      <c r="Q23" s="1813" t="str">
        <f>B23</f>
        <v>环境质量</v>
      </c>
      <c r="R23" s="774" t="s">
        <v>17</v>
      </c>
      <c r="S23" s="775">
        <f>F23</f>
        <v>100</v>
      </c>
      <c r="T23" s="774" t="s">
        <v>17</v>
      </c>
      <c r="U23" s="775">
        <f>H23</f>
        <v>100</v>
      </c>
      <c r="V23" s="774" t="s">
        <v>17</v>
      </c>
      <c r="W23" s="775">
        <f>J23</f>
        <v>100</v>
      </c>
      <c r="X23" s="1816"/>
      <c r="Y23" s="3231"/>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8"/>
      <c r="Q24" s="1813"/>
      <c r="R24" s="774"/>
      <c r="S24" s="775"/>
      <c r="T24" s="774"/>
      <c r="U24" s="775"/>
      <c r="V24" s="774"/>
      <c r="W24" s="775"/>
      <c r="X24" s="1816"/>
      <c r="Y24" s="3231"/>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8"/>
      <c r="Q25" s="1813" t="str">
        <f>B25</f>
        <v>毗邻道路的类型与等级</v>
      </c>
      <c r="R25" s="774" t="s">
        <v>17</v>
      </c>
      <c r="S25" s="775">
        <f>F25</f>
        <v>100</v>
      </c>
      <c r="T25" s="774" t="s">
        <v>17</v>
      </c>
      <c r="U25" s="775">
        <f>H25</f>
        <v>100</v>
      </c>
      <c r="V25" s="774" t="s">
        <v>17</v>
      </c>
      <c r="W25" s="775">
        <f>J25</f>
        <v>100</v>
      </c>
      <c r="X25" s="1816"/>
      <c r="Y25" s="3231"/>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8"/>
      <c r="Q26" s="1813"/>
      <c r="R26" s="774"/>
      <c r="S26" s="775"/>
      <c r="T26" s="774"/>
      <c r="U26" s="775"/>
      <c r="V26" s="774"/>
      <c r="W26" s="775"/>
      <c r="X26" s="1816"/>
      <c r="Y26" s="3231"/>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8"/>
      <c r="Q27" s="1813" t="str">
        <f t="shared" ref="Q27:Q47" si="11">B27</f>
        <v>楼层</v>
      </c>
      <c r="R27" s="774" t="s">
        <v>17</v>
      </c>
      <c r="S27" s="775">
        <f>F27</f>
        <v>100</v>
      </c>
      <c r="T27" s="774" t="s">
        <v>17</v>
      </c>
      <c r="U27" s="775">
        <f>H27</f>
        <v>100</v>
      </c>
      <c r="V27" s="774" t="s">
        <v>17</v>
      </c>
      <c r="W27" s="775">
        <f>J27</f>
        <v>100</v>
      </c>
      <c r="X27" s="1816"/>
      <c r="Y27" s="3231"/>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8"/>
      <c r="Q28" s="1798" t="str">
        <f t="shared" si="11"/>
        <v>朝向</v>
      </c>
      <c r="R28" s="770" t="s">
        <v>17</v>
      </c>
      <c r="S28" s="771">
        <f>F28</f>
        <v>100</v>
      </c>
      <c r="T28" s="770" t="s">
        <v>17</v>
      </c>
      <c r="U28" s="771">
        <f>H28</f>
        <v>100</v>
      </c>
      <c r="V28" s="770" t="s">
        <v>17</v>
      </c>
      <c r="W28" s="771">
        <f>J28</f>
        <v>100</v>
      </c>
      <c r="X28" s="772"/>
      <c r="Y28" s="3231"/>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8"/>
      <c r="Q29" s="1813">
        <f t="shared" si="11"/>
        <v>111</v>
      </c>
      <c r="R29" s="774" t="s">
        <v>17</v>
      </c>
      <c r="S29" s="775">
        <f t="shared" ref="S29:S47" si="12">F29</f>
        <v>100</v>
      </c>
      <c r="T29" s="774" t="s">
        <v>17</v>
      </c>
      <c r="U29" s="775">
        <f t="shared" ref="U29:U47" si="13">H29</f>
        <v>100</v>
      </c>
      <c r="V29" s="774" t="s">
        <v>17</v>
      </c>
      <c r="W29" s="775">
        <f t="shared" ref="W29:W47" si="14">J29</f>
        <v>100</v>
      </c>
      <c r="X29" s="1816"/>
      <c r="Y29" s="3231"/>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231"/>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231"/>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8"/>
      <c r="Q32" s="1813">
        <f t="shared" si="11"/>
        <v>111</v>
      </c>
      <c r="R32" s="774" t="s">
        <v>17</v>
      </c>
      <c r="S32" s="775">
        <f t="shared" si="12"/>
        <v>100</v>
      </c>
      <c r="T32" s="774" t="s">
        <v>17</v>
      </c>
      <c r="U32" s="775">
        <f t="shared" si="13"/>
        <v>100</v>
      </c>
      <c r="V32" s="774" t="s">
        <v>17</v>
      </c>
      <c r="W32" s="775">
        <f t="shared" si="14"/>
        <v>100</v>
      </c>
      <c r="X32" s="1816"/>
      <c r="Y32" s="3231"/>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2" t="s">
        <v>2560</v>
      </c>
      <c r="Q33" s="1813" t="str">
        <f t="shared" si="11"/>
        <v>建筑类型</v>
      </c>
      <c r="R33" s="774" t="s">
        <v>17</v>
      </c>
      <c r="S33" s="775">
        <f t="shared" si="12"/>
        <v>100</v>
      </c>
      <c r="T33" s="774" t="s">
        <v>17</v>
      </c>
      <c r="U33" s="775">
        <f t="shared" si="13"/>
        <v>100</v>
      </c>
      <c r="V33" s="774" t="s">
        <v>17</v>
      </c>
      <c r="W33" s="775">
        <f t="shared" si="14"/>
        <v>100</v>
      </c>
      <c r="X33" s="1816"/>
      <c r="Y33" s="3235"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235"/>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3" t="str">
        <f t="shared" si="11"/>
        <v>建筑结构</v>
      </c>
      <c r="R35" s="774" t="s">
        <v>17</v>
      </c>
      <c r="S35" s="775">
        <f t="shared" si="12"/>
        <v>100</v>
      </c>
      <c r="T35" s="774" t="s">
        <v>17</v>
      </c>
      <c r="U35" s="775">
        <f t="shared" si="13"/>
        <v>100</v>
      </c>
      <c r="V35" s="774" t="s">
        <v>17</v>
      </c>
      <c r="W35" s="775">
        <f t="shared" si="14"/>
        <v>100</v>
      </c>
      <c r="X35" s="1816"/>
      <c r="Y35" s="3235"/>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3" t="str">
        <f t="shared" si="11"/>
        <v>公共部分装修</v>
      </c>
      <c r="R36" s="774" t="s">
        <v>17</v>
      </c>
      <c r="S36" s="775">
        <f t="shared" si="12"/>
        <v>100</v>
      </c>
      <c r="T36" s="774" t="s">
        <v>17</v>
      </c>
      <c r="U36" s="775">
        <f t="shared" si="13"/>
        <v>100</v>
      </c>
      <c r="V36" s="774" t="s">
        <v>17</v>
      </c>
      <c r="W36" s="775">
        <f t="shared" si="14"/>
        <v>100</v>
      </c>
      <c r="X36" s="1816"/>
      <c r="Y36" s="3235"/>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3" t="str">
        <f t="shared" si="11"/>
        <v>成新度</v>
      </c>
      <c r="R37" s="774" t="s">
        <v>17</v>
      </c>
      <c r="S37" s="775" t="e">
        <f t="shared" si="12"/>
        <v>#N/A</v>
      </c>
      <c r="T37" s="774" t="s">
        <v>17</v>
      </c>
      <c r="U37" s="775" t="e">
        <f t="shared" si="13"/>
        <v>#N/A</v>
      </c>
      <c r="V37" s="774" t="s">
        <v>17</v>
      </c>
      <c r="W37" s="775" t="e">
        <f t="shared" si="14"/>
        <v>#N/A</v>
      </c>
      <c r="X37" s="1816"/>
      <c r="Y37" s="3235"/>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8" t="str">
        <f t="shared" si="11"/>
        <v>写字楼等级</v>
      </c>
      <c r="R38" s="770" t="s">
        <v>17</v>
      </c>
      <c r="S38" s="771">
        <f t="shared" si="12"/>
        <v>100</v>
      </c>
      <c r="T38" s="770" t="s">
        <v>17</v>
      </c>
      <c r="U38" s="771">
        <f t="shared" si="13"/>
        <v>100</v>
      </c>
      <c r="V38" s="770" t="s">
        <v>17</v>
      </c>
      <c r="W38" s="771">
        <f t="shared" si="14"/>
        <v>100</v>
      </c>
      <c r="X38" s="772"/>
      <c r="Y38" s="3235"/>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2560</v>
      </c>
      <c r="Q39" s="1813" t="str">
        <f t="shared" si="11"/>
        <v>物业管理</v>
      </c>
      <c r="R39" s="774" t="s">
        <v>17</v>
      </c>
      <c r="S39" s="775">
        <f t="shared" si="12"/>
        <v>100</v>
      </c>
      <c r="T39" s="774" t="s">
        <v>17</v>
      </c>
      <c r="U39" s="775">
        <f t="shared" si="13"/>
        <v>100</v>
      </c>
      <c r="V39" s="774" t="s">
        <v>17</v>
      </c>
      <c r="W39" s="775">
        <f t="shared" si="14"/>
        <v>100</v>
      </c>
      <c r="X39" s="1816"/>
      <c r="Y39" s="3235"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3" t="str">
        <f t="shared" si="11"/>
        <v>市政基础设施</v>
      </c>
      <c r="R40" s="774" t="s">
        <v>17</v>
      </c>
      <c r="S40" s="775">
        <f t="shared" si="12"/>
        <v>100</v>
      </c>
      <c r="T40" s="774" t="s">
        <v>17</v>
      </c>
      <c r="U40" s="775">
        <f t="shared" si="13"/>
        <v>100</v>
      </c>
      <c r="V40" s="774" t="s">
        <v>17</v>
      </c>
      <c r="W40" s="775">
        <f t="shared" si="14"/>
        <v>100</v>
      </c>
      <c r="X40" s="1816"/>
      <c r="Y40" s="3235"/>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3" t="str">
        <f t="shared" si="11"/>
        <v>层高</v>
      </c>
      <c r="R41" s="774" t="s">
        <v>17</v>
      </c>
      <c r="S41" s="775">
        <f t="shared" si="12"/>
        <v>100</v>
      </c>
      <c r="T41" s="774" t="s">
        <v>17</v>
      </c>
      <c r="U41" s="775">
        <f t="shared" si="13"/>
        <v>100</v>
      </c>
      <c r="V41" s="774" t="s">
        <v>17</v>
      </c>
      <c r="W41" s="775">
        <f t="shared" si="14"/>
        <v>100</v>
      </c>
      <c r="X41" s="1816"/>
      <c r="Y41" s="3235"/>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235"/>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3" t="str">
        <f t="shared" si="11"/>
        <v>内部装修</v>
      </c>
      <c r="R43" s="774" t="s">
        <v>17</v>
      </c>
      <c r="S43" s="775">
        <f t="shared" si="12"/>
        <v>100</v>
      </c>
      <c r="T43" s="774" t="s">
        <v>17</v>
      </c>
      <c r="U43" s="775">
        <f t="shared" si="13"/>
        <v>100</v>
      </c>
      <c r="V43" s="774" t="s">
        <v>17</v>
      </c>
      <c r="W43" s="775">
        <f t="shared" si="14"/>
        <v>100</v>
      </c>
      <c r="X43" s="1816"/>
      <c r="Y43" s="3235"/>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3"/>
      <c r="Q44" s="1813" t="str">
        <f t="shared" si="11"/>
        <v>内部装修维护情况</v>
      </c>
      <c r="R44" s="774" t="s">
        <v>17</v>
      </c>
      <c r="S44" s="775">
        <f t="shared" si="12"/>
        <v>100</v>
      </c>
      <c r="T44" s="774" t="s">
        <v>17</v>
      </c>
      <c r="U44" s="775">
        <f t="shared" si="13"/>
        <v>100</v>
      </c>
      <c r="V44" s="774" t="s">
        <v>17</v>
      </c>
      <c r="W44" s="775">
        <f t="shared" si="14"/>
        <v>100</v>
      </c>
      <c r="X44" s="1816"/>
      <c r="Y44" s="3235"/>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8">
        <f t="shared" si="11"/>
        <v>111</v>
      </c>
      <c r="R45" s="770" t="s">
        <v>17</v>
      </c>
      <c r="S45" s="771">
        <f t="shared" si="12"/>
        <v>100</v>
      </c>
      <c r="T45" s="770" t="s">
        <v>17</v>
      </c>
      <c r="U45" s="771">
        <f t="shared" si="13"/>
        <v>100</v>
      </c>
      <c r="V45" s="770" t="s">
        <v>17</v>
      </c>
      <c r="W45" s="771">
        <f t="shared" si="14"/>
        <v>100</v>
      </c>
      <c r="X45" s="772"/>
      <c r="Y45" s="3235"/>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3">
        <f t="shared" si="11"/>
        <v>111</v>
      </c>
      <c r="R47" s="774" t="s">
        <v>17</v>
      </c>
      <c r="S47" s="775">
        <f t="shared" si="12"/>
        <v>100</v>
      </c>
      <c r="T47" s="774" t="s">
        <v>17</v>
      </c>
      <c r="U47" s="775">
        <f t="shared" si="13"/>
        <v>100</v>
      </c>
      <c r="V47" s="774" t="s">
        <v>17</v>
      </c>
      <c r="W47" s="775">
        <f t="shared" si="14"/>
        <v>100</v>
      </c>
      <c r="X47" s="1816"/>
      <c r="Y47" s="3236"/>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210" t="str">
        <f>A48</f>
        <v>成交单价（元/平方米）</v>
      </c>
      <c r="Q48" s="3228"/>
      <c r="R48" s="3229">
        <f>E48</f>
        <v>0</v>
      </c>
      <c r="S48" s="3229"/>
      <c r="T48" s="3229">
        <f>G48</f>
        <v>0</v>
      </c>
      <c r="U48" s="3229"/>
      <c r="V48" s="3229">
        <f>I48</f>
        <v>0</v>
      </c>
      <c r="W48" s="3229"/>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210"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北京益安利乐投资有限公司：</v>
      </c>
    </row>
    <row r="4" spans="1:1" ht="36">
      <c r="A4" s="1951" t="str">
        <f>"受贵公司委托，我公司对"&amp;项目基本情况!S1&amp;"进行了预评估。"</f>
        <v>受贵公司委托，我公司对北京市安祥街6号院1号楼1至3层101；2号楼1至5层101房地产抵押价值进行了预评估。</v>
      </c>
    </row>
    <row r="5" spans="1:1" ht="18.75">
      <c r="A5" s="1952" t="s">
        <v>1608</v>
      </c>
    </row>
    <row r="6" spans="1:1" ht="18.75">
      <c r="A6" s="1953" t="s">
        <v>1609</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安祥街6号院1号楼1至3层101；2号楼1至5层101房地产，为北京益安利乐投资有限公司所有。根据《国有土地使用证》[京顺国用（2012出）第00082号]，估价对象（分摊）出让国有建设用地使用权面积为9161.21平方米。根据《不动产权证书》[京（2016）顺义区不动产权第0010455号]，估价对象建筑面积为19553.34平方米。</v>
      </c>
    </row>
    <row r="8" spans="1:1" ht="57.75">
      <c r="A8" s="1954" t="s">
        <v>1610</v>
      </c>
    </row>
    <row r="9" spans="1:1" ht="18.75">
      <c r="A9" s="1953" t="s">
        <v>1611</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安祥街6号院1号楼1至3层101；2号楼1至5层101房地产,属北京益安利乐投资有限公司开发建设的工业项目，该项目尚在开发建设中。根据《国有土地使用证》[京顺国用（2012出）第00082号]，估价对象（分摊）出让国有建设用地使用权面积为9161.21平方米。根据《不动产权证书》[京（2016）顺义区不动产权第0010455号]，估价对象规划建筑面积为19553.34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为估价委托人在向北京农村商业银行卢沟桥支行办理贷款手续过程中，确定房地产抵押贷款额度提供参考依据而评估房地产抵押价值。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2019年1月8日（评估专业人员实地查勘之日）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8日，估价对象规划用途为工业，土地取得方式为出让，出让国有建设用地使用权剩余土地使用年限为工业35.62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工业35.62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19553.34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194" t="s">
        <v>2643</v>
      </c>
      <c r="AC4" s="3193" t="s">
        <v>2644</v>
      </c>
    </row>
    <row r="5" spans="1:29"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194"/>
      <c r="AC5" s="3194"/>
    </row>
    <row r="6" spans="1:29" ht="15.75" thickBot="1">
      <c r="A6" s="406"/>
      <c r="B6" s="407"/>
      <c r="C6" s="3206" t="s">
        <v>2541</v>
      </c>
      <c r="D6" s="3207"/>
      <c r="E6" s="3208" t="s">
        <v>2541</v>
      </c>
      <c r="F6" s="3209"/>
      <c r="G6" s="3206" t="s">
        <v>2541</v>
      </c>
      <c r="H6" s="3207"/>
      <c r="I6" s="3206" t="s">
        <v>2541</v>
      </c>
      <c r="J6" s="3207"/>
      <c r="K6" s="610" t="s">
        <v>2542</v>
      </c>
      <c r="L6" s="1133"/>
      <c r="M6" s="1134"/>
      <c r="N6" s="1134"/>
      <c r="O6" s="1134"/>
      <c r="P6" s="3219"/>
      <c r="Q6" s="3220"/>
      <c r="R6" s="3200"/>
      <c r="S6" s="3201"/>
      <c r="T6" s="3221"/>
      <c r="U6" s="3222"/>
      <c r="V6" s="3223"/>
      <c r="W6" s="3223"/>
      <c r="X6" s="1816"/>
      <c r="Y6" s="3221"/>
      <c r="Z6" s="3222"/>
      <c r="AA6" s="3195"/>
      <c r="AB6" s="3195"/>
      <c r="AC6" s="3195"/>
    </row>
    <row r="7" spans="1:29" s="117" customFormat="1" ht="15.75" thickBot="1">
      <c r="A7" s="408" t="s">
        <v>2543</v>
      </c>
      <c r="B7" s="409"/>
      <c r="C7" s="410">
        <f>'数据-取费表'!B2</f>
        <v>43473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2544</v>
      </c>
      <c r="Q7" s="3224"/>
      <c r="R7" s="770" t="s">
        <v>17</v>
      </c>
      <c r="S7" s="771">
        <f t="shared" ref="S7:S15" si="0">F7</f>
        <v>0</v>
      </c>
      <c r="T7" s="770" t="s">
        <v>17</v>
      </c>
      <c r="U7" s="771">
        <f t="shared" ref="U7:U15" si="1">H7</f>
        <v>0</v>
      </c>
      <c r="V7" s="770" t="s">
        <v>17</v>
      </c>
      <c r="W7" s="771">
        <f t="shared" ref="W7:W15" si="2">J7</f>
        <v>0</v>
      </c>
      <c r="X7" s="772"/>
      <c r="Y7" s="3196" t="s">
        <v>2544</v>
      </c>
      <c r="Z7" s="3197"/>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2547</v>
      </c>
      <c r="Q8" s="3197"/>
      <c r="R8" s="770" t="s">
        <v>17</v>
      </c>
      <c r="S8" s="771">
        <f t="shared" si="0"/>
        <v>0</v>
      </c>
      <c r="T8" s="770" t="s">
        <v>17</v>
      </c>
      <c r="U8" s="771">
        <f t="shared" si="1"/>
        <v>0</v>
      </c>
      <c r="V8" s="770" t="s">
        <v>17</v>
      </c>
      <c r="W8" s="771">
        <f t="shared" si="2"/>
        <v>0</v>
      </c>
      <c r="X8" s="772"/>
      <c r="Y8" s="3196" t="s">
        <v>2547</v>
      </c>
      <c r="Z8" s="3197"/>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8"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8"/>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8"/>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2554</v>
      </c>
      <c r="B15" s="69" t="s">
        <v>2698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0" t="s">
        <v>2555</v>
      </c>
      <c r="Q15" s="1813" t="str">
        <f t="shared" si="6"/>
        <v>产业集聚程度</v>
      </c>
      <c r="R15" s="774" t="s">
        <v>17</v>
      </c>
      <c r="S15" s="775">
        <f t="shared" si="0"/>
        <v>100</v>
      </c>
      <c r="T15" s="774" t="s">
        <v>17</v>
      </c>
      <c r="U15" s="775">
        <f t="shared" si="1"/>
        <v>100</v>
      </c>
      <c r="V15" s="774" t="s">
        <v>17</v>
      </c>
      <c r="W15" s="775">
        <f t="shared" si="2"/>
        <v>100</v>
      </c>
      <c r="X15" s="1816"/>
      <c r="Y15" s="3230"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1"/>
      <c r="Q16" s="1813"/>
      <c r="R16" s="774"/>
      <c r="S16" s="775"/>
      <c r="T16" s="774"/>
      <c r="U16" s="775"/>
      <c r="V16" s="774"/>
      <c r="W16" s="775"/>
      <c r="X16" s="1816"/>
      <c r="Y16" s="3231"/>
      <c r="Z16" s="1817"/>
      <c r="AA16" s="1814">
        <v>1</v>
      </c>
      <c r="AB16" s="1814">
        <v>1</v>
      </c>
      <c r="AC16" s="1814">
        <v>1</v>
      </c>
    </row>
    <row r="17" spans="1:29" ht="85.5">
      <c r="A17" s="428"/>
      <c r="B17" s="451" t="s">
        <v>2091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1"/>
      <c r="Q17" s="1813" t="str">
        <f>B17</f>
        <v>交通便捷度</v>
      </c>
      <c r="R17" s="774" t="s">
        <v>17</v>
      </c>
      <c r="S17" s="775">
        <f>F17</f>
        <v>100</v>
      </c>
      <c r="T17" s="774" t="s">
        <v>17</v>
      </c>
      <c r="U17" s="775">
        <f>H17</f>
        <v>100</v>
      </c>
      <c r="V17" s="774" t="s">
        <v>17</v>
      </c>
      <c r="W17" s="775">
        <f>J17</f>
        <v>100</v>
      </c>
      <c r="X17" s="1816"/>
      <c r="Y17" s="3231"/>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31"/>
      <c r="Q18" s="1813"/>
      <c r="R18" s="774"/>
      <c r="S18" s="775"/>
      <c r="T18" s="774"/>
      <c r="U18" s="775"/>
      <c r="V18" s="774"/>
      <c r="W18" s="775"/>
      <c r="X18" s="1816"/>
      <c r="Y18" s="3231"/>
      <c r="Z18" s="1817"/>
      <c r="AA18" s="1814">
        <v>1</v>
      </c>
      <c r="AB18" s="1814">
        <v>1</v>
      </c>
      <c r="AC18" s="1814">
        <v>1</v>
      </c>
    </row>
    <row r="19" spans="1:29" ht="42.75">
      <c r="A19" s="428"/>
      <c r="B19" s="451" t="s">
        <v>2683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1"/>
      <c r="Q19" s="1813" t="str">
        <f>B19</f>
        <v>公共配套设施</v>
      </c>
      <c r="R19" s="774" t="s">
        <v>17</v>
      </c>
      <c r="S19" s="775">
        <f>F19</f>
        <v>100</v>
      </c>
      <c r="T19" s="774" t="s">
        <v>17</v>
      </c>
      <c r="U19" s="775">
        <f>H19</f>
        <v>100</v>
      </c>
      <c r="V19" s="774" t="s">
        <v>17</v>
      </c>
      <c r="W19" s="775">
        <f>J19</f>
        <v>100</v>
      </c>
      <c r="X19" s="1816"/>
      <c r="Y19" s="3231"/>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31"/>
      <c r="Q20" s="1813"/>
      <c r="R20" s="774"/>
      <c r="S20" s="775"/>
      <c r="T20" s="774"/>
      <c r="U20" s="775"/>
      <c r="V20" s="774"/>
      <c r="W20" s="775"/>
      <c r="X20" s="1816"/>
      <c r="Y20" s="3231"/>
      <c r="Z20" s="1817"/>
      <c r="AA20" s="1814">
        <v>1</v>
      </c>
      <c r="AB20" s="1814">
        <v>1</v>
      </c>
      <c r="AC20" s="1814">
        <v>1</v>
      </c>
    </row>
    <row r="21" spans="1:29" ht="28.5">
      <c r="A21" s="428"/>
      <c r="B21" s="1387" t="s">
        <v>2684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1"/>
      <c r="Q21" s="1813" t="str">
        <f>B21</f>
        <v>基础设施水平</v>
      </c>
      <c r="R21" s="774" t="s">
        <v>17</v>
      </c>
      <c r="S21" s="775">
        <f>F21</f>
        <v>100</v>
      </c>
      <c r="T21" s="774" t="s">
        <v>17</v>
      </c>
      <c r="U21" s="775">
        <f>H21</f>
        <v>100</v>
      </c>
      <c r="V21" s="774" t="s">
        <v>17</v>
      </c>
      <c r="W21" s="775">
        <f>J21</f>
        <v>100</v>
      </c>
      <c r="X21" s="1816"/>
      <c r="Y21" s="323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31"/>
      <c r="Q22" s="1813"/>
      <c r="R22" s="774"/>
      <c r="S22" s="775"/>
      <c r="T22" s="774"/>
      <c r="U22" s="775"/>
      <c r="V22" s="774"/>
      <c r="W22" s="775"/>
      <c r="X22" s="1816"/>
      <c r="Y22" s="3231"/>
      <c r="Z22" s="1817"/>
      <c r="AA22" s="1814">
        <v>1</v>
      </c>
      <c r="AB22" s="1814">
        <v>1</v>
      </c>
      <c r="AC22" s="1814">
        <v>1</v>
      </c>
    </row>
    <row r="23" spans="1:29" ht="71.25">
      <c r="A23" s="428"/>
      <c r="B23" s="451" t="s">
        <v>2685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1"/>
      <c r="Q23" s="1813" t="str">
        <f>B23</f>
        <v>环境质量</v>
      </c>
      <c r="R23" s="774" t="s">
        <v>17</v>
      </c>
      <c r="S23" s="775">
        <f>F23</f>
        <v>100</v>
      </c>
      <c r="T23" s="774" t="s">
        <v>17</v>
      </c>
      <c r="U23" s="775">
        <f>H23</f>
        <v>100</v>
      </c>
      <c r="V23" s="774" t="s">
        <v>17</v>
      </c>
      <c r="W23" s="775">
        <f>J23</f>
        <v>100</v>
      </c>
      <c r="X23" s="1816"/>
      <c r="Y23" s="3231"/>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31"/>
      <c r="Q24" s="1813"/>
      <c r="R24" s="774"/>
      <c r="S24" s="775"/>
      <c r="T24" s="774"/>
      <c r="U24" s="775"/>
      <c r="V24" s="774"/>
      <c r="W24" s="775"/>
      <c r="X24" s="1816"/>
      <c r="Y24" s="323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1"/>
      <c r="Q25" s="1813">
        <f>B25</f>
        <v>111</v>
      </c>
      <c r="R25" s="774" t="s">
        <v>17</v>
      </c>
      <c r="S25" s="775">
        <f>F25</f>
        <v>100</v>
      </c>
      <c r="T25" s="774" t="s">
        <v>17</v>
      </c>
      <c r="U25" s="775">
        <f>H25</f>
        <v>100</v>
      </c>
      <c r="V25" s="774" t="s">
        <v>17</v>
      </c>
      <c r="W25" s="775">
        <f>J25</f>
        <v>100</v>
      </c>
      <c r="X25" s="1816"/>
      <c r="Y25" s="323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1"/>
      <c r="Q26" s="1813">
        <f t="shared" ref="Q26:Q40" si="11">B26</f>
        <v>111</v>
      </c>
      <c r="R26" s="774" t="s">
        <v>17</v>
      </c>
      <c r="S26" s="775">
        <f>F26</f>
        <v>100</v>
      </c>
      <c r="T26" s="774" t="s">
        <v>17</v>
      </c>
      <c r="U26" s="775">
        <f>H26</f>
        <v>100</v>
      </c>
      <c r="V26" s="774" t="s">
        <v>17</v>
      </c>
      <c r="W26" s="775">
        <f>J26</f>
        <v>100</v>
      </c>
      <c r="X26" s="1816"/>
      <c r="Y26" s="323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1"/>
      <c r="Q27" s="1798">
        <f t="shared" si="11"/>
        <v>111</v>
      </c>
      <c r="R27" s="770" t="s">
        <v>17</v>
      </c>
      <c r="S27" s="771">
        <f>F27</f>
        <v>100</v>
      </c>
      <c r="T27" s="770" t="s">
        <v>17</v>
      </c>
      <c r="U27" s="771">
        <f>H27</f>
        <v>100</v>
      </c>
      <c r="V27" s="770" t="s">
        <v>17</v>
      </c>
      <c r="W27" s="771">
        <f>J27</f>
        <v>100</v>
      </c>
      <c r="X27" s="772"/>
      <c r="Y27" s="323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1"/>
      <c r="Q28" s="1813">
        <f t="shared" si="11"/>
        <v>111</v>
      </c>
      <c r="R28" s="774" t="s">
        <v>17</v>
      </c>
      <c r="S28" s="775">
        <f t="shared" ref="S28:S40" si="12">F28</f>
        <v>100</v>
      </c>
      <c r="T28" s="774" t="s">
        <v>17</v>
      </c>
      <c r="U28" s="775">
        <f t="shared" ref="U28:U40" si="13">H28</f>
        <v>100</v>
      </c>
      <c r="V28" s="774" t="s">
        <v>17</v>
      </c>
      <c r="W28" s="775">
        <f t="shared" ref="W28:W40" si="14">J28</f>
        <v>100</v>
      </c>
      <c r="X28" s="1816"/>
      <c r="Y28" s="3231"/>
      <c r="Z28" s="1817">
        <f t="shared" ref="Z28:Z40" si="15">Q28</f>
        <v>111</v>
      </c>
      <c r="AA28" s="1814">
        <f t="shared" si="3"/>
        <v>1</v>
      </c>
      <c r="AB28" s="1814">
        <f t="shared" si="4"/>
        <v>1</v>
      </c>
      <c r="AC28" s="1814">
        <f t="shared" si="5"/>
        <v>1</v>
      </c>
    </row>
    <row r="29" spans="1:29" ht="28.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54" t="s">
        <v>2560</v>
      </c>
      <c r="Q29" s="1813" t="str">
        <f t="shared" si="11"/>
        <v>建筑类型</v>
      </c>
      <c r="R29" s="774" t="s">
        <v>17</v>
      </c>
      <c r="S29" s="775">
        <f t="shared" si="12"/>
        <v>100</v>
      </c>
      <c r="T29" s="774" t="s">
        <v>17</v>
      </c>
      <c r="U29" s="775">
        <f t="shared" si="13"/>
        <v>100</v>
      </c>
      <c r="V29" s="774" t="s">
        <v>17</v>
      </c>
      <c r="W29" s="775">
        <f t="shared" si="14"/>
        <v>100</v>
      </c>
      <c r="X29" s="1816"/>
      <c r="Y29" s="3235"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5"/>
      <c r="Q30" s="776" t="str">
        <f t="shared" si="11"/>
        <v>项目建筑规模</v>
      </c>
      <c r="R30" s="777" t="s">
        <v>17</v>
      </c>
      <c r="S30" s="778" t="e">
        <f t="shared" si="12"/>
        <v>#N/A</v>
      </c>
      <c r="T30" s="777" t="s">
        <v>17</v>
      </c>
      <c r="U30" s="778" t="e">
        <f t="shared" si="13"/>
        <v>#N/A</v>
      </c>
      <c r="V30" s="777" t="s">
        <v>17</v>
      </c>
      <c r="W30" s="778" t="e">
        <f t="shared" si="14"/>
        <v>#N/A</v>
      </c>
      <c r="X30" s="779"/>
      <c r="Y30" s="3235"/>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5"/>
      <c r="Q31" s="1813" t="str">
        <f t="shared" si="11"/>
        <v>建筑结构</v>
      </c>
      <c r="R31" s="774" t="s">
        <v>17</v>
      </c>
      <c r="S31" s="775">
        <f t="shared" si="12"/>
        <v>100</v>
      </c>
      <c r="T31" s="774" t="s">
        <v>17</v>
      </c>
      <c r="U31" s="775">
        <f t="shared" si="13"/>
        <v>100</v>
      </c>
      <c r="V31" s="774" t="s">
        <v>17</v>
      </c>
      <c r="W31" s="775">
        <f t="shared" si="14"/>
        <v>100</v>
      </c>
      <c r="X31" s="1816"/>
      <c r="Y31" s="3235"/>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5"/>
      <c r="Q32" s="1813" t="str">
        <f t="shared" si="11"/>
        <v>公共部分装修</v>
      </c>
      <c r="R32" s="774" t="s">
        <v>17</v>
      </c>
      <c r="S32" s="775">
        <f t="shared" si="12"/>
        <v>100</v>
      </c>
      <c r="T32" s="774" t="s">
        <v>17</v>
      </c>
      <c r="U32" s="775">
        <f t="shared" si="13"/>
        <v>100</v>
      </c>
      <c r="V32" s="774" t="s">
        <v>17</v>
      </c>
      <c r="W32" s="775">
        <f t="shared" si="14"/>
        <v>100</v>
      </c>
      <c r="X32" s="1816"/>
      <c r="Y32" s="3235"/>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5"/>
      <c r="Q33" s="1813" t="str">
        <f t="shared" si="11"/>
        <v>成新度</v>
      </c>
      <c r="R33" s="774" t="s">
        <v>17</v>
      </c>
      <c r="S33" s="775" t="e">
        <f t="shared" si="12"/>
        <v>#N/A</v>
      </c>
      <c r="T33" s="774" t="s">
        <v>17</v>
      </c>
      <c r="U33" s="775" t="e">
        <f t="shared" si="13"/>
        <v>#N/A</v>
      </c>
      <c r="V33" s="774" t="s">
        <v>17</v>
      </c>
      <c r="W33" s="775" t="e">
        <f t="shared" si="14"/>
        <v>#N/A</v>
      </c>
      <c r="X33" s="1816"/>
      <c r="Y33" s="3235"/>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5"/>
      <c r="Q34" s="1798" t="str">
        <f t="shared" si="11"/>
        <v>物业管理</v>
      </c>
      <c r="R34" s="770" t="s">
        <v>17</v>
      </c>
      <c r="S34" s="771">
        <f t="shared" si="12"/>
        <v>100</v>
      </c>
      <c r="T34" s="770" t="s">
        <v>17</v>
      </c>
      <c r="U34" s="771">
        <f t="shared" si="13"/>
        <v>100</v>
      </c>
      <c r="V34" s="770" t="s">
        <v>17</v>
      </c>
      <c r="W34" s="771">
        <f t="shared" si="14"/>
        <v>100</v>
      </c>
      <c r="X34" s="772"/>
      <c r="Y34" s="3235"/>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5" t="s">
        <v>2560</v>
      </c>
      <c r="Q35" s="1813" t="str">
        <f t="shared" si="11"/>
        <v>市政基础设施</v>
      </c>
      <c r="R35" s="774" t="s">
        <v>17</v>
      </c>
      <c r="S35" s="775">
        <f t="shared" si="12"/>
        <v>100</v>
      </c>
      <c r="T35" s="774" t="s">
        <v>17</v>
      </c>
      <c r="U35" s="775">
        <f t="shared" si="13"/>
        <v>100</v>
      </c>
      <c r="V35" s="774" t="s">
        <v>17</v>
      </c>
      <c r="W35" s="775">
        <f t="shared" si="14"/>
        <v>100</v>
      </c>
      <c r="X35" s="1816"/>
      <c r="Y35" s="3235"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5"/>
      <c r="Q36" s="1813" t="str">
        <f t="shared" si="11"/>
        <v>内部装修</v>
      </c>
      <c r="R36" s="774" t="s">
        <v>17</v>
      </c>
      <c r="S36" s="775">
        <f t="shared" si="12"/>
        <v>100</v>
      </c>
      <c r="T36" s="774" t="s">
        <v>17</v>
      </c>
      <c r="U36" s="775">
        <f t="shared" si="13"/>
        <v>100</v>
      </c>
      <c r="V36" s="774" t="s">
        <v>17</v>
      </c>
      <c r="W36" s="775">
        <f t="shared" si="14"/>
        <v>100</v>
      </c>
      <c r="X36" s="1816"/>
      <c r="Y36" s="3235"/>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5"/>
      <c r="Q37" s="1813" t="str">
        <f t="shared" si="11"/>
        <v>内部装修状况</v>
      </c>
      <c r="R37" s="774" t="s">
        <v>17</v>
      </c>
      <c r="S37" s="775">
        <f t="shared" si="12"/>
        <v>100</v>
      </c>
      <c r="T37" s="774" t="s">
        <v>17</v>
      </c>
      <c r="U37" s="775">
        <f t="shared" si="13"/>
        <v>100</v>
      </c>
      <c r="V37" s="774" t="s">
        <v>17</v>
      </c>
      <c r="W37" s="775">
        <f t="shared" si="14"/>
        <v>100</v>
      </c>
      <c r="X37" s="1816"/>
      <c r="Y37" s="323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5"/>
      <c r="Q38" s="776">
        <f t="shared" si="11"/>
        <v>111</v>
      </c>
      <c r="R38" s="777" t="s">
        <v>17</v>
      </c>
      <c r="S38" s="778">
        <f t="shared" si="12"/>
        <v>100</v>
      </c>
      <c r="T38" s="777" t="s">
        <v>17</v>
      </c>
      <c r="U38" s="778">
        <f t="shared" si="13"/>
        <v>100</v>
      </c>
      <c r="V38" s="777" t="s">
        <v>17</v>
      </c>
      <c r="W38" s="778">
        <f t="shared" si="14"/>
        <v>100</v>
      </c>
      <c r="X38" s="779"/>
      <c r="Y38" s="323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5"/>
      <c r="Q39" s="1813">
        <f t="shared" si="11"/>
        <v>111</v>
      </c>
      <c r="R39" s="774" t="s">
        <v>17</v>
      </c>
      <c r="S39" s="775">
        <f t="shared" si="12"/>
        <v>100</v>
      </c>
      <c r="T39" s="774" t="s">
        <v>17</v>
      </c>
      <c r="U39" s="775">
        <f t="shared" si="13"/>
        <v>100</v>
      </c>
      <c r="V39" s="774" t="s">
        <v>17</v>
      </c>
      <c r="W39" s="775">
        <f t="shared" si="14"/>
        <v>100</v>
      </c>
      <c r="X39" s="1816"/>
      <c r="Y39" s="3235"/>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6"/>
      <c r="Q40" s="1813">
        <f t="shared" si="11"/>
        <v>111</v>
      </c>
      <c r="R40" s="774" t="s">
        <v>17</v>
      </c>
      <c r="S40" s="775">
        <f t="shared" si="12"/>
        <v>100</v>
      </c>
      <c r="T40" s="774" t="s">
        <v>17</v>
      </c>
      <c r="U40" s="775">
        <f t="shared" si="13"/>
        <v>100</v>
      </c>
      <c r="V40" s="774" t="s">
        <v>17</v>
      </c>
      <c r="W40" s="775">
        <f t="shared" si="14"/>
        <v>100</v>
      </c>
      <c r="X40" s="1816"/>
      <c r="Y40" s="3236"/>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28" t="str">
        <f>A41</f>
        <v>成交单价（元/平方米）</v>
      </c>
      <c r="Q41" s="3228"/>
      <c r="R41" s="3229">
        <f>E41</f>
        <v>0</v>
      </c>
      <c r="S41" s="3229"/>
      <c r="T41" s="3229">
        <f>G41</f>
        <v>0</v>
      </c>
      <c r="U41" s="3229"/>
      <c r="V41" s="3229">
        <f>I41</f>
        <v>0</v>
      </c>
      <c r="W41" s="3229"/>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25" t="str">
        <f>A43</f>
        <v>估价对象XX用房的比较价值（楼面单价，元/平方米）</v>
      </c>
      <c r="Q43" s="3226"/>
      <c r="R43" s="3227" t="e">
        <f>IF(F1="售价",ROUND(AVERAGE(R42:V42),0),ROUND(AVERAGE(R42:V42),1))</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194" t="s">
        <v>2643</v>
      </c>
      <c r="AC4" s="3193" t="s">
        <v>2644</v>
      </c>
    </row>
    <row r="5" spans="1:29"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194"/>
      <c r="AC5" s="3194"/>
    </row>
    <row r="6" spans="1:29" ht="15.75" thickBot="1">
      <c r="A6" s="406"/>
      <c r="B6" s="407"/>
      <c r="C6" s="3206" t="s">
        <v>2541</v>
      </c>
      <c r="D6" s="3207"/>
      <c r="E6" s="3208" t="s">
        <v>2541</v>
      </c>
      <c r="F6" s="3209"/>
      <c r="G6" s="3206" t="s">
        <v>2541</v>
      </c>
      <c r="H6" s="3207"/>
      <c r="I6" s="3206" t="s">
        <v>2541</v>
      </c>
      <c r="J6" s="3207"/>
      <c r="K6" s="610" t="s">
        <v>2542</v>
      </c>
      <c r="L6" s="1133"/>
      <c r="M6" s="1134"/>
      <c r="N6" s="1134"/>
      <c r="O6" s="1134"/>
      <c r="P6" s="3219"/>
      <c r="Q6" s="3220"/>
      <c r="R6" s="3200"/>
      <c r="S6" s="3201"/>
      <c r="T6" s="3221"/>
      <c r="U6" s="3222"/>
      <c r="V6" s="3223"/>
      <c r="W6" s="3223"/>
      <c r="X6" s="1816"/>
      <c r="Y6" s="3221"/>
      <c r="Z6" s="3222"/>
      <c r="AA6" s="3195"/>
      <c r="AB6" s="3195"/>
      <c r="AC6" s="3195"/>
    </row>
    <row r="7" spans="1:29" s="117" customFormat="1" ht="15.75" thickBot="1">
      <c r="A7" s="408" t="s">
        <v>2543</v>
      </c>
      <c r="B7" s="409"/>
      <c r="C7" s="410">
        <f>'数据-取费表'!B2</f>
        <v>43473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2544</v>
      </c>
      <c r="Q7" s="3224"/>
      <c r="R7" s="770" t="s">
        <v>17</v>
      </c>
      <c r="S7" s="771">
        <f t="shared" ref="S7:S14" si="0">F7</f>
        <v>0</v>
      </c>
      <c r="T7" s="770" t="s">
        <v>17</v>
      </c>
      <c r="U7" s="771">
        <f t="shared" ref="U7:U14" si="1">H7</f>
        <v>0</v>
      </c>
      <c r="V7" s="770" t="s">
        <v>17</v>
      </c>
      <c r="W7" s="771">
        <f t="shared" ref="W7:W14" si="2">J7</f>
        <v>0</v>
      </c>
      <c r="X7" s="772"/>
      <c r="Y7" s="3196" t="s">
        <v>2544</v>
      </c>
      <c r="Z7" s="3197"/>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2547</v>
      </c>
      <c r="Q8" s="3197"/>
      <c r="R8" s="770" t="s">
        <v>17</v>
      </c>
      <c r="S8" s="771">
        <f t="shared" si="0"/>
        <v>0</v>
      </c>
      <c r="T8" s="770" t="s">
        <v>17</v>
      </c>
      <c r="U8" s="771">
        <f t="shared" si="1"/>
        <v>0</v>
      </c>
      <c r="V8" s="770" t="s">
        <v>17</v>
      </c>
      <c r="W8" s="771">
        <f t="shared" si="2"/>
        <v>0</v>
      </c>
      <c r="X8" s="772"/>
      <c r="Y8" s="3196" t="s">
        <v>2547</v>
      </c>
      <c r="Z8" s="3197"/>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8" t="s">
        <v>2550</v>
      </c>
      <c r="Q9" s="1798" t="str">
        <f t="shared" ref="Q9:Q14" si="6">B9</f>
        <v>用途</v>
      </c>
      <c r="R9" s="770" t="s">
        <v>17</v>
      </c>
      <c r="S9" s="771">
        <f t="shared" si="0"/>
        <v>100</v>
      </c>
      <c r="T9" s="770" t="s">
        <v>17</v>
      </c>
      <c r="U9" s="771">
        <f t="shared" si="1"/>
        <v>100</v>
      </c>
      <c r="V9" s="770" t="s">
        <v>17</v>
      </c>
      <c r="W9" s="771">
        <f t="shared" si="2"/>
        <v>100</v>
      </c>
      <c r="X9" s="772"/>
      <c r="Y9" s="302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8"/>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0" t="s">
        <v>2555</v>
      </c>
      <c r="Q14" s="1813" t="str">
        <f t="shared" si="6"/>
        <v>交通便捷度</v>
      </c>
      <c r="R14" s="774" t="s">
        <v>17</v>
      </c>
      <c r="S14" s="775">
        <f t="shared" si="0"/>
        <v>100</v>
      </c>
      <c r="T14" s="774" t="s">
        <v>17</v>
      </c>
      <c r="U14" s="775">
        <f t="shared" si="1"/>
        <v>100</v>
      </c>
      <c r="V14" s="774" t="s">
        <v>17</v>
      </c>
      <c r="W14" s="775">
        <f t="shared" si="2"/>
        <v>100</v>
      </c>
      <c r="X14" s="1816"/>
      <c r="Y14" s="3230"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1"/>
      <c r="Q15" s="1813"/>
      <c r="R15" s="774"/>
      <c r="S15" s="775"/>
      <c r="T15" s="774"/>
      <c r="U15" s="775"/>
      <c r="V15" s="774"/>
      <c r="W15" s="775"/>
      <c r="X15" s="1816"/>
      <c r="Y15" s="3231"/>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1"/>
      <c r="Q16" s="1813" t="str">
        <f>B16</f>
        <v>公共配套设施</v>
      </c>
      <c r="R16" s="774" t="s">
        <v>17</v>
      </c>
      <c r="S16" s="775">
        <f>F16</f>
        <v>100</v>
      </c>
      <c r="T16" s="774" t="s">
        <v>17</v>
      </c>
      <c r="U16" s="775">
        <f>H16</f>
        <v>100</v>
      </c>
      <c r="V16" s="774" t="s">
        <v>17</v>
      </c>
      <c r="W16" s="775">
        <f>J16</f>
        <v>100</v>
      </c>
      <c r="X16" s="1816"/>
      <c r="Y16" s="3231"/>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31"/>
      <c r="Q17" s="1813"/>
      <c r="R17" s="774"/>
      <c r="S17" s="775"/>
      <c r="T17" s="774"/>
      <c r="U17" s="775"/>
      <c r="V17" s="774"/>
      <c r="W17" s="775"/>
      <c r="X17" s="1816"/>
      <c r="Y17" s="3231"/>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1"/>
      <c r="Q18" s="1813" t="str">
        <f>B18</f>
        <v>基础设施水平</v>
      </c>
      <c r="R18" s="774" t="s">
        <v>17</v>
      </c>
      <c r="S18" s="775">
        <f>F18</f>
        <v>100</v>
      </c>
      <c r="T18" s="774" t="s">
        <v>17</v>
      </c>
      <c r="U18" s="775">
        <f>H18</f>
        <v>100</v>
      </c>
      <c r="V18" s="774" t="s">
        <v>17</v>
      </c>
      <c r="W18" s="775">
        <f>J18</f>
        <v>100</v>
      </c>
      <c r="X18" s="1816"/>
      <c r="Y18" s="3231"/>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31"/>
      <c r="Q19" s="1813"/>
      <c r="R19" s="774"/>
      <c r="S19" s="775"/>
      <c r="T19" s="774"/>
      <c r="U19" s="775"/>
      <c r="V19" s="774"/>
      <c r="W19" s="775"/>
      <c r="X19" s="1816"/>
      <c r="Y19" s="3231"/>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1"/>
      <c r="Q20" s="1813" t="str">
        <f>B20</f>
        <v>自然及人文环境</v>
      </c>
      <c r="R20" s="774" t="s">
        <v>17</v>
      </c>
      <c r="S20" s="775">
        <f>F20</f>
        <v>100</v>
      </c>
      <c r="T20" s="774" t="s">
        <v>17</v>
      </c>
      <c r="U20" s="775">
        <f>H20</f>
        <v>100</v>
      </c>
      <c r="V20" s="774" t="s">
        <v>17</v>
      </c>
      <c r="W20" s="775">
        <f>J20</f>
        <v>100</v>
      </c>
      <c r="X20" s="1816"/>
      <c r="Y20" s="323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1"/>
      <c r="Q21" s="1813"/>
      <c r="R21" s="774"/>
      <c r="S21" s="775"/>
      <c r="T21" s="774"/>
      <c r="U21" s="775"/>
      <c r="V21" s="774"/>
      <c r="W21" s="775"/>
      <c r="X21" s="1816"/>
      <c r="Y21" s="3231"/>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1"/>
      <c r="Q22" s="1813" t="str">
        <f>B22</f>
        <v>楼层</v>
      </c>
      <c r="R22" s="774" t="s">
        <v>17</v>
      </c>
      <c r="S22" s="775">
        <f>F22</f>
        <v>100</v>
      </c>
      <c r="T22" s="774" t="s">
        <v>17</v>
      </c>
      <c r="U22" s="775">
        <f>H22</f>
        <v>100</v>
      </c>
      <c r="V22" s="774" t="s">
        <v>17</v>
      </c>
      <c r="W22" s="775">
        <f>J22</f>
        <v>100</v>
      </c>
      <c r="X22" s="1816"/>
      <c r="Y22" s="323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1"/>
      <c r="Q23" s="1813">
        <f>B23</f>
        <v>111</v>
      </c>
      <c r="R23" s="774" t="s">
        <v>17</v>
      </c>
      <c r="S23" s="775">
        <f>F23</f>
        <v>100</v>
      </c>
      <c r="T23" s="774" t="s">
        <v>17</v>
      </c>
      <c r="U23" s="775">
        <f>H23</f>
        <v>100</v>
      </c>
      <c r="V23" s="774" t="s">
        <v>17</v>
      </c>
      <c r="W23" s="775">
        <f>J23</f>
        <v>100</v>
      </c>
      <c r="X23" s="1816"/>
      <c r="Y23" s="323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1"/>
      <c r="Q24" s="1813">
        <f t="shared" ref="Q24:Q36" si="11">B24</f>
        <v>111</v>
      </c>
      <c r="R24" s="774" t="s">
        <v>17</v>
      </c>
      <c r="S24" s="775">
        <f>F24</f>
        <v>100</v>
      </c>
      <c r="T24" s="774" t="s">
        <v>17</v>
      </c>
      <c r="U24" s="775">
        <f>H24</f>
        <v>100</v>
      </c>
      <c r="V24" s="774" t="s">
        <v>17</v>
      </c>
      <c r="W24" s="775">
        <f>J24</f>
        <v>100</v>
      </c>
      <c r="X24" s="1816"/>
      <c r="Y24" s="323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1"/>
      <c r="Q25" s="1798">
        <f t="shared" si="11"/>
        <v>111</v>
      </c>
      <c r="R25" s="770" t="s">
        <v>17</v>
      </c>
      <c r="S25" s="771">
        <f>F25</f>
        <v>100</v>
      </c>
      <c r="T25" s="770" t="s">
        <v>17</v>
      </c>
      <c r="U25" s="771">
        <f>H25</f>
        <v>100</v>
      </c>
      <c r="V25" s="770" t="s">
        <v>17</v>
      </c>
      <c r="W25" s="771">
        <f>J25</f>
        <v>100</v>
      </c>
      <c r="X25" s="772"/>
      <c r="Y25" s="3231"/>
      <c r="Z25" s="55">
        <f>Q25</f>
        <v>111</v>
      </c>
      <c r="AA25" s="1814">
        <f>D25/F25</f>
        <v>1</v>
      </c>
      <c r="AB25" s="1814">
        <f>D25/H25</f>
        <v>1</v>
      </c>
      <c r="AC25" s="1814">
        <f>D25/J25</f>
        <v>1</v>
      </c>
    </row>
    <row r="26" spans="1:29" ht="28.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4"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5"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5"/>
      <c r="Q27" s="776" t="str">
        <f t="shared" si="11"/>
        <v>项目停车位配比</v>
      </c>
      <c r="R27" s="777" t="s">
        <v>17</v>
      </c>
      <c r="S27" s="778">
        <f t="shared" si="12"/>
        <v>100</v>
      </c>
      <c r="T27" s="777" t="s">
        <v>17</v>
      </c>
      <c r="U27" s="778">
        <f t="shared" si="13"/>
        <v>100</v>
      </c>
      <c r="V27" s="777" t="s">
        <v>17</v>
      </c>
      <c r="W27" s="778">
        <f t="shared" si="14"/>
        <v>100</v>
      </c>
      <c r="X27" s="779"/>
      <c r="Y27" s="3235"/>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5"/>
      <c r="Q28" s="1813" t="str">
        <f t="shared" si="11"/>
        <v>公共部分装修</v>
      </c>
      <c r="R28" s="774" t="s">
        <v>17</v>
      </c>
      <c r="S28" s="775">
        <f t="shared" si="12"/>
        <v>100</v>
      </c>
      <c r="T28" s="774" t="s">
        <v>17</v>
      </c>
      <c r="U28" s="775">
        <f t="shared" si="13"/>
        <v>100</v>
      </c>
      <c r="V28" s="774" t="s">
        <v>17</v>
      </c>
      <c r="W28" s="775">
        <f t="shared" si="14"/>
        <v>100</v>
      </c>
      <c r="X28" s="1816"/>
      <c r="Y28" s="3235"/>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5"/>
      <c r="Q29" s="1813" t="str">
        <f t="shared" si="11"/>
        <v>成新率</v>
      </c>
      <c r="R29" s="774" t="s">
        <v>17</v>
      </c>
      <c r="S29" s="775" t="e">
        <f t="shared" si="12"/>
        <v>#N/A</v>
      </c>
      <c r="T29" s="774" t="s">
        <v>17</v>
      </c>
      <c r="U29" s="775" t="e">
        <f t="shared" si="13"/>
        <v>#N/A</v>
      </c>
      <c r="V29" s="774" t="s">
        <v>17</v>
      </c>
      <c r="W29" s="775" t="e">
        <f t="shared" si="14"/>
        <v>#N/A</v>
      </c>
      <c r="X29" s="1816"/>
      <c r="Y29" s="3235"/>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5"/>
      <c r="Q30" s="1813" t="str">
        <f t="shared" si="11"/>
        <v>物业等级</v>
      </c>
      <c r="R30" s="774" t="s">
        <v>17</v>
      </c>
      <c r="S30" s="775">
        <f t="shared" si="12"/>
        <v>100</v>
      </c>
      <c r="T30" s="774" t="s">
        <v>17</v>
      </c>
      <c r="U30" s="775">
        <f t="shared" si="13"/>
        <v>100</v>
      </c>
      <c r="V30" s="774" t="s">
        <v>17</v>
      </c>
      <c r="W30" s="775">
        <f t="shared" si="14"/>
        <v>100</v>
      </c>
      <c r="X30" s="1816"/>
      <c r="Y30" s="3235"/>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5"/>
      <c r="Q31" s="1798" t="str">
        <f t="shared" si="11"/>
        <v>停车位面积</v>
      </c>
      <c r="R31" s="770" t="s">
        <v>17</v>
      </c>
      <c r="S31" s="771" t="e">
        <f t="shared" si="12"/>
        <v>#N/A</v>
      </c>
      <c r="T31" s="770" t="s">
        <v>17</v>
      </c>
      <c r="U31" s="771" t="e">
        <f t="shared" si="13"/>
        <v>#N/A</v>
      </c>
      <c r="V31" s="770" t="s">
        <v>17</v>
      </c>
      <c r="W31" s="771" t="e">
        <f t="shared" si="14"/>
        <v>#N/A</v>
      </c>
      <c r="X31" s="772"/>
      <c r="Y31" s="3235"/>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5" t="s">
        <v>2560</v>
      </c>
      <c r="Q32" s="1813" t="str">
        <f t="shared" si="11"/>
        <v>车位类型</v>
      </c>
      <c r="R32" s="774" t="s">
        <v>17</v>
      </c>
      <c r="S32" s="775">
        <f t="shared" si="12"/>
        <v>100</v>
      </c>
      <c r="T32" s="774" t="s">
        <v>17</v>
      </c>
      <c r="U32" s="775">
        <f t="shared" si="13"/>
        <v>100</v>
      </c>
      <c r="V32" s="774" t="s">
        <v>17</v>
      </c>
      <c r="W32" s="775">
        <f t="shared" si="14"/>
        <v>100</v>
      </c>
      <c r="X32" s="1816"/>
      <c r="Y32" s="3235"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5"/>
      <c r="Q33" s="1813" t="str">
        <f t="shared" si="11"/>
        <v>是否直接入户</v>
      </c>
      <c r="R33" s="774" t="s">
        <v>17</v>
      </c>
      <c r="S33" s="775">
        <f t="shared" si="12"/>
        <v>100</v>
      </c>
      <c r="T33" s="774" t="s">
        <v>17</v>
      </c>
      <c r="U33" s="775">
        <f t="shared" si="13"/>
        <v>100</v>
      </c>
      <c r="V33" s="774" t="s">
        <v>17</v>
      </c>
      <c r="W33" s="775">
        <f t="shared" si="14"/>
        <v>100</v>
      </c>
      <c r="X33" s="1816"/>
      <c r="Y33" s="323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5"/>
      <c r="Q34" s="1813">
        <f t="shared" si="11"/>
        <v>111</v>
      </c>
      <c r="R34" s="774" t="s">
        <v>17</v>
      </c>
      <c r="S34" s="775">
        <f t="shared" si="12"/>
        <v>100</v>
      </c>
      <c r="T34" s="774" t="s">
        <v>17</v>
      </c>
      <c r="U34" s="775">
        <f t="shared" si="13"/>
        <v>100</v>
      </c>
      <c r="V34" s="774" t="s">
        <v>17</v>
      </c>
      <c r="W34" s="775">
        <f t="shared" si="14"/>
        <v>100</v>
      </c>
      <c r="X34" s="1816"/>
      <c r="Y34" s="323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5"/>
      <c r="Q35" s="776">
        <f t="shared" si="11"/>
        <v>111</v>
      </c>
      <c r="R35" s="777" t="s">
        <v>17</v>
      </c>
      <c r="S35" s="778">
        <f t="shared" si="12"/>
        <v>100</v>
      </c>
      <c r="T35" s="777" t="s">
        <v>17</v>
      </c>
      <c r="U35" s="778">
        <f t="shared" si="13"/>
        <v>100</v>
      </c>
      <c r="V35" s="777" t="s">
        <v>17</v>
      </c>
      <c r="W35" s="778">
        <f t="shared" si="14"/>
        <v>100</v>
      </c>
      <c r="X35" s="779"/>
      <c r="Y35" s="323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5"/>
      <c r="Q36" s="1813">
        <f t="shared" si="11"/>
        <v>111</v>
      </c>
      <c r="R36" s="774" t="s">
        <v>17</v>
      </c>
      <c r="S36" s="775">
        <f t="shared" si="12"/>
        <v>100</v>
      </c>
      <c r="T36" s="774" t="s">
        <v>17</v>
      </c>
      <c r="U36" s="775">
        <f t="shared" si="13"/>
        <v>100</v>
      </c>
      <c r="V36" s="774" t="s">
        <v>17</v>
      </c>
      <c r="W36" s="775">
        <f t="shared" si="14"/>
        <v>100</v>
      </c>
      <c r="X36" s="1816"/>
      <c r="Y36" s="3235"/>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228" t="str">
        <f>A37</f>
        <v>成交单价</v>
      </c>
      <c r="Q37" s="3228"/>
      <c r="R37" s="3229">
        <f>E37</f>
        <v>0</v>
      </c>
      <c r="S37" s="3229"/>
      <c r="T37" s="3229">
        <f>G37</f>
        <v>0</v>
      </c>
      <c r="U37" s="3229"/>
      <c r="V37" s="3229">
        <f>I37</f>
        <v>0</v>
      </c>
      <c r="W37" s="3229"/>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25" t="str">
        <f>A39</f>
        <v>估价对象XX用房的比较价值（楼面单价，元/平方米）</v>
      </c>
      <c r="Q39" s="3226"/>
      <c r="R39" s="3227" t="e">
        <f>IF(F1="售价",ROUND(AVERAGE(R38:V38),0),ROUND(AVERAGE(R38:V38),1))</f>
        <v>#DIV/0!</v>
      </c>
      <c r="S39" s="3227"/>
      <c r="T39" s="3227"/>
      <c r="U39" s="3227"/>
      <c r="V39" s="3227"/>
      <c r="W39" s="322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194" t="s">
        <v>2643</v>
      </c>
      <c r="AC4" s="3193" t="s">
        <v>2644</v>
      </c>
    </row>
    <row r="5" spans="1:29"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194"/>
      <c r="AC5" s="3194"/>
    </row>
    <row r="6" spans="1:29" ht="15.75" thickBot="1">
      <c r="A6" s="406"/>
      <c r="B6" s="407"/>
      <c r="C6" s="3206" t="s">
        <v>2541</v>
      </c>
      <c r="D6" s="3207"/>
      <c r="E6" s="3208" t="s">
        <v>2541</v>
      </c>
      <c r="F6" s="3209"/>
      <c r="G6" s="3206" t="s">
        <v>2541</v>
      </c>
      <c r="H6" s="3207"/>
      <c r="I6" s="3206" t="s">
        <v>2541</v>
      </c>
      <c r="J6" s="3207"/>
      <c r="K6" s="610" t="s">
        <v>2542</v>
      </c>
      <c r="L6" s="1133"/>
      <c r="M6" s="1134"/>
      <c r="N6" s="1134"/>
      <c r="O6" s="1134"/>
      <c r="P6" s="3219"/>
      <c r="Q6" s="3220"/>
      <c r="R6" s="3200"/>
      <c r="S6" s="3201"/>
      <c r="T6" s="3221"/>
      <c r="U6" s="3222"/>
      <c r="V6" s="3223"/>
      <c r="W6" s="3223"/>
      <c r="X6" s="1816"/>
      <c r="Y6" s="3221"/>
      <c r="Z6" s="3222"/>
      <c r="AA6" s="3195"/>
      <c r="AB6" s="3195"/>
      <c r="AC6" s="3195"/>
    </row>
    <row r="7" spans="1:29" s="117" customFormat="1" ht="15.75" thickBot="1">
      <c r="A7" s="408" t="s">
        <v>2543</v>
      </c>
      <c r="B7" s="409"/>
      <c r="C7" s="410">
        <f>'数据-取费表'!B2</f>
        <v>43473</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6" t="s">
        <v>2544</v>
      </c>
      <c r="Q7" s="3224"/>
      <c r="R7" s="770" t="s">
        <v>17</v>
      </c>
      <c r="S7" s="771">
        <f t="shared" ref="S7:S14" si="0">F7</f>
        <v>0</v>
      </c>
      <c r="T7" s="770" t="s">
        <v>17</v>
      </c>
      <c r="U7" s="771">
        <f t="shared" ref="U7:U14" si="1">H7</f>
        <v>0</v>
      </c>
      <c r="V7" s="770" t="s">
        <v>17</v>
      </c>
      <c r="W7" s="771">
        <f t="shared" ref="W7:W14" si="2">J7</f>
        <v>0</v>
      </c>
      <c r="X7" s="772"/>
      <c r="Y7" s="3196" t="s">
        <v>2544</v>
      </c>
      <c r="Z7" s="3197"/>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2547</v>
      </c>
      <c r="Q8" s="3197"/>
      <c r="R8" s="770" t="s">
        <v>17</v>
      </c>
      <c r="S8" s="771">
        <f t="shared" si="0"/>
        <v>0</v>
      </c>
      <c r="T8" s="770" t="s">
        <v>17</v>
      </c>
      <c r="U8" s="771">
        <f t="shared" si="1"/>
        <v>0</v>
      </c>
      <c r="V8" s="770" t="s">
        <v>17</v>
      </c>
      <c r="W8" s="771">
        <f t="shared" si="2"/>
        <v>0</v>
      </c>
      <c r="X8" s="772"/>
      <c r="Y8" s="3196" t="s">
        <v>2547</v>
      </c>
      <c r="Z8" s="3197"/>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8" t="s">
        <v>2550</v>
      </c>
      <c r="Q9" s="1798" t="str">
        <f t="shared" ref="Q9:Q14" si="6">B9</f>
        <v>用途</v>
      </c>
      <c r="R9" s="770" t="s">
        <v>17</v>
      </c>
      <c r="S9" s="771">
        <f t="shared" si="0"/>
        <v>100</v>
      </c>
      <c r="T9" s="770" t="s">
        <v>17</v>
      </c>
      <c r="U9" s="771">
        <f t="shared" si="1"/>
        <v>100</v>
      </c>
      <c r="V9" s="770" t="s">
        <v>17</v>
      </c>
      <c r="W9" s="771">
        <f t="shared" si="2"/>
        <v>100</v>
      </c>
      <c r="X9" s="772"/>
      <c r="Y9" s="302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8"/>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0" t="s">
        <v>2555</v>
      </c>
      <c r="Q14" s="1813" t="str">
        <f t="shared" si="6"/>
        <v>交通便捷度</v>
      </c>
      <c r="R14" s="774" t="s">
        <v>17</v>
      </c>
      <c r="S14" s="775">
        <f t="shared" si="0"/>
        <v>100</v>
      </c>
      <c r="T14" s="774" t="s">
        <v>17</v>
      </c>
      <c r="U14" s="775">
        <f t="shared" si="1"/>
        <v>100</v>
      </c>
      <c r="V14" s="774" t="s">
        <v>17</v>
      </c>
      <c r="W14" s="775">
        <f t="shared" si="2"/>
        <v>100</v>
      </c>
      <c r="X14" s="1816"/>
      <c r="Y14" s="3230"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1"/>
      <c r="Q15" s="1813"/>
      <c r="R15" s="774"/>
      <c r="S15" s="775"/>
      <c r="T15" s="774"/>
      <c r="U15" s="775"/>
      <c r="V15" s="774"/>
      <c r="W15" s="775"/>
      <c r="X15" s="1816"/>
      <c r="Y15" s="3231"/>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1"/>
      <c r="Q16" s="1813" t="str">
        <f>B16</f>
        <v>公共配套设施</v>
      </c>
      <c r="R16" s="774" t="s">
        <v>17</v>
      </c>
      <c r="S16" s="775">
        <f>F16</f>
        <v>100</v>
      </c>
      <c r="T16" s="774" t="s">
        <v>17</v>
      </c>
      <c r="U16" s="775">
        <f>H16</f>
        <v>100</v>
      </c>
      <c r="V16" s="774" t="s">
        <v>17</v>
      </c>
      <c r="W16" s="775">
        <f>J16</f>
        <v>100</v>
      </c>
      <c r="X16" s="1816"/>
      <c r="Y16" s="3231"/>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1"/>
      <c r="Q17" s="1813"/>
      <c r="R17" s="774"/>
      <c r="S17" s="775"/>
      <c r="T17" s="774"/>
      <c r="U17" s="775"/>
      <c r="V17" s="774"/>
      <c r="W17" s="775"/>
      <c r="X17" s="1816"/>
      <c r="Y17" s="3231"/>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1"/>
      <c r="Q18" s="1813" t="str">
        <f>B18</f>
        <v>基础设施水平</v>
      </c>
      <c r="R18" s="774" t="s">
        <v>17</v>
      </c>
      <c r="S18" s="775">
        <f>F18</f>
        <v>100</v>
      </c>
      <c r="T18" s="774" t="s">
        <v>17</v>
      </c>
      <c r="U18" s="775">
        <f>H18</f>
        <v>100</v>
      </c>
      <c r="V18" s="774" t="s">
        <v>17</v>
      </c>
      <c r="W18" s="775">
        <f>J18</f>
        <v>100</v>
      </c>
      <c r="X18" s="1816"/>
      <c r="Y18" s="3231"/>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1"/>
      <c r="Q19" s="1813"/>
      <c r="R19" s="774"/>
      <c r="S19" s="775"/>
      <c r="T19" s="774"/>
      <c r="U19" s="775"/>
      <c r="V19" s="774"/>
      <c r="W19" s="775"/>
      <c r="X19" s="1816"/>
      <c r="Y19" s="3231"/>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1"/>
      <c r="Q20" s="1813" t="str">
        <f>B20</f>
        <v>自然及人文环境</v>
      </c>
      <c r="R20" s="774" t="s">
        <v>17</v>
      </c>
      <c r="S20" s="775">
        <f>F20</f>
        <v>100</v>
      </c>
      <c r="T20" s="774" t="s">
        <v>17</v>
      </c>
      <c r="U20" s="775">
        <f>H20</f>
        <v>100</v>
      </c>
      <c r="V20" s="774" t="s">
        <v>17</v>
      </c>
      <c r="W20" s="775">
        <f>J20</f>
        <v>100</v>
      </c>
      <c r="X20" s="1816"/>
      <c r="Y20" s="323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1"/>
      <c r="Q21" s="1813"/>
      <c r="R21" s="774"/>
      <c r="S21" s="775"/>
      <c r="T21" s="774"/>
      <c r="U21" s="775"/>
      <c r="V21" s="774"/>
      <c r="W21" s="775"/>
      <c r="X21" s="1816"/>
      <c r="Y21" s="3231"/>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1"/>
      <c r="Q22" s="1813" t="str">
        <f>B22</f>
        <v>楼层</v>
      </c>
      <c r="R22" s="774" t="s">
        <v>17</v>
      </c>
      <c r="S22" s="775">
        <f>F22</f>
        <v>100</v>
      </c>
      <c r="T22" s="774" t="s">
        <v>17</v>
      </c>
      <c r="U22" s="775">
        <f>H22</f>
        <v>100</v>
      </c>
      <c r="V22" s="774" t="s">
        <v>17</v>
      </c>
      <c r="W22" s="775">
        <f>J22</f>
        <v>100</v>
      </c>
      <c r="X22" s="1816"/>
      <c r="Y22" s="3231"/>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1"/>
      <c r="Q23" s="1813">
        <f>B23</f>
        <v>111</v>
      </c>
      <c r="R23" s="774" t="s">
        <v>17</v>
      </c>
      <c r="S23" s="775">
        <f>F23</f>
        <v>100</v>
      </c>
      <c r="T23" s="774" t="s">
        <v>17</v>
      </c>
      <c r="U23" s="775">
        <f>H23</f>
        <v>100</v>
      </c>
      <c r="V23" s="774" t="s">
        <v>17</v>
      </c>
      <c r="W23" s="775">
        <f>J23</f>
        <v>100</v>
      </c>
      <c r="X23" s="1816"/>
      <c r="Y23" s="3231"/>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1"/>
      <c r="Q24" s="1813">
        <f t="shared" ref="Q24:Q34" si="11">B24</f>
        <v>111</v>
      </c>
      <c r="R24" s="774" t="s">
        <v>17</v>
      </c>
      <c r="S24" s="775">
        <f>F24</f>
        <v>100</v>
      </c>
      <c r="T24" s="774" t="s">
        <v>17</v>
      </c>
      <c r="U24" s="775">
        <f>H24</f>
        <v>100</v>
      </c>
      <c r="V24" s="774" t="s">
        <v>17</v>
      </c>
      <c r="W24" s="775">
        <f>J24</f>
        <v>100</v>
      </c>
      <c r="X24" s="1816"/>
      <c r="Y24" s="3231"/>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1"/>
      <c r="Q25" s="1798">
        <f t="shared" si="11"/>
        <v>111</v>
      </c>
      <c r="R25" s="770" t="s">
        <v>17</v>
      </c>
      <c r="S25" s="771">
        <f>F25</f>
        <v>100</v>
      </c>
      <c r="T25" s="770" t="s">
        <v>17</v>
      </c>
      <c r="U25" s="771">
        <f>H25</f>
        <v>100</v>
      </c>
      <c r="V25" s="770" t="s">
        <v>17</v>
      </c>
      <c r="W25" s="771">
        <f>J25</f>
        <v>100</v>
      </c>
      <c r="X25" s="772"/>
      <c r="Y25" s="3231"/>
      <c r="Z25" s="55">
        <f>Q25</f>
        <v>111</v>
      </c>
      <c r="AA25" s="1814">
        <f>D25/F25</f>
        <v>1</v>
      </c>
      <c r="AB25" s="1814">
        <f>D25/H25</f>
        <v>1</v>
      </c>
      <c r="AC25" s="1814">
        <f>D25/J25</f>
        <v>1</v>
      </c>
    </row>
    <row r="26" spans="1:29" ht="28.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4"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5"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5"/>
      <c r="Q27" s="776" t="str">
        <f t="shared" si="11"/>
        <v>成新率</v>
      </c>
      <c r="R27" s="777" t="s">
        <v>17</v>
      </c>
      <c r="S27" s="778" t="e">
        <f t="shared" si="12"/>
        <v>#N/A</v>
      </c>
      <c r="T27" s="777" t="s">
        <v>17</v>
      </c>
      <c r="U27" s="778" t="e">
        <f t="shared" si="13"/>
        <v>#N/A</v>
      </c>
      <c r="V27" s="777" t="s">
        <v>17</v>
      </c>
      <c r="W27" s="778" t="e">
        <f t="shared" si="14"/>
        <v>#N/A</v>
      </c>
      <c r="X27" s="779"/>
      <c r="Y27" s="3235"/>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5"/>
      <c r="Q28" s="1813" t="str">
        <f t="shared" si="11"/>
        <v>物业等级</v>
      </c>
      <c r="R28" s="774" t="s">
        <v>17</v>
      </c>
      <c r="S28" s="775">
        <f t="shared" si="12"/>
        <v>100</v>
      </c>
      <c r="T28" s="774" t="s">
        <v>17</v>
      </c>
      <c r="U28" s="775">
        <f t="shared" si="13"/>
        <v>100</v>
      </c>
      <c r="V28" s="774" t="s">
        <v>17</v>
      </c>
      <c r="W28" s="775">
        <f t="shared" si="14"/>
        <v>100</v>
      </c>
      <c r="X28" s="1816"/>
      <c r="Y28" s="3235"/>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5"/>
      <c r="Q29" s="1813" t="str">
        <f t="shared" si="11"/>
        <v>有无电梯</v>
      </c>
      <c r="R29" s="774" t="s">
        <v>17</v>
      </c>
      <c r="S29" s="775">
        <f t="shared" si="12"/>
        <v>100</v>
      </c>
      <c r="T29" s="774" t="s">
        <v>17</v>
      </c>
      <c r="U29" s="775">
        <f t="shared" si="13"/>
        <v>100</v>
      </c>
      <c r="V29" s="774" t="s">
        <v>17</v>
      </c>
      <c r="W29" s="775">
        <f t="shared" si="14"/>
        <v>100</v>
      </c>
      <c r="X29" s="1816"/>
      <c r="Y29" s="3235"/>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5"/>
      <c r="Q30" s="1813" t="str">
        <f t="shared" si="11"/>
        <v>建筑面积</v>
      </c>
      <c r="R30" s="774" t="s">
        <v>17</v>
      </c>
      <c r="S30" s="775" t="e">
        <f t="shared" si="12"/>
        <v>#N/A</v>
      </c>
      <c r="T30" s="774" t="s">
        <v>17</v>
      </c>
      <c r="U30" s="775" t="e">
        <f t="shared" si="13"/>
        <v>#N/A</v>
      </c>
      <c r="V30" s="774" t="s">
        <v>17</v>
      </c>
      <c r="W30" s="775" t="e">
        <f t="shared" si="14"/>
        <v>#N/A</v>
      </c>
      <c r="X30" s="1816"/>
      <c r="Y30" s="3235"/>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5"/>
      <c r="Q31" s="1798" t="str">
        <f t="shared" si="11"/>
        <v>是否封闭</v>
      </c>
      <c r="R31" s="770" t="s">
        <v>17</v>
      </c>
      <c r="S31" s="771">
        <f t="shared" si="12"/>
        <v>100</v>
      </c>
      <c r="T31" s="770" t="s">
        <v>17</v>
      </c>
      <c r="U31" s="771">
        <f t="shared" si="13"/>
        <v>100</v>
      </c>
      <c r="V31" s="770" t="s">
        <v>17</v>
      </c>
      <c r="W31" s="771">
        <f t="shared" si="14"/>
        <v>100</v>
      </c>
      <c r="X31" s="772"/>
      <c r="Y31" s="323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5" t="s">
        <v>2560</v>
      </c>
      <c r="Q32" s="1813">
        <f t="shared" si="11"/>
        <v>111</v>
      </c>
      <c r="R32" s="774" t="s">
        <v>17</v>
      </c>
      <c r="S32" s="775">
        <f t="shared" si="12"/>
        <v>100</v>
      </c>
      <c r="T32" s="774" t="s">
        <v>17</v>
      </c>
      <c r="U32" s="775">
        <f t="shared" si="13"/>
        <v>100</v>
      </c>
      <c r="V32" s="774" t="s">
        <v>17</v>
      </c>
      <c r="W32" s="775">
        <f t="shared" si="14"/>
        <v>100</v>
      </c>
      <c r="X32" s="1816"/>
      <c r="Y32" s="3235"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5"/>
      <c r="Q33" s="1813">
        <f t="shared" si="11"/>
        <v>111</v>
      </c>
      <c r="R33" s="774" t="s">
        <v>17</v>
      </c>
      <c r="S33" s="775">
        <f t="shared" si="12"/>
        <v>100</v>
      </c>
      <c r="T33" s="774" t="s">
        <v>17</v>
      </c>
      <c r="U33" s="775">
        <f t="shared" si="13"/>
        <v>100</v>
      </c>
      <c r="V33" s="774" t="s">
        <v>17</v>
      </c>
      <c r="W33" s="775">
        <f t="shared" si="14"/>
        <v>100</v>
      </c>
      <c r="X33" s="1816"/>
      <c r="Y33" s="3235"/>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5"/>
      <c r="Q34" s="1813">
        <f t="shared" si="11"/>
        <v>111</v>
      </c>
      <c r="R34" s="774" t="s">
        <v>17</v>
      </c>
      <c r="S34" s="775">
        <f t="shared" si="12"/>
        <v>100</v>
      </c>
      <c r="T34" s="774" t="s">
        <v>17</v>
      </c>
      <c r="U34" s="775">
        <f t="shared" si="13"/>
        <v>100</v>
      </c>
      <c r="V34" s="774" t="s">
        <v>17</v>
      </c>
      <c r="W34" s="775">
        <f t="shared" si="14"/>
        <v>100</v>
      </c>
      <c r="X34" s="1816"/>
      <c r="Y34" s="3235"/>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28" t="str">
        <f>A35</f>
        <v>成交单价（元/平方米）</v>
      </c>
      <c r="Q35" s="3228"/>
      <c r="R35" s="3229">
        <f>E35</f>
        <v>0</v>
      </c>
      <c r="S35" s="3229"/>
      <c r="T35" s="3229">
        <f>G35</f>
        <v>0</v>
      </c>
      <c r="U35" s="3229"/>
      <c r="V35" s="3229">
        <f>I35</f>
        <v>0</v>
      </c>
      <c r="W35" s="3229"/>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25" t="str">
        <f>A37</f>
        <v>估价对象XX用房的比较价值（楼面单价，元/平方米）</v>
      </c>
      <c r="Q37" s="3226"/>
      <c r="R37" s="3227" t="e">
        <f>IF(F1="售价",ROUND(AVERAGE(R36:V36),0),ROUND(AVERAGE(R36:V36),1))</f>
        <v>#DIV/0!</v>
      </c>
      <c r="S37" s="3227"/>
      <c r="T37" s="3227"/>
      <c r="U37" s="3227"/>
      <c r="V37" s="3227"/>
      <c r="W37" s="322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194" t="s">
        <v>2643</v>
      </c>
      <c r="AC4" s="3193" t="s">
        <v>2644</v>
      </c>
    </row>
    <row r="5" spans="1:30"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194"/>
      <c r="AC5" s="3194"/>
    </row>
    <row r="6" spans="1:30" ht="15.75" thickBot="1">
      <c r="A6" s="406"/>
      <c r="B6" s="407"/>
      <c r="C6" s="3206" t="s">
        <v>2541</v>
      </c>
      <c r="D6" s="3207"/>
      <c r="E6" s="3208" t="s">
        <v>2541</v>
      </c>
      <c r="F6" s="3209"/>
      <c r="G6" s="3206" t="s">
        <v>2541</v>
      </c>
      <c r="H6" s="3207"/>
      <c r="I6" s="3206" t="s">
        <v>2541</v>
      </c>
      <c r="J6" s="3207"/>
      <c r="K6" s="610" t="s">
        <v>2542</v>
      </c>
      <c r="L6" s="1133"/>
      <c r="M6" s="1134"/>
      <c r="N6" s="1134"/>
      <c r="O6" s="1134"/>
      <c r="P6" s="3219"/>
      <c r="Q6" s="3220"/>
      <c r="R6" s="3200"/>
      <c r="S6" s="3201"/>
      <c r="T6" s="3221"/>
      <c r="U6" s="3222"/>
      <c r="V6" s="3223"/>
      <c r="W6" s="3223"/>
      <c r="X6" s="1816"/>
      <c r="Y6" s="3221"/>
      <c r="Z6" s="3222"/>
      <c r="AA6" s="3195"/>
      <c r="AB6" s="3195"/>
      <c r="AC6" s="3195"/>
    </row>
    <row r="7" spans="1:30" s="117" customFormat="1" ht="15.75" thickBot="1">
      <c r="A7" s="408" t="s">
        <v>2543</v>
      </c>
      <c r="B7" s="409"/>
      <c r="C7" s="410">
        <f>'数据-取费表'!B2</f>
        <v>43473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6" t="s">
        <v>2544</v>
      </c>
      <c r="Q7" s="3224"/>
      <c r="R7" s="770" t="s">
        <v>17</v>
      </c>
      <c r="S7" s="771">
        <f t="shared" ref="S7:S15" si="0">F7</f>
        <v>0</v>
      </c>
      <c r="T7" s="770" t="s">
        <v>17</v>
      </c>
      <c r="U7" s="771">
        <f t="shared" ref="U7:U15" si="1">H7</f>
        <v>0</v>
      </c>
      <c r="V7" s="770" t="s">
        <v>17</v>
      </c>
      <c r="W7" s="771">
        <f t="shared" ref="W7:W15" si="2">J7</f>
        <v>0</v>
      </c>
      <c r="X7" s="772"/>
      <c r="Y7" s="3196" t="s">
        <v>2544</v>
      </c>
      <c r="Z7" s="3197"/>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6" t="s">
        <v>2547</v>
      </c>
      <c r="Q8" s="3197"/>
      <c r="R8" s="770" t="s">
        <v>17</v>
      </c>
      <c r="S8" s="771">
        <f t="shared" si="0"/>
        <v>0</v>
      </c>
      <c r="T8" s="770" t="s">
        <v>17</v>
      </c>
      <c r="U8" s="771">
        <f t="shared" si="1"/>
        <v>0</v>
      </c>
      <c r="V8" s="770" t="s">
        <v>17</v>
      </c>
      <c r="W8" s="771">
        <f t="shared" si="2"/>
        <v>0</v>
      </c>
      <c r="X8" s="772"/>
      <c r="Y8" s="3196" t="s">
        <v>2547</v>
      </c>
      <c r="Z8" s="3197"/>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8"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28"/>
      <c r="Q10" s="1798" t="str">
        <f t="shared" si="6"/>
        <v>土地使用年限（年）</v>
      </c>
      <c r="R10" s="770" t="s">
        <v>17</v>
      </c>
      <c r="S10" s="771">
        <f t="shared" si="0"/>
        <v>112</v>
      </c>
      <c r="T10" s="770" t="s">
        <v>17</v>
      </c>
      <c r="U10" s="771">
        <f t="shared" si="1"/>
        <v>112</v>
      </c>
      <c r="V10" s="770" t="s">
        <v>17</v>
      </c>
      <c r="W10" s="771">
        <f t="shared" si="2"/>
        <v>112</v>
      </c>
      <c r="X10" s="772"/>
      <c r="Y10" s="3023"/>
      <c r="Z10" s="55" t="str">
        <f t="shared" si="7"/>
        <v>土地使用年限（年）</v>
      </c>
      <c r="AA10" s="773">
        <f t="shared" si="3"/>
        <v>0.8928571428571429</v>
      </c>
      <c r="AB10" s="773">
        <f t="shared" si="4"/>
        <v>0.8928571428571429</v>
      </c>
      <c r="AC10" s="773">
        <f t="shared" si="5"/>
        <v>0.8928571428571429</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8"/>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8"/>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8"/>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8"/>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2554</v>
      </c>
      <c r="B15" s="69" t="s">
        <v>2079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0" t="s">
        <v>2555</v>
      </c>
      <c r="Q15" s="1813" t="str">
        <f t="shared" si="6"/>
        <v>居住社区成熟度</v>
      </c>
      <c r="R15" s="774" t="s">
        <v>17</v>
      </c>
      <c r="S15" s="775">
        <f t="shared" si="0"/>
        <v>100</v>
      </c>
      <c r="T15" s="774" t="s">
        <v>17</v>
      </c>
      <c r="U15" s="775">
        <f t="shared" si="1"/>
        <v>100</v>
      </c>
      <c r="V15" s="774" t="s">
        <v>17</v>
      </c>
      <c r="W15" s="775">
        <f t="shared" si="2"/>
        <v>100</v>
      </c>
      <c r="X15" s="1816"/>
      <c r="Y15" s="3230"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31"/>
      <c r="Q16" s="1813"/>
      <c r="R16" s="774"/>
      <c r="S16" s="775"/>
      <c r="T16" s="774"/>
      <c r="U16" s="775"/>
      <c r="V16" s="774"/>
      <c r="W16" s="775"/>
      <c r="X16" s="1816"/>
      <c r="Y16" s="3231"/>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1"/>
      <c r="Q17" s="1813" t="str">
        <f>B17</f>
        <v>商业繁华度</v>
      </c>
      <c r="R17" s="774" t="s">
        <v>17</v>
      </c>
      <c r="S17" s="775">
        <f>F17</f>
        <v>100</v>
      </c>
      <c r="T17" s="774" t="s">
        <v>17</v>
      </c>
      <c r="U17" s="775">
        <f>H17</f>
        <v>100</v>
      </c>
      <c r="V17" s="774" t="s">
        <v>17</v>
      </c>
      <c r="W17" s="775">
        <f>J17</f>
        <v>100</v>
      </c>
      <c r="X17" s="1816"/>
      <c r="Y17" s="3231"/>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31"/>
      <c r="Q18" s="1813"/>
      <c r="R18" s="774"/>
      <c r="S18" s="775"/>
      <c r="T18" s="774"/>
      <c r="U18" s="775"/>
      <c r="V18" s="774"/>
      <c r="W18" s="775"/>
      <c r="X18" s="1816"/>
      <c r="Y18" s="3231"/>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1"/>
      <c r="Q19" s="1813" t="str">
        <f>B19</f>
        <v>办公集聚程度</v>
      </c>
      <c r="R19" s="774" t="s">
        <v>17</v>
      </c>
      <c r="S19" s="775">
        <f>F19</f>
        <v>100</v>
      </c>
      <c r="T19" s="774" t="s">
        <v>17</v>
      </c>
      <c r="U19" s="775">
        <f>H19</f>
        <v>100</v>
      </c>
      <c r="V19" s="774" t="s">
        <v>17</v>
      </c>
      <c r="W19" s="775">
        <f>J19</f>
        <v>100</v>
      </c>
      <c r="X19" s="1816"/>
      <c r="Y19" s="3231"/>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31"/>
      <c r="Q20" s="1813"/>
      <c r="R20" s="774"/>
      <c r="S20" s="775"/>
      <c r="T20" s="774"/>
      <c r="U20" s="775"/>
      <c r="V20" s="774"/>
      <c r="W20" s="775"/>
      <c r="X20" s="1816"/>
      <c r="Y20" s="3231"/>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1"/>
      <c r="Q21" s="1813" t="str">
        <f>B21</f>
        <v>交通便捷度</v>
      </c>
      <c r="R21" s="774" t="s">
        <v>17</v>
      </c>
      <c r="S21" s="775">
        <f>F21</f>
        <v>100</v>
      </c>
      <c r="T21" s="774" t="s">
        <v>17</v>
      </c>
      <c r="U21" s="775">
        <f>H21</f>
        <v>100</v>
      </c>
      <c r="V21" s="774" t="s">
        <v>17</v>
      </c>
      <c r="W21" s="775">
        <f>J21</f>
        <v>100</v>
      </c>
      <c r="X21" s="1816"/>
      <c r="Y21" s="3231"/>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31"/>
      <c r="Q22" s="1813"/>
      <c r="R22" s="774"/>
      <c r="S22" s="775"/>
      <c r="T22" s="774"/>
      <c r="U22" s="775"/>
      <c r="V22" s="774"/>
      <c r="W22" s="775"/>
      <c r="X22" s="1816"/>
      <c r="Y22" s="3231"/>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1"/>
      <c r="Q23" s="1813" t="str">
        <f t="shared" ref="Q23:Q37" si="8">B23</f>
        <v>区域土地利用方向</v>
      </c>
      <c r="R23" s="774" t="s">
        <v>17</v>
      </c>
      <c r="S23" s="775">
        <f>F23</f>
        <v>100</v>
      </c>
      <c r="T23" s="774" t="s">
        <v>17</v>
      </c>
      <c r="U23" s="775">
        <f>H23</f>
        <v>100</v>
      </c>
      <c r="V23" s="774" t="s">
        <v>17</v>
      </c>
      <c r="W23" s="775">
        <f>J23</f>
        <v>100</v>
      </c>
      <c r="X23" s="1816"/>
      <c r="Y23" s="3231"/>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31"/>
      <c r="Q24" s="1813"/>
      <c r="R24" s="774"/>
      <c r="S24" s="775"/>
      <c r="T24" s="774"/>
      <c r="U24" s="775"/>
      <c r="V24" s="774"/>
      <c r="W24" s="775"/>
      <c r="X24" s="1816"/>
      <c r="Y24" s="3231"/>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1"/>
      <c r="Q25" s="1813" t="str">
        <f t="shared" si="8"/>
        <v>自然及人文环境状况</v>
      </c>
      <c r="R25" s="774" t="s">
        <v>17</v>
      </c>
      <c r="S25" s="775">
        <f>F25</f>
        <v>100</v>
      </c>
      <c r="T25" s="774" t="s">
        <v>17</v>
      </c>
      <c r="U25" s="775">
        <f>H25</f>
        <v>100</v>
      </c>
      <c r="V25" s="774" t="s">
        <v>17</v>
      </c>
      <c r="W25" s="775">
        <f>J25</f>
        <v>100</v>
      </c>
      <c r="X25" s="1816"/>
      <c r="Y25" s="3231"/>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31"/>
      <c r="Q26" s="1813"/>
      <c r="R26" s="774"/>
      <c r="S26" s="775"/>
      <c r="T26" s="774"/>
      <c r="U26" s="775"/>
      <c r="V26" s="774"/>
      <c r="W26" s="775"/>
      <c r="X26" s="1816"/>
      <c r="Y26" s="3231"/>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1"/>
      <c r="Q27" s="1798" t="str">
        <f t="shared" si="8"/>
        <v>公共配套设施</v>
      </c>
      <c r="R27" s="770" t="s">
        <v>17</v>
      </c>
      <c r="S27" s="771">
        <f>F27</f>
        <v>100</v>
      </c>
      <c r="T27" s="770" t="s">
        <v>17</v>
      </c>
      <c r="U27" s="771">
        <f>H27</f>
        <v>100</v>
      </c>
      <c r="V27" s="770" t="s">
        <v>17</v>
      </c>
      <c r="W27" s="771">
        <f>J27</f>
        <v>100</v>
      </c>
      <c r="X27" s="772"/>
      <c r="Y27" s="3231"/>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31"/>
      <c r="Q28" s="1798"/>
      <c r="R28" s="770"/>
      <c r="S28" s="771"/>
      <c r="T28" s="770"/>
      <c r="U28" s="771"/>
      <c r="V28" s="770"/>
      <c r="W28" s="771"/>
      <c r="X28" s="772"/>
      <c r="Y28" s="3231"/>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1"/>
      <c r="Q29" s="1798"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31"/>
      <c r="Q30" s="1798"/>
      <c r="R30" s="770"/>
      <c r="S30" s="771"/>
      <c r="T30" s="770"/>
      <c r="U30" s="771"/>
      <c r="V30" s="770"/>
      <c r="W30" s="771"/>
      <c r="X30" s="772"/>
      <c r="Y30" s="3231"/>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1"/>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1"/>
      <c r="Q32" s="1813" t="str">
        <f t="shared" si="8"/>
        <v>毗邻道路的类型与等级</v>
      </c>
      <c r="R32" s="774" t="s">
        <v>17</v>
      </c>
      <c r="S32" s="775">
        <f t="shared" si="10"/>
        <v>100</v>
      </c>
      <c r="T32" s="774" t="s">
        <v>17</v>
      </c>
      <c r="U32" s="775">
        <f t="shared" si="11"/>
        <v>100</v>
      </c>
      <c r="V32" s="774" t="s">
        <v>17</v>
      </c>
      <c r="W32" s="775">
        <f t="shared" si="12"/>
        <v>100</v>
      </c>
      <c r="X32" s="1816"/>
      <c r="Y32" s="3231"/>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31"/>
      <c r="Q33" s="1813"/>
      <c r="R33" s="774"/>
      <c r="S33" s="775"/>
      <c r="T33" s="774"/>
      <c r="U33" s="775"/>
      <c r="V33" s="774"/>
      <c r="W33" s="775"/>
      <c r="X33" s="1816"/>
      <c r="Y33" s="3231"/>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1"/>
      <c r="Q34" s="1813" t="str">
        <f t="shared" si="8"/>
        <v>土地级别</v>
      </c>
      <c r="R34" s="774" t="s">
        <v>17</v>
      </c>
      <c r="S34" s="775">
        <f t="shared" si="10"/>
        <v>100</v>
      </c>
      <c r="T34" s="774" t="s">
        <v>17</v>
      </c>
      <c r="U34" s="775">
        <f t="shared" si="11"/>
        <v>100</v>
      </c>
      <c r="V34" s="774" t="s">
        <v>17</v>
      </c>
      <c r="W34" s="775">
        <f t="shared" si="12"/>
        <v>100</v>
      </c>
      <c r="X34" s="1816"/>
      <c r="Y34" s="323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1"/>
      <c r="Q35" s="1813">
        <f t="shared" si="8"/>
        <v>111</v>
      </c>
      <c r="R35" s="774" t="s">
        <v>17</v>
      </c>
      <c r="S35" s="775">
        <f t="shared" si="10"/>
        <v>100</v>
      </c>
      <c r="T35" s="774" t="s">
        <v>17</v>
      </c>
      <c r="U35" s="775">
        <f t="shared" si="11"/>
        <v>100</v>
      </c>
      <c r="V35" s="774" t="s">
        <v>17</v>
      </c>
      <c r="W35" s="775">
        <f t="shared" si="12"/>
        <v>100</v>
      </c>
      <c r="X35" s="1816"/>
      <c r="Y35" s="323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4" t="s">
        <v>2560</v>
      </c>
      <c r="Q36" s="1813">
        <f t="shared" si="8"/>
        <v>111</v>
      </c>
      <c r="R36" s="774" t="s">
        <v>17</v>
      </c>
      <c r="S36" s="775">
        <f t="shared" si="10"/>
        <v>100</v>
      </c>
      <c r="T36" s="774" t="s">
        <v>17</v>
      </c>
      <c r="U36" s="775">
        <f t="shared" si="11"/>
        <v>100</v>
      </c>
      <c r="V36" s="774" t="s">
        <v>17</v>
      </c>
      <c r="W36" s="775">
        <f t="shared" si="12"/>
        <v>100</v>
      </c>
      <c r="X36" s="1816"/>
      <c r="Y36" s="3235"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5"/>
      <c r="Q37" s="1813">
        <f t="shared" si="8"/>
        <v>111</v>
      </c>
      <c r="R37" s="777" t="s">
        <v>17</v>
      </c>
      <c r="S37" s="778">
        <f t="shared" si="10"/>
        <v>100</v>
      </c>
      <c r="T37" s="777" t="s">
        <v>17</v>
      </c>
      <c r="U37" s="778">
        <f t="shared" si="11"/>
        <v>100</v>
      </c>
      <c r="V37" s="777" t="s">
        <v>17</v>
      </c>
      <c r="W37" s="778">
        <f t="shared" si="12"/>
        <v>100</v>
      </c>
      <c r="X37" s="779"/>
      <c r="Y37" s="3235"/>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5"/>
      <c r="Q38" s="1813" t="str">
        <f>B38</f>
        <v>宗地面积</v>
      </c>
      <c r="R38" s="774" t="s">
        <v>17</v>
      </c>
      <c r="S38" s="775" t="e">
        <f t="shared" si="10"/>
        <v>#N/A</v>
      </c>
      <c r="T38" s="774" t="s">
        <v>17</v>
      </c>
      <c r="U38" s="775" t="e">
        <f t="shared" si="11"/>
        <v>#N/A</v>
      </c>
      <c r="V38" s="774" t="s">
        <v>17</v>
      </c>
      <c r="W38" s="775" t="e">
        <f t="shared" si="12"/>
        <v>#N/A</v>
      </c>
      <c r="X38" s="1816"/>
      <c r="Y38" s="3235"/>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5"/>
      <c r="Q39" s="1813" t="str">
        <f t="shared" ref="Q39:Q45" si="14">B39</f>
        <v>宗地形状</v>
      </c>
      <c r="R39" s="774" t="s">
        <v>17</v>
      </c>
      <c r="S39" s="775">
        <f t="shared" si="10"/>
        <v>100</v>
      </c>
      <c r="T39" s="774" t="s">
        <v>17</v>
      </c>
      <c r="U39" s="775">
        <f t="shared" si="11"/>
        <v>100</v>
      </c>
      <c r="V39" s="774" t="s">
        <v>17</v>
      </c>
      <c r="W39" s="775">
        <f t="shared" si="12"/>
        <v>100</v>
      </c>
      <c r="X39" s="1816"/>
      <c r="Y39" s="3235"/>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5"/>
      <c r="Q40" s="1813" t="str">
        <f t="shared" si="14"/>
        <v>临街宽度及深度</v>
      </c>
      <c r="R40" s="774" t="s">
        <v>17</v>
      </c>
      <c r="S40" s="775">
        <f t="shared" si="10"/>
        <v>100</v>
      </c>
      <c r="T40" s="774" t="s">
        <v>17</v>
      </c>
      <c r="U40" s="775">
        <f t="shared" si="11"/>
        <v>100</v>
      </c>
      <c r="V40" s="774" t="s">
        <v>17</v>
      </c>
      <c r="W40" s="775">
        <f t="shared" si="12"/>
        <v>100</v>
      </c>
      <c r="X40" s="1816"/>
      <c r="Y40" s="3235"/>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5"/>
      <c r="Q41" s="1813" t="str">
        <f t="shared" si="14"/>
        <v>宗地开发程度</v>
      </c>
      <c r="R41" s="770" t="s">
        <v>17</v>
      </c>
      <c r="S41" s="771">
        <f t="shared" si="10"/>
        <v>100</v>
      </c>
      <c r="T41" s="770" t="s">
        <v>17</v>
      </c>
      <c r="U41" s="771">
        <f t="shared" si="11"/>
        <v>100</v>
      </c>
      <c r="V41" s="770" t="s">
        <v>17</v>
      </c>
      <c r="W41" s="771">
        <f t="shared" si="12"/>
        <v>100</v>
      </c>
      <c r="X41" s="772"/>
      <c r="Y41" s="3235"/>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5" t="s">
        <v>2560</v>
      </c>
      <c r="Q42" s="1813" t="str">
        <f t="shared" si="14"/>
        <v>工程地质条件</v>
      </c>
      <c r="R42" s="774" t="s">
        <v>17</v>
      </c>
      <c r="S42" s="775">
        <f t="shared" si="10"/>
        <v>100</v>
      </c>
      <c r="T42" s="774" t="s">
        <v>17</v>
      </c>
      <c r="U42" s="775">
        <f t="shared" si="11"/>
        <v>100</v>
      </c>
      <c r="V42" s="774" t="s">
        <v>17</v>
      </c>
      <c r="W42" s="775">
        <f t="shared" si="12"/>
        <v>100</v>
      </c>
      <c r="X42" s="1816"/>
      <c r="Y42" s="3235"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5"/>
      <c r="Q43" s="1813">
        <f t="shared" si="14"/>
        <v>111</v>
      </c>
      <c r="R43" s="774" t="s">
        <v>17</v>
      </c>
      <c r="S43" s="775">
        <f t="shared" si="10"/>
        <v>100</v>
      </c>
      <c r="T43" s="774" t="s">
        <v>17</v>
      </c>
      <c r="U43" s="775">
        <f t="shared" si="11"/>
        <v>100</v>
      </c>
      <c r="V43" s="774" t="s">
        <v>17</v>
      </c>
      <c r="W43" s="775">
        <f t="shared" si="12"/>
        <v>100</v>
      </c>
      <c r="X43" s="1816"/>
      <c r="Y43" s="323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5"/>
      <c r="Q44" s="1813">
        <f t="shared" si="14"/>
        <v>111</v>
      </c>
      <c r="R44" s="774" t="s">
        <v>17</v>
      </c>
      <c r="S44" s="775">
        <f t="shared" si="10"/>
        <v>100</v>
      </c>
      <c r="T44" s="774" t="s">
        <v>17</v>
      </c>
      <c r="U44" s="775">
        <f t="shared" si="11"/>
        <v>100</v>
      </c>
      <c r="V44" s="774" t="s">
        <v>17</v>
      </c>
      <c r="W44" s="775">
        <f t="shared" si="12"/>
        <v>100</v>
      </c>
      <c r="X44" s="1816"/>
      <c r="Y44" s="3235"/>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5"/>
      <c r="Q45" s="1813">
        <f t="shared" si="14"/>
        <v>111</v>
      </c>
      <c r="R45" s="777" t="s">
        <v>17</v>
      </c>
      <c r="S45" s="778">
        <f t="shared" si="10"/>
        <v>100</v>
      </c>
      <c r="T45" s="777" t="s">
        <v>17</v>
      </c>
      <c r="U45" s="778">
        <f t="shared" si="11"/>
        <v>100</v>
      </c>
      <c r="V45" s="777" t="s">
        <v>17</v>
      </c>
      <c r="W45" s="778">
        <f t="shared" si="12"/>
        <v>100</v>
      </c>
      <c r="X45" s="779"/>
      <c r="Y45" s="3235"/>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228" t="str">
        <f>A46</f>
        <v>成交单价</v>
      </c>
      <c r="Q46" s="3228"/>
      <c r="R46" s="3223">
        <f>E46</f>
        <v>0</v>
      </c>
      <c r="S46" s="3223"/>
      <c r="T46" s="3223">
        <f>G46</f>
        <v>0</v>
      </c>
      <c r="U46" s="3223"/>
      <c r="V46" s="3223">
        <f>I46</f>
        <v>0</v>
      </c>
      <c r="W46" s="322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28" t="str">
        <f>A47</f>
        <v>比较价值（元/平方米）</v>
      </c>
      <c r="Q47" s="3228"/>
      <c r="R47" s="3255" t="e">
        <f>ROUND(PRODUCT(R46,AA7:AA45),0)</f>
        <v>#DIV/0!</v>
      </c>
      <c r="S47" s="3255"/>
      <c r="T47" s="3255" t="e">
        <f>ROUND(PRODUCT(T46,AB7:AB45),0)</f>
        <v>#DIV/0!</v>
      </c>
      <c r="U47" s="3255"/>
      <c r="V47" s="3255" t="e">
        <f>ROUND(PRODUCT(V46,AC7:AC45),0)</f>
        <v>#DIV/0!</v>
      </c>
      <c r="W47" s="3255"/>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25" t="str">
        <f>A48</f>
        <v>估价对象XX用房的比较价值（楼面单价，元/平方米）</v>
      </c>
      <c r="Q48" s="3226"/>
      <c r="R48" s="3256" t="e">
        <f>ROUND(AVERAGE(R47:V47),0)</f>
        <v>#DIV/0!</v>
      </c>
      <c r="S48" s="3256"/>
      <c r="T48" s="3256"/>
      <c r="U48" s="3256"/>
      <c r="V48" s="3256"/>
      <c r="W48" s="325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211" t="s">
        <v>2759</v>
      </c>
      <c r="H55" s="3257"/>
      <c r="I55" s="144" t="s">
        <v>2760</v>
      </c>
      <c r="J55" s="2710" t="str">
        <f>项目基本情况!F35</f>
        <v>顺义区</v>
      </c>
      <c r="K55" s="2711" t="s">
        <v>2761</v>
      </c>
      <c r="L55" s="1109"/>
      <c r="M55" s="1147"/>
      <c r="N55" s="1147"/>
      <c r="O55" s="1147"/>
    </row>
    <row r="56" spans="1:15" s="692" customFormat="1">
      <c r="A56" s="688" t="s">
        <v>2762</v>
      </c>
      <c r="B56" s="689" t="e">
        <f>C48</f>
        <v>#DIV/0!</v>
      </c>
      <c r="C56" s="690">
        <v>1</v>
      </c>
      <c r="D56" s="1166">
        <v>1</v>
      </c>
      <c r="E56" s="690">
        <f>'数据-汇总表'!E8+'数据-汇总表'!E9</f>
        <v>19553.34</v>
      </c>
      <c r="F56" s="1106" t="e">
        <f t="shared" ref="F56:F65" si="15">ROUND(B56*E56/10000,0)</f>
        <v>#DIV/0!</v>
      </c>
      <c r="G56" s="3210"/>
      <c r="H56" s="3228"/>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58"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58"/>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58"/>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58"/>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19553.34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5" t="s">
        <v>2778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42" sqref="E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f>F61</f>
        <v>2627</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ROUND(IF(D3="",B2*10000/'数据-汇总表'!E3,B2*10000/D3),0)</f>
        <v>1344</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1" t="s">
        <v>2641</v>
      </c>
      <c r="D4" s="3212"/>
      <c r="E4" s="3213" t="s">
        <v>2642</v>
      </c>
      <c r="F4" s="3214"/>
      <c r="G4" s="3211" t="s">
        <v>2643</v>
      </c>
      <c r="H4" s="3212"/>
      <c r="I4" s="3211" t="s">
        <v>2644</v>
      </c>
      <c r="J4" s="3212"/>
      <c r="K4" s="610" t="s">
        <v>2645</v>
      </c>
      <c r="L4" s="1133"/>
      <c r="M4" s="1134"/>
      <c r="N4" s="1134"/>
      <c r="O4" s="1134"/>
      <c r="P4" s="3215" t="s">
        <v>2646</v>
      </c>
      <c r="Q4" s="3216"/>
      <c r="R4" s="3198" t="s">
        <v>2642</v>
      </c>
      <c r="S4" s="3199"/>
      <c r="T4" s="3198" t="s">
        <v>2643</v>
      </c>
      <c r="U4" s="3199"/>
      <c r="V4" s="3223" t="s">
        <v>2644</v>
      </c>
      <c r="W4" s="3223"/>
      <c r="X4" s="1816"/>
      <c r="Y4" s="3198" t="s">
        <v>2646</v>
      </c>
      <c r="Z4" s="3199"/>
      <c r="AA4" s="3193" t="s">
        <v>2642</v>
      </c>
      <c r="AB4" s="3194" t="s">
        <v>2643</v>
      </c>
      <c r="AC4" s="3193" t="s">
        <v>2644</v>
      </c>
    </row>
    <row r="5" spans="1:29" ht="15">
      <c r="A5" s="404"/>
      <c r="B5" s="405"/>
      <c r="C5" s="3204" t="s">
        <v>2537</v>
      </c>
      <c r="D5" s="3205"/>
      <c r="E5" s="3202" t="s">
        <v>2538</v>
      </c>
      <c r="F5" s="3203"/>
      <c r="G5" s="3204" t="s">
        <v>2539</v>
      </c>
      <c r="H5" s="3205"/>
      <c r="I5" s="3204" t="s">
        <v>2540</v>
      </c>
      <c r="J5" s="3205"/>
      <c r="K5" s="610"/>
      <c r="L5" s="1133"/>
      <c r="M5" s="1134"/>
      <c r="N5" s="1134"/>
      <c r="O5" s="1134"/>
      <c r="P5" s="3217"/>
      <c r="Q5" s="3218"/>
      <c r="R5" s="3200"/>
      <c r="S5" s="3201"/>
      <c r="T5" s="3200"/>
      <c r="U5" s="3201"/>
      <c r="V5" s="3223"/>
      <c r="W5" s="3223"/>
      <c r="X5" s="1816"/>
      <c r="Y5" s="3200"/>
      <c r="Z5" s="3201"/>
      <c r="AA5" s="3194"/>
      <c r="AB5" s="3194"/>
      <c r="AC5" s="3194"/>
    </row>
    <row r="6" spans="1:29" ht="15.75" thickBot="1">
      <c r="A6" s="406"/>
      <c r="B6" s="407"/>
      <c r="C6" s="3259" t="s">
        <v>2792</v>
      </c>
      <c r="D6" s="3260"/>
      <c r="E6" s="3261" t="s">
        <v>2792</v>
      </c>
      <c r="F6" s="3262"/>
      <c r="G6" s="3259" t="s">
        <v>2792</v>
      </c>
      <c r="H6" s="3260"/>
      <c r="I6" s="3259" t="s">
        <v>2792</v>
      </c>
      <c r="J6" s="3260"/>
      <c r="K6" s="610" t="s">
        <v>2542</v>
      </c>
      <c r="L6" s="1133"/>
      <c r="M6" s="1134"/>
      <c r="N6" s="1134"/>
      <c r="O6" s="1134"/>
      <c r="P6" s="3219"/>
      <c r="Q6" s="3220"/>
      <c r="R6" s="3200"/>
      <c r="S6" s="3201"/>
      <c r="T6" s="3221"/>
      <c r="U6" s="3222"/>
      <c r="V6" s="3223"/>
      <c r="W6" s="3223"/>
      <c r="X6" s="1816"/>
      <c r="Y6" s="3221"/>
      <c r="Z6" s="3222"/>
      <c r="AA6" s="3195"/>
      <c r="AB6" s="3195"/>
      <c r="AC6" s="3195"/>
    </row>
    <row r="7" spans="1:29" s="117" customFormat="1" ht="15.75" thickBot="1">
      <c r="A7" s="408" t="s">
        <v>2543</v>
      </c>
      <c r="B7" s="409"/>
      <c r="C7" s="410">
        <f>'数据-取费表'!B2</f>
        <v>43473</v>
      </c>
      <c r="D7" s="411">
        <v>100</v>
      </c>
      <c r="E7" s="412" t="str">
        <f>Sheet2!H2</f>
        <v>2017-12-25</v>
      </c>
      <c r="F7" s="413">
        <f>SUMIF(65:65,YEAR(E7)&amp;"-"&amp;INT((MONTH(E7)+2)/3),66:66)</f>
        <v>97.5</v>
      </c>
      <c r="G7" s="2699" t="str">
        <f>Sheet2!H6</f>
        <v>2016-10-25</v>
      </c>
      <c r="H7" s="411">
        <f>SUMIF(65:65,YEAR(G7)&amp;"-"&amp;INT((MONTH(G7)+2)/3),66:66)</f>
        <v>95.5</v>
      </c>
      <c r="I7" s="2699" t="str">
        <f>Sheet2!H22</f>
        <v>2018-09-03</v>
      </c>
      <c r="J7" s="411">
        <f>SUMIF(65:65,YEAR(I7)&amp;"-"&amp;INT((MONTH(I7)+2)/3),66:66)</f>
        <v>99</v>
      </c>
      <c r="K7" s="611"/>
      <c r="L7" s="1135"/>
      <c r="M7" s="1136"/>
      <c r="N7" s="1136"/>
      <c r="O7" s="1136"/>
      <c r="P7" s="3196" t="s">
        <v>2544</v>
      </c>
      <c r="Q7" s="3224"/>
      <c r="R7" s="770" t="s">
        <v>17</v>
      </c>
      <c r="S7" s="771">
        <f t="shared" ref="S7:S15" si="0">F7</f>
        <v>97.5</v>
      </c>
      <c r="T7" s="770" t="s">
        <v>17</v>
      </c>
      <c r="U7" s="771">
        <f t="shared" ref="U7:U15" si="1">H7</f>
        <v>95.5</v>
      </c>
      <c r="V7" s="770" t="s">
        <v>17</v>
      </c>
      <c r="W7" s="771">
        <f t="shared" ref="W7:W15" si="2">J7</f>
        <v>99</v>
      </c>
      <c r="X7" s="772"/>
      <c r="Y7" s="3196" t="s">
        <v>2544</v>
      </c>
      <c r="Z7" s="3197"/>
      <c r="AA7" s="773">
        <f>D7/F7</f>
        <v>1.0256410256410255</v>
      </c>
      <c r="AB7" s="773">
        <f>D7/H7</f>
        <v>1.0471204188481675</v>
      </c>
      <c r="AC7" s="773">
        <f>D7/J7</f>
        <v>1.0101010101010102</v>
      </c>
    </row>
    <row r="8" spans="1:29" s="117" customFormat="1" ht="15.75" thickBot="1">
      <c r="A8" s="408" t="s">
        <v>2545</v>
      </c>
      <c r="B8" s="409"/>
      <c r="C8" s="414" t="s">
        <v>2546</v>
      </c>
      <c r="D8" s="411">
        <v>100</v>
      </c>
      <c r="E8" s="414" t="s">
        <v>2546</v>
      </c>
      <c r="F8" s="413">
        <f>SUMIF(68:68,E8,69:69)-SUMIF(68:68,C8,69:69)+100</f>
        <v>100</v>
      </c>
      <c r="G8" s="414" t="s">
        <v>2546</v>
      </c>
      <c r="H8" s="411">
        <f>SUMIF(68:68,G8,69:69)-SUMIF(68:68,C8,69:69)+100</f>
        <v>100</v>
      </c>
      <c r="I8" s="414" t="s">
        <v>2546</v>
      </c>
      <c r="J8" s="411">
        <f>SUMIF(68:68,I8,69:69)-SUMIF(68:68,C8,69:69)+100</f>
        <v>100</v>
      </c>
      <c r="K8" s="611"/>
      <c r="L8" s="1135"/>
      <c r="M8" s="1136"/>
      <c r="N8" s="1136"/>
      <c r="O8" s="1136"/>
      <c r="P8" s="3196" t="s">
        <v>2547</v>
      </c>
      <c r="Q8" s="3197"/>
      <c r="R8" s="770" t="s">
        <v>17</v>
      </c>
      <c r="S8" s="771">
        <f t="shared" si="0"/>
        <v>100</v>
      </c>
      <c r="T8" s="770" t="s">
        <v>17</v>
      </c>
      <c r="U8" s="771">
        <f t="shared" si="1"/>
        <v>100</v>
      </c>
      <c r="V8" s="770" t="s">
        <v>17</v>
      </c>
      <c r="W8" s="771">
        <f t="shared" si="2"/>
        <v>100</v>
      </c>
      <c r="X8" s="772"/>
      <c r="Y8" s="3196" t="s">
        <v>2547</v>
      </c>
      <c r="Z8" s="3197"/>
      <c r="AA8" s="773">
        <f t="shared" ref="AA8:AA40" si="3">D8/F8</f>
        <v>1</v>
      </c>
      <c r="AB8" s="773">
        <f t="shared" ref="AB8:AB40" si="4">D8/H8</f>
        <v>1</v>
      </c>
      <c r="AC8" s="773">
        <f t="shared" ref="AC8:AC40" si="5">D8/J8</f>
        <v>1</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8" t="s">
        <v>2550</v>
      </c>
      <c r="Q9" s="1798" t="str">
        <f t="shared" ref="Q9:Q15" si="6">B9</f>
        <v>用途</v>
      </c>
      <c r="R9" s="770" t="s">
        <v>17</v>
      </c>
      <c r="S9" s="771">
        <f t="shared" si="0"/>
        <v>100</v>
      </c>
      <c r="T9" s="770" t="s">
        <v>17</v>
      </c>
      <c r="U9" s="771">
        <f t="shared" si="1"/>
        <v>100</v>
      </c>
      <c r="V9" s="770" t="s">
        <v>17</v>
      </c>
      <c r="W9" s="771">
        <f t="shared" si="2"/>
        <v>100</v>
      </c>
      <c r="X9" s="772"/>
      <c r="Y9" s="302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28"/>
      <c r="Q10" s="1798" t="str">
        <f t="shared" si="6"/>
        <v>土地使用年限（年）</v>
      </c>
      <c r="R10" s="770" t="s">
        <v>17</v>
      </c>
      <c r="S10" s="771">
        <f t="shared" si="0"/>
        <v>112</v>
      </c>
      <c r="T10" s="770" t="s">
        <v>17</v>
      </c>
      <c r="U10" s="771">
        <f t="shared" si="1"/>
        <v>112</v>
      </c>
      <c r="V10" s="770" t="s">
        <v>17</v>
      </c>
      <c r="W10" s="771">
        <f t="shared" si="2"/>
        <v>112</v>
      </c>
      <c r="X10" s="772"/>
      <c r="Y10" s="3023"/>
      <c r="Z10" s="55" t="str">
        <f t="shared" si="7"/>
        <v>土地使用年限（年）</v>
      </c>
      <c r="AA10" s="773">
        <f t="shared" si="3"/>
        <v>0.8928571428571429</v>
      </c>
      <c r="AB10" s="773">
        <f t="shared" si="4"/>
        <v>0.8928571428571429</v>
      </c>
      <c r="AC10" s="773">
        <f t="shared" si="5"/>
        <v>0.8928571428571429</v>
      </c>
    </row>
    <row r="11" spans="1:29" ht="15">
      <c r="A11" s="428"/>
      <c r="B11" s="422" t="s">
        <v>2553</v>
      </c>
      <c r="C11" s="429">
        <f>'数据-汇总表'!I4</f>
        <v>1.37</v>
      </c>
      <c r="D11" s="136">
        <v>100</v>
      </c>
      <c r="E11" s="429">
        <f>Sheet2!F2</f>
        <v>0.8</v>
      </c>
      <c r="F11" s="136">
        <f>LOOKUP(E11,75:75,76:76)-LOOKUP(C11,75:75,76:76)+100</f>
        <v>98</v>
      </c>
      <c r="G11" s="430">
        <f>Sheet2!F6</f>
        <v>0.8</v>
      </c>
      <c r="H11" s="136">
        <f>LOOKUP(G11,75:75,76:76)-LOOKUP(C11,75:75,76:76)+100</f>
        <v>98</v>
      </c>
      <c r="I11" s="429">
        <f>Sheet2!F22</f>
        <v>2</v>
      </c>
      <c r="J11" s="136">
        <f>LOOKUP(I11,75:75,76:76)-LOOKUP(C11,75:75,76:76)+100</f>
        <v>102</v>
      </c>
      <c r="K11" s="673">
        <v>2</v>
      </c>
      <c r="L11" s="1141"/>
      <c r="M11" s="1134"/>
      <c r="N11" s="1134"/>
      <c r="O11" s="1142"/>
      <c r="P11" s="3228"/>
      <c r="Q11" s="1798" t="str">
        <f t="shared" si="6"/>
        <v>容积率</v>
      </c>
      <c r="R11" s="770" t="s">
        <v>17</v>
      </c>
      <c r="S11" s="771">
        <f t="shared" si="0"/>
        <v>98</v>
      </c>
      <c r="T11" s="770" t="s">
        <v>17</v>
      </c>
      <c r="U11" s="771">
        <f t="shared" si="1"/>
        <v>98</v>
      </c>
      <c r="V11" s="770" t="s">
        <v>17</v>
      </c>
      <c r="W11" s="771">
        <f t="shared" si="2"/>
        <v>102</v>
      </c>
      <c r="X11" s="772"/>
      <c r="Y11" s="3023"/>
      <c r="Z11" s="55" t="str">
        <f t="shared" si="7"/>
        <v>容积率</v>
      </c>
      <c r="AA11" s="773">
        <f t="shared" si="3"/>
        <v>1.0204081632653061</v>
      </c>
      <c r="AB11" s="773">
        <f t="shared" si="4"/>
        <v>1.0204081632653061</v>
      </c>
      <c r="AC11" s="773">
        <f t="shared" si="5"/>
        <v>0.98039215686274506</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8"/>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2554</v>
      </c>
      <c r="B15" s="629" t="s">
        <v>2793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0" t="s">
        <v>2555</v>
      </c>
      <c r="Q15" s="1813" t="str">
        <f t="shared" si="6"/>
        <v>产业集聚程度</v>
      </c>
      <c r="R15" s="774" t="s">
        <v>17</v>
      </c>
      <c r="S15" s="775">
        <f t="shared" si="0"/>
        <v>100</v>
      </c>
      <c r="T15" s="774" t="s">
        <v>17</v>
      </c>
      <c r="U15" s="775">
        <f t="shared" si="1"/>
        <v>100</v>
      </c>
      <c r="V15" s="774" t="s">
        <v>17</v>
      </c>
      <c r="W15" s="775">
        <f t="shared" si="2"/>
        <v>100</v>
      </c>
      <c r="X15" s="1816"/>
      <c r="Y15" s="3230"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1"/>
      <c r="Q16" s="1813"/>
      <c r="R16" s="774"/>
      <c r="S16" s="775"/>
      <c r="T16" s="774"/>
      <c r="U16" s="775"/>
      <c r="V16" s="774"/>
      <c r="W16" s="775"/>
      <c r="X16" s="1816"/>
      <c r="Y16" s="3231"/>
      <c r="Z16" s="1817"/>
      <c r="AA16" s="1814">
        <v>1</v>
      </c>
      <c r="AB16" s="1814">
        <v>1</v>
      </c>
      <c r="AC16" s="1814">
        <v>1</v>
      </c>
    </row>
    <row r="17" spans="1:29" ht="85.5">
      <c r="A17" s="428"/>
      <c r="B17" s="631" t="s">
        <v>2704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1"/>
      <c r="Q17" s="1813" t="str">
        <f>B17</f>
        <v>交通便捷度</v>
      </c>
      <c r="R17" s="774" t="s">
        <v>17</v>
      </c>
      <c r="S17" s="775">
        <f>F17</f>
        <v>100</v>
      </c>
      <c r="T17" s="774" t="s">
        <v>17</v>
      </c>
      <c r="U17" s="775">
        <f>H17</f>
        <v>100</v>
      </c>
      <c r="V17" s="774" t="s">
        <v>17</v>
      </c>
      <c r="W17" s="775">
        <f>J17</f>
        <v>100</v>
      </c>
      <c r="X17" s="1816"/>
      <c r="Y17" s="3231"/>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1"/>
      <c r="Q18" s="1813"/>
      <c r="R18" s="774"/>
      <c r="S18" s="775"/>
      <c r="T18" s="774"/>
      <c r="U18" s="775"/>
      <c r="V18" s="774"/>
      <c r="W18" s="775"/>
      <c r="X18" s="1816"/>
      <c r="Y18" s="3231"/>
      <c r="Z18" s="1817"/>
      <c r="AA18" s="1814">
        <v>1</v>
      </c>
      <c r="AB18" s="1814">
        <v>1</v>
      </c>
      <c r="AC18" s="1814">
        <v>1</v>
      </c>
    </row>
    <row r="19" spans="1:29" ht="15">
      <c r="A19" s="428"/>
      <c r="B19" s="631" t="s">
        <v>2743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1"/>
      <c r="Q19" s="1813" t="str">
        <f t="shared" ref="Q19:Q33" si="8">B19</f>
        <v>区域土地利用方向</v>
      </c>
      <c r="R19" s="774" t="s">
        <v>17</v>
      </c>
      <c r="S19" s="775">
        <f>F19</f>
        <v>100</v>
      </c>
      <c r="T19" s="774" t="s">
        <v>17</v>
      </c>
      <c r="U19" s="775">
        <f>H19</f>
        <v>100</v>
      </c>
      <c r="V19" s="774" t="s">
        <v>17</v>
      </c>
      <c r="W19" s="775">
        <f>J19</f>
        <v>100</v>
      </c>
      <c r="X19" s="1816"/>
      <c r="Y19" s="3231"/>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1"/>
      <c r="Q20" s="1813"/>
      <c r="R20" s="774"/>
      <c r="S20" s="775"/>
      <c r="T20" s="774"/>
      <c r="U20" s="775"/>
      <c r="V20" s="774"/>
      <c r="W20" s="775"/>
      <c r="X20" s="1816"/>
      <c r="Y20" s="3231"/>
      <c r="Z20" s="1817"/>
      <c r="AA20" s="1814"/>
      <c r="AB20" s="1814"/>
      <c r="AC20" s="1814"/>
    </row>
    <row r="21" spans="1:29" ht="71.25">
      <c r="A21" s="404"/>
      <c r="B21" s="631" t="s">
        <v>2794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1"/>
      <c r="Q21" s="1813" t="str">
        <f t="shared" si="8"/>
        <v>环境状况</v>
      </c>
      <c r="R21" s="774" t="s">
        <v>17</v>
      </c>
      <c r="S21" s="775">
        <f>F21</f>
        <v>100</v>
      </c>
      <c r="T21" s="774" t="s">
        <v>17</v>
      </c>
      <c r="U21" s="775">
        <f>H21</f>
        <v>100</v>
      </c>
      <c r="V21" s="774" t="s">
        <v>17</v>
      </c>
      <c r="W21" s="775">
        <f>J21</f>
        <v>100</v>
      </c>
      <c r="X21" s="1816"/>
      <c r="Y21" s="3231"/>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1"/>
      <c r="Q22" s="1813"/>
      <c r="R22" s="774"/>
      <c r="S22" s="775"/>
      <c r="T22" s="774"/>
      <c r="U22" s="775"/>
      <c r="V22" s="774"/>
      <c r="W22" s="775"/>
      <c r="X22" s="1816"/>
      <c r="Y22" s="3231"/>
      <c r="Z22" s="1817"/>
      <c r="AA22" s="1814">
        <v>1</v>
      </c>
      <c r="AB22" s="1814">
        <v>1</v>
      </c>
      <c r="AC22" s="1814">
        <v>1</v>
      </c>
    </row>
    <row r="23" spans="1:29" s="117" customFormat="1" ht="42.75">
      <c r="A23" s="649"/>
      <c r="B23" s="633" t="s">
        <v>2649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1"/>
      <c r="Q23" s="1798" t="str">
        <f t="shared" si="8"/>
        <v>公共配套设施</v>
      </c>
      <c r="R23" s="770" t="s">
        <v>17</v>
      </c>
      <c r="S23" s="771">
        <f>F23</f>
        <v>100</v>
      </c>
      <c r="T23" s="770" t="s">
        <v>17</v>
      </c>
      <c r="U23" s="771">
        <f>H23</f>
        <v>100</v>
      </c>
      <c r="V23" s="770" t="s">
        <v>17</v>
      </c>
      <c r="W23" s="771">
        <f>J23</f>
        <v>100</v>
      </c>
      <c r="X23" s="772"/>
      <c r="Y23" s="3231"/>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1"/>
      <c r="Q24" s="1798"/>
      <c r="R24" s="770"/>
      <c r="S24" s="771"/>
      <c r="T24" s="770"/>
      <c r="U24" s="771"/>
      <c r="V24" s="770"/>
      <c r="W24" s="771"/>
      <c r="X24" s="772"/>
      <c r="Y24" s="3231"/>
      <c r="Z24" s="55"/>
      <c r="AA24" s="773">
        <v>1</v>
      </c>
      <c r="AB24" s="773">
        <v>1</v>
      </c>
      <c r="AC24" s="773">
        <v>1</v>
      </c>
    </row>
    <row r="25" spans="1:29" s="117" customFormat="1" ht="28.5">
      <c r="A25" s="649"/>
      <c r="B25" s="633" t="s">
        <v>2650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1"/>
      <c r="Q25" s="1798"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1"/>
      <c r="Q26" s="1798"/>
      <c r="R26" s="770"/>
      <c r="S26" s="771"/>
      <c r="T26" s="770"/>
      <c r="U26" s="771"/>
      <c r="V26" s="770"/>
      <c r="W26" s="771"/>
      <c r="X26" s="772"/>
      <c r="Y26" s="3231"/>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1"/>
      <c r="Z27" s="1817" t="str">
        <f t="shared" ref="Z27:Z40" si="13">Q27</f>
        <v>临街状况</v>
      </c>
      <c r="AA27" s="1814">
        <f t="shared" si="3"/>
        <v>1</v>
      </c>
      <c r="AB27" s="1814">
        <f t="shared" si="4"/>
        <v>1</v>
      </c>
      <c r="AC27" s="1814">
        <f t="shared" si="5"/>
        <v>1</v>
      </c>
    </row>
    <row r="28" spans="1:29" ht="27">
      <c r="A28" s="428"/>
      <c r="B28" s="633" t="s">
        <v>2686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1"/>
      <c r="Q28" s="1813" t="str">
        <f t="shared" si="8"/>
        <v>毗邻道路的类型与等级</v>
      </c>
      <c r="R28" s="774" t="s">
        <v>17</v>
      </c>
      <c r="S28" s="775">
        <f t="shared" si="10"/>
        <v>100</v>
      </c>
      <c r="T28" s="774" t="s">
        <v>17</v>
      </c>
      <c r="U28" s="775">
        <f t="shared" si="11"/>
        <v>100</v>
      </c>
      <c r="V28" s="774" t="s">
        <v>17</v>
      </c>
      <c r="W28" s="775">
        <f t="shared" si="12"/>
        <v>100</v>
      </c>
      <c r="X28" s="1816"/>
      <c r="Y28" s="3231"/>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1"/>
      <c r="Q29" s="1813"/>
      <c r="R29" s="774"/>
      <c r="S29" s="775"/>
      <c r="T29" s="774"/>
      <c r="U29" s="775"/>
      <c r="V29" s="774"/>
      <c r="W29" s="775"/>
      <c r="X29" s="1816"/>
      <c r="Y29" s="3231"/>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1"/>
      <c r="Q30" s="1813" t="str">
        <f t="shared" si="8"/>
        <v>土地级别</v>
      </c>
      <c r="R30" s="774" t="s">
        <v>17</v>
      </c>
      <c r="S30" s="775">
        <f t="shared" si="10"/>
        <v>100</v>
      </c>
      <c r="T30" s="774" t="s">
        <v>17</v>
      </c>
      <c r="U30" s="775">
        <f t="shared" si="11"/>
        <v>100</v>
      </c>
      <c r="V30" s="774" t="s">
        <v>17</v>
      </c>
      <c r="W30" s="775">
        <f t="shared" si="12"/>
        <v>100</v>
      </c>
      <c r="X30" s="1816"/>
      <c r="Y30" s="3231"/>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1"/>
      <c r="Q31" s="1813">
        <f t="shared" si="8"/>
        <v>111</v>
      </c>
      <c r="R31" s="774" t="s">
        <v>17</v>
      </c>
      <c r="S31" s="775">
        <f t="shared" si="10"/>
        <v>100</v>
      </c>
      <c r="T31" s="774" t="s">
        <v>17</v>
      </c>
      <c r="U31" s="775">
        <f t="shared" si="11"/>
        <v>100</v>
      </c>
      <c r="V31" s="774" t="s">
        <v>17</v>
      </c>
      <c r="W31" s="775">
        <f t="shared" si="12"/>
        <v>100</v>
      </c>
      <c r="X31" s="1816"/>
      <c r="Y31" s="3231"/>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4" t="s">
        <v>2560</v>
      </c>
      <c r="Q32" s="1813">
        <f t="shared" si="8"/>
        <v>111</v>
      </c>
      <c r="R32" s="774" t="s">
        <v>17</v>
      </c>
      <c r="S32" s="775">
        <f t="shared" si="10"/>
        <v>100</v>
      </c>
      <c r="T32" s="774" t="s">
        <v>17</v>
      </c>
      <c r="U32" s="775">
        <f t="shared" si="11"/>
        <v>100</v>
      </c>
      <c r="V32" s="774" t="s">
        <v>17</v>
      </c>
      <c r="W32" s="775">
        <f t="shared" si="12"/>
        <v>100</v>
      </c>
      <c r="X32" s="1816"/>
      <c r="Y32" s="3235"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5"/>
      <c r="Q33" s="1813">
        <f t="shared" si="8"/>
        <v>111</v>
      </c>
      <c r="R33" s="777" t="s">
        <v>17</v>
      </c>
      <c r="S33" s="778">
        <f t="shared" si="10"/>
        <v>100</v>
      </c>
      <c r="T33" s="777" t="s">
        <v>17</v>
      </c>
      <c r="U33" s="778">
        <f t="shared" si="11"/>
        <v>100</v>
      </c>
      <c r="V33" s="777" t="s">
        <v>17</v>
      </c>
      <c r="W33" s="778">
        <f t="shared" si="12"/>
        <v>100</v>
      </c>
      <c r="X33" s="779"/>
      <c r="Y33" s="3235"/>
      <c r="Z33" s="780">
        <f t="shared" si="13"/>
        <v>111</v>
      </c>
      <c r="AA33" s="1814">
        <f t="shared" si="3"/>
        <v>1</v>
      </c>
      <c r="AB33" s="1814">
        <f t="shared" si="4"/>
        <v>1</v>
      </c>
      <c r="AC33" s="1814">
        <f t="shared" si="5"/>
        <v>1</v>
      </c>
    </row>
    <row r="34" spans="1:29" ht="15">
      <c r="A34" s="440" t="s">
        <v>2558</v>
      </c>
      <c r="B34" s="456" t="s">
        <v>2746</v>
      </c>
      <c r="C34" s="679">
        <f>'数据-基础表'!A3</f>
        <v>22925.9</v>
      </c>
      <c r="D34" s="467">
        <v>100</v>
      </c>
      <c r="E34" s="679">
        <f>Sheet2!D2</f>
        <v>4280.58</v>
      </c>
      <c r="F34" s="467">
        <f>LOOKUP(E34,108:108,109:109)-LOOKUP(C34,108:108,109:109)+100</f>
        <v>96</v>
      </c>
      <c r="G34" s="679">
        <f>Sheet2!D6</f>
        <v>11912.8</v>
      </c>
      <c r="H34" s="467">
        <f>LOOKUP(G34,108:108,109:109)-LOOKUP(C34,108:108,109:109)+100</f>
        <v>98</v>
      </c>
      <c r="I34" s="530">
        <f>Sheet2!D22</f>
        <v>9951.4</v>
      </c>
      <c r="J34" s="467">
        <f>LOOKUP(I34,108:108,109:109)-LOOKUP(C34,108:108,109:109)+100</f>
        <v>96</v>
      </c>
      <c r="K34" s="613"/>
      <c r="L34" s="1143"/>
      <c r="M34" s="1134"/>
      <c r="N34" s="1134"/>
      <c r="O34" s="1142"/>
      <c r="P34" s="3235"/>
      <c r="Q34" s="1813" t="str">
        <f>B34</f>
        <v>宗地面积</v>
      </c>
      <c r="R34" s="774" t="s">
        <v>17</v>
      </c>
      <c r="S34" s="775">
        <f t="shared" si="10"/>
        <v>96</v>
      </c>
      <c r="T34" s="774" t="s">
        <v>17</v>
      </c>
      <c r="U34" s="775">
        <f t="shared" si="11"/>
        <v>98</v>
      </c>
      <c r="V34" s="774" t="s">
        <v>17</v>
      </c>
      <c r="W34" s="775">
        <f t="shared" si="12"/>
        <v>96</v>
      </c>
      <c r="X34" s="1816"/>
      <c r="Y34" s="3235"/>
      <c r="Z34" s="1817" t="str">
        <f t="shared" si="13"/>
        <v>宗地面积</v>
      </c>
      <c r="AA34" s="1814">
        <f t="shared" si="3"/>
        <v>1.0416666666666667</v>
      </c>
      <c r="AB34" s="1814">
        <f t="shared" si="4"/>
        <v>1.0204081632653061</v>
      </c>
      <c r="AC34" s="1814">
        <f t="shared" si="5"/>
        <v>1.0416666666666667</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5"/>
      <c r="Q35" s="1813" t="str">
        <f t="shared" ref="Q35:Q40" si="14">B35</f>
        <v>宗地形状</v>
      </c>
      <c r="R35" s="774" t="s">
        <v>17</v>
      </c>
      <c r="S35" s="775">
        <f t="shared" si="10"/>
        <v>100</v>
      </c>
      <c r="T35" s="774" t="s">
        <v>17</v>
      </c>
      <c r="U35" s="775">
        <f t="shared" si="11"/>
        <v>100</v>
      </c>
      <c r="V35" s="774" t="s">
        <v>17</v>
      </c>
      <c r="W35" s="775">
        <f t="shared" si="12"/>
        <v>100</v>
      </c>
      <c r="X35" s="1816"/>
      <c r="Y35" s="3235"/>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5"/>
      <c r="Q36" s="1813" t="str">
        <f t="shared" si="14"/>
        <v>宗地开发程度</v>
      </c>
      <c r="R36" s="770" t="s">
        <v>17</v>
      </c>
      <c r="S36" s="771">
        <f t="shared" si="10"/>
        <v>100</v>
      </c>
      <c r="T36" s="770" t="s">
        <v>17</v>
      </c>
      <c r="U36" s="771">
        <f t="shared" si="11"/>
        <v>100</v>
      </c>
      <c r="V36" s="770" t="s">
        <v>17</v>
      </c>
      <c r="W36" s="771">
        <f t="shared" si="12"/>
        <v>100</v>
      </c>
      <c r="X36" s="772"/>
      <c r="Y36" s="3235"/>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5" t="s">
        <v>2560</v>
      </c>
      <c r="Q37" s="1813" t="str">
        <f t="shared" si="14"/>
        <v>工程地质条件</v>
      </c>
      <c r="R37" s="774" t="s">
        <v>17</v>
      </c>
      <c r="S37" s="775">
        <f t="shared" si="10"/>
        <v>100</v>
      </c>
      <c r="T37" s="774" t="s">
        <v>17</v>
      </c>
      <c r="U37" s="775">
        <f t="shared" si="11"/>
        <v>100</v>
      </c>
      <c r="V37" s="774" t="s">
        <v>17</v>
      </c>
      <c r="W37" s="775">
        <f t="shared" si="12"/>
        <v>100</v>
      </c>
      <c r="X37" s="1816"/>
      <c r="Y37" s="3235"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5"/>
      <c r="Q38" s="1813">
        <f t="shared" si="14"/>
        <v>111</v>
      </c>
      <c r="R38" s="774" t="s">
        <v>17</v>
      </c>
      <c r="S38" s="775">
        <f t="shared" si="10"/>
        <v>100</v>
      </c>
      <c r="T38" s="774" t="s">
        <v>17</v>
      </c>
      <c r="U38" s="775">
        <f t="shared" si="11"/>
        <v>100</v>
      </c>
      <c r="V38" s="774" t="s">
        <v>17</v>
      </c>
      <c r="W38" s="775">
        <f t="shared" si="12"/>
        <v>100</v>
      </c>
      <c r="X38" s="1816"/>
      <c r="Y38" s="323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5"/>
      <c r="Q39" s="1813">
        <f t="shared" si="14"/>
        <v>111</v>
      </c>
      <c r="R39" s="774" t="s">
        <v>17</v>
      </c>
      <c r="S39" s="775">
        <f t="shared" si="10"/>
        <v>100</v>
      </c>
      <c r="T39" s="774" t="s">
        <v>17</v>
      </c>
      <c r="U39" s="775">
        <f t="shared" si="11"/>
        <v>100</v>
      </c>
      <c r="V39" s="774" t="s">
        <v>17</v>
      </c>
      <c r="W39" s="775">
        <f t="shared" si="12"/>
        <v>100</v>
      </c>
      <c r="X39" s="1816"/>
      <c r="Y39" s="3235"/>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5"/>
      <c r="Q40" s="1813">
        <f t="shared" si="14"/>
        <v>111</v>
      </c>
      <c r="R40" s="777" t="s">
        <v>17</v>
      </c>
      <c r="S40" s="778">
        <f t="shared" si="10"/>
        <v>100</v>
      </c>
      <c r="T40" s="777" t="s">
        <v>17</v>
      </c>
      <c r="U40" s="778">
        <f t="shared" si="11"/>
        <v>100</v>
      </c>
      <c r="V40" s="777" t="s">
        <v>17</v>
      </c>
      <c r="W40" s="778">
        <f t="shared" si="12"/>
        <v>100</v>
      </c>
      <c r="X40" s="779"/>
      <c r="Y40" s="3235"/>
      <c r="Z40" s="780">
        <f t="shared" si="13"/>
        <v>111</v>
      </c>
      <c r="AA40" s="1814">
        <f t="shared" si="3"/>
        <v>1</v>
      </c>
      <c r="AB40" s="1814">
        <f t="shared" si="4"/>
        <v>1</v>
      </c>
      <c r="AC40" s="1814">
        <f t="shared" si="5"/>
        <v>1</v>
      </c>
    </row>
    <row r="41" spans="1:29" ht="15">
      <c r="A41" s="479" t="s">
        <v>2715</v>
      </c>
      <c r="B41" s="2707" t="s">
        <v>3180</v>
      </c>
      <c r="C41" s="682" t="s">
        <v>1</v>
      </c>
      <c r="D41" s="481"/>
      <c r="E41" s="482">
        <v>3000</v>
      </c>
      <c r="F41" s="483"/>
      <c r="G41" s="484">
        <v>3000</v>
      </c>
      <c r="H41" s="485"/>
      <c r="I41" s="482">
        <v>3000</v>
      </c>
      <c r="J41" s="485"/>
      <c r="K41" s="783"/>
      <c r="L41" s="1146"/>
      <c r="M41" s="1134"/>
      <c r="N41" s="1134"/>
      <c r="O41" s="1147"/>
      <c r="P41" s="3228" t="str">
        <f>A41</f>
        <v>成交单价</v>
      </c>
      <c r="Q41" s="3228"/>
      <c r="R41" s="3223">
        <f>E41</f>
        <v>3000</v>
      </c>
      <c r="S41" s="3223"/>
      <c r="T41" s="3223">
        <f>G41</f>
        <v>3000</v>
      </c>
      <c r="U41" s="3223"/>
      <c r="V41" s="3223">
        <f>I41</f>
        <v>3000</v>
      </c>
      <c r="W41" s="3223"/>
      <c r="X41" s="759"/>
      <c r="Y41" s="781"/>
      <c r="Z41" s="759"/>
      <c r="AA41" s="759"/>
      <c r="AB41" s="759"/>
      <c r="AC41" s="759"/>
    </row>
    <row r="42" spans="1:29" ht="15.75" thickBot="1">
      <c r="A42" s="486" t="s">
        <v>2664</v>
      </c>
      <c r="B42" s="683"/>
      <c r="C42" s="490">
        <f>R43</f>
        <v>2868</v>
      </c>
      <c r="D42" s="489"/>
      <c r="E42" s="490">
        <f>R42</f>
        <v>2920</v>
      </c>
      <c r="F42" s="491"/>
      <c r="G42" s="488">
        <f>T42</f>
        <v>2920</v>
      </c>
      <c r="H42" s="489"/>
      <c r="I42" s="490">
        <f>V42</f>
        <v>2763</v>
      </c>
      <c r="J42" s="489"/>
      <c r="K42" s="784"/>
      <c r="L42" s="1146"/>
      <c r="M42" s="1134"/>
      <c r="N42" s="1134"/>
      <c r="O42" s="1147"/>
      <c r="P42" s="3228" t="str">
        <f>A42</f>
        <v>比较价值（元/平方米）</v>
      </c>
      <c r="Q42" s="3228"/>
      <c r="R42" s="3255">
        <f>ROUND(PRODUCT(R41,AA7:AA40),0)</f>
        <v>2920</v>
      </c>
      <c r="S42" s="3255"/>
      <c r="T42" s="3255">
        <f>ROUND(PRODUCT(T41,AB7:AB40),0)</f>
        <v>2920</v>
      </c>
      <c r="U42" s="3255"/>
      <c r="V42" s="3255">
        <f>ROUND(PRODUCT(V41,AC7:AC40),0)</f>
        <v>2763</v>
      </c>
      <c r="W42" s="3255"/>
      <c r="X42" s="759"/>
      <c r="Y42" s="759"/>
      <c r="Z42" s="759"/>
      <c r="AA42" s="759"/>
      <c r="AB42" s="759"/>
      <c r="AC42" s="759"/>
    </row>
    <row r="43" spans="1:29" ht="15.75" thickBot="1">
      <c r="A43" s="492" t="s">
        <v>2665</v>
      </c>
      <c r="B43" s="493"/>
      <c r="C43" s="494">
        <f>R43</f>
        <v>2868</v>
      </c>
      <c r="D43" s="494"/>
      <c r="E43" s="494"/>
      <c r="F43" s="494"/>
      <c r="G43" s="494"/>
      <c r="H43" s="494"/>
      <c r="I43" s="494"/>
      <c r="J43" s="494"/>
      <c r="K43" s="785"/>
      <c r="L43" s="1146"/>
      <c r="M43" s="1134"/>
      <c r="N43" s="1134"/>
      <c r="O43" s="1147"/>
      <c r="P43" s="3225" t="str">
        <f>A43</f>
        <v>估价对象XX用房的比较价值（楼面单价，元/平方米）</v>
      </c>
      <c r="Q43" s="3226"/>
      <c r="R43" s="3256">
        <f>ROUND(AVERAGE(R42:V42),0)</f>
        <v>2868</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f>IF(E41&lt;E42,E42/E41-1,E41/E42-1)</f>
        <v>2.7397260273972712E-2</v>
      </c>
      <c r="F46" s="500" t="str">
        <f>IF(OR(E46&gt;=0.3,E46&lt;=-0.3),"超过30%","")</f>
        <v/>
      </c>
      <c r="G46" s="499">
        <f>IF(G41&lt;G42,G42/G41-1,G41/G42-1)</f>
        <v>2.7397260273972712E-2</v>
      </c>
      <c r="H46" s="500" t="str">
        <f>IF(OR(G46&gt;=0.3,G46&lt;=-0.3),"超过30%","")</f>
        <v/>
      </c>
      <c r="I46" s="499">
        <f>IF(I41&lt;I42,I42/I41-1,I41/I42-1)</f>
        <v>8.5776330076004381E-2</v>
      </c>
      <c r="J46" s="500" t="str">
        <f>IF(OR(I46&gt;=0.3,I46&lt;=-0.3),"超过30%","")</f>
        <v/>
      </c>
      <c r="K46" s="1108"/>
      <c r="L46" s="1109"/>
      <c r="M46" s="1134"/>
      <c r="N46" s="1134"/>
      <c r="O46" s="1147"/>
    </row>
    <row r="47" spans="1:29" ht="13.5" customHeight="1">
      <c r="A47" s="1147"/>
      <c r="B47" s="1147"/>
      <c r="C47" s="497" t="s">
        <v>2667</v>
      </c>
      <c r="D47" s="501"/>
      <c r="E47" s="499">
        <f>IF(E42&lt;G42,G42/E42-1,E42/G42-1)</f>
        <v>0</v>
      </c>
      <c r="F47" s="500" t="str">
        <f>IF(OR(E47&gt;=0.2,E47&lt;=-0.2),"超过20%","")</f>
        <v/>
      </c>
      <c r="G47" s="499">
        <f>IF(G42&lt;I42,I42/G42-1,G42/I42-1)</f>
        <v>5.6822294607310919E-2</v>
      </c>
      <c r="H47" s="500" t="str">
        <f>IF(OR(G47&gt;=0.2,G47&lt;=-0.2),"超过20%","")</f>
        <v/>
      </c>
      <c r="I47" s="499">
        <f>IF(I42&lt;E42,E42/I42-1,I42/E42-1)</f>
        <v>5.6822294607310919E-2</v>
      </c>
      <c r="J47" s="500" t="str">
        <f>IF(OR(I47&gt;=0.2,I47&lt;=-0.2),"超过20%","")</f>
        <v/>
      </c>
      <c r="K47" s="1108"/>
      <c r="L47" s="1109"/>
      <c r="M47" s="1147"/>
      <c r="N47" s="1147"/>
      <c r="O47" s="1147"/>
    </row>
    <row r="48" spans="1:29" s="502" customFormat="1" ht="13.5" customHeight="1">
      <c r="A48" s="1148"/>
      <c r="B48" s="1148"/>
      <c r="C48" s="497" t="s">
        <v>2668</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211" t="s">
        <v>2759</v>
      </c>
      <c r="H50" s="3257"/>
      <c r="I50" s="1817" t="s">
        <v>2795</v>
      </c>
      <c r="J50" s="1817" t="str">
        <f>项目基本情况!F35</f>
        <v>顺义区</v>
      </c>
      <c r="K50" s="2711" t="s">
        <v>2761</v>
      </c>
      <c r="L50" s="1109"/>
      <c r="M50" s="1147"/>
      <c r="N50" s="1147"/>
      <c r="O50" s="1147"/>
    </row>
    <row r="51" spans="1:17" s="692" customFormat="1">
      <c r="A51" s="688" t="s">
        <v>2762</v>
      </c>
      <c r="B51" s="689">
        <f>C43</f>
        <v>2868</v>
      </c>
      <c r="C51" s="690">
        <v>1</v>
      </c>
      <c r="D51" s="1166">
        <v>1</v>
      </c>
      <c r="E51" s="690">
        <f>'数据-汇总表'!E8+'数据-汇总表'!E9</f>
        <v>19553.34</v>
      </c>
      <c r="F51" s="691">
        <f t="shared" ref="F51:F60" si="15">ROUND(B51*E51/10000,0)</f>
        <v>5608</v>
      </c>
      <c r="G51" s="3210"/>
      <c r="H51" s="3228"/>
      <c r="I51" s="945">
        <v>1</v>
      </c>
      <c r="J51" s="945">
        <v>1</v>
      </c>
      <c r="K51" s="1148"/>
      <c r="L51" s="944"/>
      <c r="M51" s="944"/>
      <c r="N51" s="944"/>
      <c r="O51" s="944"/>
    </row>
    <row r="52" spans="1:17" s="692" customFormat="1">
      <c r="A52" s="693" t="s">
        <v>2763</v>
      </c>
      <c r="B52" s="262">
        <f>ROUND($C$43*C52*D52,0)</f>
        <v>0</v>
      </c>
      <c r="C52" s="200">
        <f t="shared" ref="C52:C60" si="16">IF($C$50="北京市系数",I52,J52)</f>
        <v>0</v>
      </c>
      <c r="D52" s="1167">
        <v>0.25</v>
      </c>
      <c r="E52" s="694"/>
      <c r="F52" s="691">
        <f t="shared" si="15"/>
        <v>0</v>
      </c>
      <c r="G52" s="3258" t="s">
        <v>2764</v>
      </c>
      <c r="H52" s="1107">
        <f>项目基本情况!B37</f>
        <v>0</v>
      </c>
      <c r="I52" s="945">
        <f>SUMIF(修正!A45:A56,H52,修正!B45:B56)</f>
        <v>0</v>
      </c>
      <c r="J52" s="946"/>
      <c r="K52" s="1147"/>
      <c r="L52" s="944"/>
      <c r="M52" s="944"/>
      <c r="N52" s="944"/>
      <c r="O52" s="944"/>
    </row>
    <row r="53" spans="1:17" s="692" customFormat="1">
      <c r="A53" s="693" t="s">
        <v>2765</v>
      </c>
      <c r="B53" s="262">
        <f t="shared" ref="B53:B60" si="17">ROUND($C$43*C53*D53,0)</f>
        <v>0</v>
      </c>
      <c r="C53" s="200">
        <f t="shared" si="16"/>
        <v>0</v>
      </c>
      <c r="D53" s="1167">
        <v>0.25</v>
      </c>
      <c r="E53" s="694"/>
      <c r="F53" s="691">
        <f t="shared" si="15"/>
        <v>0</v>
      </c>
      <c r="G53" s="3258"/>
      <c r="H53" s="1107">
        <f>项目基本情况!B37</f>
        <v>0</v>
      </c>
      <c r="I53" s="945">
        <f>SUMIF(修正!A45:A56,H53,修正!C45:C56)</f>
        <v>0</v>
      </c>
      <c r="J53" s="946"/>
      <c r="K53" s="1148"/>
      <c r="L53" s="944"/>
      <c r="M53" s="944"/>
      <c r="N53" s="944"/>
      <c r="O53" s="944"/>
    </row>
    <row r="54" spans="1:17" s="692" customFormat="1">
      <c r="A54" s="693" t="s">
        <v>2766</v>
      </c>
      <c r="B54" s="262">
        <f t="shared" si="17"/>
        <v>0</v>
      </c>
      <c r="C54" s="200">
        <f t="shared" si="16"/>
        <v>0</v>
      </c>
      <c r="D54" s="1167">
        <v>0.25</v>
      </c>
      <c r="E54" s="694"/>
      <c r="F54" s="691">
        <f t="shared" si="15"/>
        <v>0</v>
      </c>
      <c r="G54" s="3258"/>
      <c r="H54" s="1107">
        <f>项目基本情况!B37</f>
        <v>0</v>
      </c>
      <c r="I54" s="945">
        <f>SUMIF(修正!A45:A56,H54,修正!D45:D56)</f>
        <v>0</v>
      </c>
      <c r="J54" s="946"/>
      <c r="K54" s="1147"/>
      <c r="L54" s="944"/>
      <c r="M54" s="944"/>
      <c r="N54" s="944"/>
      <c r="O54" s="944"/>
    </row>
    <row r="55" spans="1:17" s="692" customFormat="1">
      <c r="A55" s="693" t="s">
        <v>2767</v>
      </c>
      <c r="B55" s="262">
        <f t="shared" si="17"/>
        <v>0</v>
      </c>
      <c r="C55" s="200">
        <f t="shared" si="16"/>
        <v>0</v>
      </c>
      <c r="D55" s="1167">
        <v>0.25</v>
      </c>
      <c r="E55" s="694"/>
      <c r="F55" s="691">
        <f t="shared" si="15"/>
        <v>0</v>
      </c>
      <c r="G55" s="3258"/>
      <c r="H55" s="1107">
        <f>项目基本情况!B37</f>
        <v>0</v>
      </c>
      <c r="I55" s="945">
        <f>SUMIF(修正!A45:A56,H55,修正!E45:E56)</f>
        <v>0</v>
      </c>
      <c r="J55" s="946"/>
      <c r="K55" s="1148"/>
      <c r="L55" s="944"/>
      <c r="M55" s="944"/>
      <c r="N55" s="944"/>
      <c r="O55" s="944"/>
    </row>
    <row r="56" spans="1:17" s="692" customFormat="1">
      <c r="A56" s="693" t="s">
        <v>2768</v>
      </c>
      <c r="B56" s="262">
        <f t="shared" si="17"/>
        <v>0</v>
      </c>
      <c r="C56" s="200">
        <f t="shared" si="16"/>
        <v>0</v>
      </c>
      <c r="D56" s="1167">
        <v>0.25</v>
      </c>
      <c r="E56" s="261">
        <f>'数据-汇总表'!E11</f>
        <v>0</v>
      </c>
      <c r="F56" s="691">
        <f t="shared" si="15"/>
        <v>0</v>
      </c>
      <c r="G56" s="2712" t="s">
        <v>2769</v>
      </c>
      <c r="H56" s="1107">
        <f>项目基本情况!C37</f>
        <v>0</v>
      </c>
      <c r="I56" s="945">
        <f>SUMIF(修正!A45:A56,H56,修正!F45:F56)</f>
        <v>0</v>
      </c>
      <c r="J56" s="946"/>
      <c r="K56" s="1147"/>
      <c r="L56" s="944"/>
      <c r="M56" s="944"/>
      <c r="N56" s="944"/>
      <c r="O56" s="944"/>
    </row>
    <row r="57" spans="1:17" s="692" customFormat="1">
      <c r="A57" s="693" t="s">
        <v>2770</v>
      </c>
      <c r="B57" s="262">
        <f t="shared" si="17"/>
        <v>0</v>
      </c>
      <c r="C57" s="200">
        <f t="shared" si="16"/>
        <v>0</v>
      </c>
      <c r="D57" s="1167">
        <v>0.25</v>
      </c>
      <c r="E57" s="261">
        <f>'数据-汇总表'!E12</f>
        <v>0</v>
      </c>
      <c r="F57" s="691">
        <f t="shared" si="15"/>
        <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f t="shared" si="17"/>
        <v>0</v>
      </c>
      <c r="C58" s="200">
        <f t="shared" si="16"/>
        <v>0</v>
      </c>
      <c r="D58" s="1167">
        <v>0.25</v>
      </c>
      <c r="E58" s="261">
        <f>'数据-汇总表'!E13</f>
        <v>0</v>
      </c>
      <c r="F58" s="691">
        <f t="shared" si="15"/>
        <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f t="shared" si="17"/>
        <v>0</v>
      </c>
      <c r="C59" s="200">
        <f t="shared" si="16"/>
        <v>0</v>
      </c>
      <c r="D59" s="1167">
        <v>0.25</v>
      </c>
      <c r="E59" s="261">
        <f>'数据-汇总表'!E14</f>
        <v>0</v>
      </c>
      <c r="F59" s="691">
        <f t="shared" si="15"/>
        <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f t="shared" si="17"/>
        <v>0</v>
      </c>
      <c r="C60" s="200">
        <f t="shared" si="16"/>
        <v>0</v>
      </c>
      <c r="D60" s="1167">
        <v>0.25</v>
      </c>
      <c r="E60" s="261">
        <f>'数据-汇总表'!E15</f>
        <v>0</v>
      </c>
      <c r="F60" s="691">
        <f t="shared" si="15"/>
        <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9161.2099999999991</v>
      </c>
      <c r="F61" s="697">
        <f>IF(B41="楼面地价",SUM(F51:F60),ROUND(C43*E61/10000,0))</f>
        <v>2627</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9" t="s">
        <v>2796</v>
      </c>
      <c r="B66" s="332" t="str">
        <f>"北京市平均增长率"&amp;TEXT(基准地价修正!P24,"0.00%")</f>
        <v>北京市平均增长率0.00%</v>
      </c>
      <c r="C66" s="603">
        <v>100</v>
      </c>
      <c r="D66" s="595">
        <v>99.5</v>
      </c>
      <c r="E66" s="595">
        <v>99</v>
      </c>
      <c r="F66" s="595">
        <v>98.5</v>
      </c>
      <c r="G66" s="595">
        <v>98</v>
      </c>
      <c r="H66" s="595">
        <v>97.5</v>
      </c>
      <c r="I66" s="595">
        <v>97</v>
      </c>
      <c r="J66" s="595">
        <v>96.5</v>
      </c>
      <c r="K66" s="595">
        <v>96</v>
      </c>
      <c r="L66" s="595">
        <v>95.5</v>
      </c>
      <c r="M66" s="1570">
        <v>95</v>
      </c>
      <c r="N66" s="1570">
        <v>94.5</v>
      </c>
      <c r="O66" s="1572">
        <v>94</v>
      </c>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2558</v>
      </c>
      <c r="B107" s="528" t="s">
        <v>2786</v>
      </c>
      <c r="C107" s="529" t="str">
        <f t="shared" ref="C107:L107" si="25">C108&amp;"(含)"&amp;"-"&amp;D108</f>
        <v>0(含)-10000</v>
      </c>
      <c r="D107" s="529" t="str">
        <f t="shared" si="25"/>
        <v>10000(含)-20000</v>
      </c>
      <c r="E107" s="529" t="str">
        <f t="shared" si="25"/>
        <v>20000(含)-30000</v>
      </c>
      <c r="F107" s="529" t="str">
        <f t="shared" si="25"/>
        <v>30000(含)-40000</v>
      </c>
      <c r="G107" s="529" t="str">
        <f t="shared" si="25"/>
        <v>40000(含)-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30000</v>
      </c>
      <c r="G108" s="595">
        <v>40000</v>
      </c>
      <c r="H108" s="595"/>
      <c r="I108" s="595"/>
      <c r="J108" s="596"/>
      <c r="K108" s="596"/>
      <c r="L108" s="597"/>
      <c r="M108" s="598"/>
      <c r="N108" s="1155"/>
      <c r="O108" s="1155"/>
      <c r="P108" s="45"/>
      <c r="Q108" s="504"/>
    </row>
    <row r="109" spans="1:17" ht="15.75" thickBot="1">
      <c r="A109" s="534"/>
      <c r="B109" s="543"/>
      <c r="C109" s="570">
        <v>96</v>
      </c>
      <c r="D109" s="591">
        <v>98</v>
      </c>
      <c r="E109" s="591">
        <v>100</v>
      </c>
      <c r="F109" s="591">
        <v>98</v>
      </c>
      <c r="G109" s="591">
        <v>96</v>
      </c>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disablePrompts="1"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2996</v>
      </c>
    </row>
    <row r="2" spans="1:5" ht="15.75">
      <c r="A2" s="2913" t="s">
        <v>2988</v>
      </c>
      <c r="B2" s="2914">
        <f ca="1">SUMIF(B6:B13,"&lt;&gt;#ref!",B6:B13)</f>
        <v>2818</v>
      </c>
      <c r="C2" s="2913" t="s">
        <v>2989</v>
      </c>
      <c r="D2" s="2913" t="s">
        <v>2990</v>
      </c>
      <c r="E2" s="2914">
        <f ca="1">SUMIF(E6:E13,"&lt;&gt;#ref!",E6:E13)</f>
        <v>19553.34</v>
      </c>
    </row>
    <row r="3" spans="1:5" ht="15.75">
      <c r="A3" s="2913" t="s">
        <v>2991</v>
      </c>
      <c r="B3" s="2914">
        <f ca="1">ROUND(B2*10000/E2,0)</f>
        <v>1441</v>
      </c>
      <c r="C3" s="2913" t="s">
        <v>2997</v>
      </c>
      <c r="D3" s="2915"/>
      <c r="E3" s="2915"/>
    </row>
    <row r="4" spans="1:5" ht="15.75">
      <c r="A4" s="2916"/>
      <c r="B4" s="2915"/>
      <c r="C4" s="2915"/>
      <c r="D4" s="2915"/>
      <c r="E4" s="2915"/>
    </row>
    <row r="5" spans="1:5" ht="28.5">
      <c r="A5" s="2917" t="s">
        <v>2992</v>
      </c>
      <c r="B5" s="2913" t="s">
        <v>2993</v>
      </c>
      <c r="C5" s="2914"/>
      <c r="D5" s="2915"/>
      <c r="E5" s="2913" t="s">
        <v>2994</v>
      </c>
    </row>
    <row r="6" spans="1:5" ht="15.75">
      <c r="A6" s="2918" t="s">
        <v>2995</v>
      </c>
      <c r="B6" s="2914">
        <f ca="1">SUMIF(INDIRECT("'"&amp;A6&amp;"'"&amp;"!A:A"),"总价",INDIRECT("'"&amp;A6&amp;"'"&amp;"!B:B"))</f>
        <v>2818</v>
      </c>
      <c r="C6" s="2913" t="s">
        <v>2989</v>
      </c>
      <c r="D6" s="2915"/>
      <c r="E6" s="2578">
        <f ca="1">SUMIF(INDIRECT("'"&amp;A6&amp;"'"&amp;"!C:C"),"建筑面积",INDIRECT("'"&amp;A6&amp;"'"&amp;"!D:D"))</f>
        <v>19553.34</v>
      </c>
    </row>
    <row r="7" spans="1:5" ht="15.75">
      <c r="A7" s="2918"/>
      <c r="B7" s="2914" t="e">
        <f ca="1">SUMIF(INDIRECT("'"&amp;A7&amp;"'"&amp;"!A:A"),"总价",INDIRECT("'"&amp;A7&amp;"'"&amp;"!B:B"))</f>
        <v>#REF!</v>
      </c>
      <c r="C7" s="2913" t="s">
        <v>2989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2989</v>
      </c>
      <c r="D8" s="2915"/>
      <c r="E8" s="2578" t="e">
        <f t="shared" ca="1" si="0"/>
        <v>#REF!</v>
      </c>
    </row>
    <row r="9" spans="1:5" ht="15.75">
      <c r="A9" s="2918"/>
      <c r="B9" s="2914" t="e">
        <f t="shared" ca="1" si="1"/>
        <v>#REF!</v>
      </c>
      <c r="C9" s="2913" t="s">
        <v>2989</v>
      </c>
      <c r="D9" s="2915"/>
      <c r="E9" s="2578" t="e">
        <f t="shared" ca="1" si="0"/>
        <v>#REF!</v>
      </c>
    </row>
    <row r="10" spans="1:5" ht="15.75">
      <c r="A10" s="2918"/>
      <c r="B10" s="2914" t="e">
        <f t="shared" ca="1" si="1"/>
        <v>#REF!</v>
      </c>
      <c r="C10" s="2913" t="s">
        <v>2989</v>
      </c>
      <c r="D10" s="2915"/>
      <c r="E10" s="2578" t="e">
        <f t="shared" ca="1" si="0"/>
        <v>#REF!</v>
      </c>
    </row>
    <row r="11" spans="1:5" ht="15.75">
      <c r="A11" s="2918"/>
      <c r="B11" s="2914" t="e">
        <f t="shared" ca="1" si="1"/>
        <v>#REF!</v>
      </c>
      <c r="C11" s="2913" t="s">
        <v>2989</v>
      </c>
      <c r="D11" s="2915"/>
      <c r="E11" s="2578" t="e">
        <f t="shared" ca="1" si="0"/>
        <v>#REF!</v>
      </c>
    </row>
    <row r="12" spans="1:5" ht="15.75">
      <c r="A12" s="2918"/>
      <c r="B12" s="2914" t="e">
        <f t="shared" ca="1" si="1"/>
        <v>#REF!</v>
      </c>
      <c r="C12" s="2913" t="s">
        <v>2989</v>
      </c>
      <c r="D12" s="2915"/>
      <c r="E12" s="2578" t="e">
        <f t="shared" ca="1" si="0"/>
        <v>#REF!</v>
      </c>
    </row>
    <row r="13" spans="1:5" ht="15.75">
      <c r="A13" s="2918"/>
      <c r="B13" s="2914" t="e">
        <f t="shared" ca="1" si="1"/>
        <v>#REF!</v>
      </c>
      <c r="C13" s="2913" t="s">
        <v>2989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N1" zoomScale="80" zoomScaleNormal="80" workbookViewId="0">
      <selection activeCell="AH5" sqref="AH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1146</v>
      </c>
      <c r="C1" s="3269"/>
      <c r="D1" s="3269"/>
      <c r="E1" s="3269"/>
      <c r="F1" s="3269"/>
      <c r="G1" s="3265" t="s">
        <v>1147</v>
      </c>
      <c r="H1" s="3265"/>
      <c r="I1" s="3265"/>
      <c r="J1" s="3265"/>
      <c r="K1" s="3265"/>
      <c r="L1" s="3265"/>
      <c r="N1" s="3265" t="s">
        <v>1148</v>
      </c>
      <c r="O1" s="3265"/>
      <c r="P1" s="3265"/>
      <c r="Q1" s="3265"/>
      <c r="R1" s="1449"/>
      <c r="S1" s="3265" t="s">
        <v>1149</v>
      </c>
      <c r="T1" s="3265"/>
      <c r="U1" s="3265"/>
      <c r="V1" s="3265"/>
      <c r="X1" s="3264" t="s">
        <v>1150</v>
      </c>
      <c r="Y1" s="3265"/>
      <c r="Z1" s="3265"/>
      <c r="AA1" s="3265"/>
      <c r="AB1" s="3265"/>
      <c r="AD1" s="3264" t="s">
        <v>1151</v>
      </c>
      <c r="AE1" s="3265"/>
      <c r="AF1" s="3265"/>
      <c r="AG1" s="3265"/>
      <c r="AH1" s="326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3027</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6">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7">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7">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8">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6">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7">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7">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75" t="s">
        <v>2999</v>
      </c>
      <c r="D1" s="3276"/>
      <c r="E1" s="3276"/>
      <c r="F1" s="3276"/>
      <c r="G1" s="3276"/>
      <c r="H1" s="3276"/>
      <c r="I1" s="3276"/>
      <c r="J1" s="3276"/>
      <c r="K1" s="3276"/>
      <c r="L1" s="3276"/>
      <c r="M1" s="3276"/>
      <c r="N1" s="3276"/>
      <c r="O1" s="3276"/>
      <c r="P1" s="3276"/>
      <c r="Q1" s="3276"/>
      <c r="R1" s="3276"/>
      <c r="S1" s="3277"/>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3008</v>
      </c>
      <c r="B17" s="2920"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2" t="s">
        <v>3012</v>
      </c>
      <c r="E20" s="1796"/>
      <c r="F20" s="1207" t="e">
        <f ca="1">SUMIF(INDIRECT("'"&amp;H20&amp;"'"&amp;"!A:A"),"承租人权益价值",INDIRECT("'"&amp;H20&amp;"'"&amp;"!c:c"))</f>
        <v>#REF!</v>
      </c>
      <c r="G20" s="1207" t="s">
        <v>3013</v>
      </c>
      <c r="H20" s="2923"/>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58" t="s">
        <v>33</v>
      </c>
      <c r="D22" s="3059"/>
      <c r="E22" s="3059"/>
      <c r="F22" s="3059"/>
      <c r="G22" s="3059"/>
      <c r="H22" s="3059"/>
      <c r="I22" s="3059"/>
      <c r="J22" s="3059"/>
      <c r="K22" s="3059"/>
      <c r="L22" s="3059"/>
      <c r="M22" s="3059"/>
      <c r="N22" s="3059"/>
      <c r="O22" s="3059"/>
      <c r="P22" s="3059"/>
      <c r="Q22" s="327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4"/>
      <c r="B4" s="2961" t="s">
        <v>1626</v>
      </c>
      <c r="C4" s="2961"/>
      <c r="D4" s="2961"/>
      <c r="E4" s="1964"/>
    </row>
    <row r="5" spans="1:5" ht="16.5" thickTop="1">
      <c r="A5" s="1962"/>
      <c r="B5" s="2959" t="s">
        <v>1618</v>
      </c>
      <c r="C5" s="1965" t="s">
        <v>1619</v>
      </c>
      <c r="D5" s="1043">
        <f ca="1">结果表!H101</f>
        <v>18435</v>
      </c>
      <c r="E5" s="1962"/>
    </row>
    <row r="6" spans="1:5" ht="15.75">
      <c r="A6" s="1962"/>
      <c r="B6" s="2959"/>
      <c r="C6" s="1965" t="s">
        <v>1620</v>
      </c>
      <c r="D6" s="1043" t="str">
        <f ca="1">NUMBERSTRING(INT(D5*10000),2)&amp;"元整"</f>
        <v>壹亿捌仟肆佰叁拾伍万元整</v>
      </c>
      <c r="E6" s="1962"/>
    </row>
    <row r="7" spans="1:5" ht="15.75">
      <c r="A7" s="1962"/>
      <c r="B7" s="2964"/>
      <c r="C7" s="1966" t="s">
        <v>1621</v>
      </c>
      <c r="D7" s="1044">
        <f ca="1">结果表!H102</f>
        <v>9428</v>
      </c>
      <c r="E7" s="1962"/>
    </row>
    <row r="8" spans="1:5" ht="15.75">
      <c r="A8" s="1962"/>
      <c r="B8" s="2965" t="str">
        <f>结果表!E103</f>
        <v>2.估价师知悉的法定优先受偿款</v>
      </c>
      <c r="C8" s="1967" t="s">
        <v>1622</v>
      </c>
      <c r="D8" s="1044">
        <f>结果表!H103</f>
        <v>0</v>
      </c>
      <c r="E8" s="1962"/>
    </row>
    <row r="9" spans="1:5" ht="15.75">
      <c r="A9" s="1962"/>
      <c r="B9" s="2967"/>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8" t="str">
        <f>结果表!E107</f>
        <v>3.房地产抵押价值</v>
      </c>
      <c r="C13" s="1970" t="s">
        <v>1619</v>
      </c>
      <c r="D13" s="1046">
        <f ca="1">结果表!H107</f>
        <v>18435</v>
      </c>
      <c r="E13" s="1962"/>
    </row>
    <row r="14" spans="1:5" ht="15.75">
      <c r="A14" s="1962"/>
      <c r="B14" s="2959"/>
      <c r="C14" s="1965" t="s">
        <v>1620</v>
      </c>
      <c r="D14" s="1043" t="str">
        <f ca="1">NUMBERSTRING(INT(D13*10000),2)&amp;"元整"</f>
        <v>壹亿捌仟肆佰叁拾伍万元整</v>
      </c>
      <c r="E14" s="1962"/>
    </row>
    <row r="15" spans="1:5" ht="15">
      <c r="A15" s="1962"/>
      <c r="B15" s="2964"/>
      <c r="C15" s="1966" t="s">
        <v>1630</v>
      </c>
      <c r="D15" s="1055">
        <f ca="1">结果表!H108</f>
        <v>9428</v>
      </c>
      <c r="E15" s="1962"/>
    </row>
    <row r="16" spans="1:5" ht="15">
      <c r="A16" s="1962"/>
      <c r="B16" s="2965" t="str">
        <f>结果表!E109</f>
        <v>——</v>
      </c>
      <c r="C16" s="1970" t="s">
        <v>1631</v>
      </c>
      <c r="D16" s="1971" t="str">
        <f>结果表!H109</f>
        <v>——</v>
      </c>
      <c r="E16" s="1962"/>
    </row>
    <row r="17" spans="1:5" ht="15.75">
      <c r="A17" s="1962"/>
      <c r="B17" s="2966"/>
      <c r="C17" s="1965" t="s">
        <v>1632</v>
      </c>
      <c r="D17" s="1043" t="e">
        <f>NUMBERSTRING(INT(D16*10000),2)&amp;"元整"</f>
        <v>#VALUE!</v>
      </c>
      <c r="E17" s="1962"/>
    </row>
    <row r="18" spans="1:5" ht="15">
      <c r="A18" s="1962"/>
      <c r="B18" s="2967"/>
      <c r="C18" s="1966" t="s">
        <v>1621</v>
      </c>
      <c r="D18" s="1055" t="str">
        <f>结果表!H110</f>
        <v>——</v>
      </c>
      <c r="E18" s="1962"/>
    </row>
    <row r="19" spans="1:5" ht="15.75">
      <c r="A19" s="1962"/>
      <c r="B19" s="2958" t="str">
        <f>结果表!E111</f>
        <v>——</v>
      </c>
      <c r="C19" s="1970" t="s">
        <v>1619</v>
      </c>
      <c r="D19" s="1044" t="str">
        <f>结果表!H111</f>
        <v>——</v>
      </c>
      <c r="E19" s="1962"/>
    </row>
    <row r="20" spans="1:5" ht="15.75">
      <c r="A20" s="1962"/>
      <c r="B20" s="2959"/>
      <c r="C20" s="1965" t="s">
        <v>1632</v>
      </c>
      <c r="D20" s="1043" t="e">
        <f>NUMBERSTRING(INT(D19*10000),2)&amp;"元整"</f>
        <v>#VALUE!</v>
      </c>
      <c r="E20" s="1962"/>
    </row>
    <row r="21" spans="1:5" ht="15.75" thickBot="1">
      <c r="A21" s="1962"/>
      <c r="B21" s="2960"/>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36508</v>
      </c>
      <c r="C2" s="2" t="s">
        <v>133</v>
      </c>
      <c r="D2" s="243"/>
      <c r="E2" s="243"/>
      <c r="F2" s="243"/>
      <c r="G2" s="243"/>
    </row>
    <row r="3" spans="1:7" s="244" customFormat="1" ht="18" customHeight="1" thickBot="1">
      <c r="A3" s="247" t="s">
        <v>85</v>
      </c>
      <c r="B3" s="248">
        <f ca="1">ROUND(B2*10000/'数据-汇总表'!E3,0)</f>
        <v>18671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19553.34</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391</v>
      </c>
      <c r="D19" s="1039">
        <f>'数据-汇总表'!E3</f>
        <v>19553.34</v>
      </c>
      <c r="E19" s="255">
        <f>'数据-取费表'!B31</f>
        <v>200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38</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3213</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3213</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28934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6023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5389</v>
      </c>
      <c r="D34" s="261"/>
      <c r="E34" s="264"/>
      <c r="F34" s="301">
        <f>IF('数据-取费表'!B24=0,1,'数据-取费表'!N16)</f>
        <v>1</v>
      </c>
      <c r="G34" s="263" t="s">
        <v>116</v>
      </c>
    </row>
    <row r="35" spans="1:7" ht="13.5" customHeight="1">
      <c r="A35" s="954" t="s">
        <v>796</v>
      </c>
      <c r="B35" s="259" t="s">
        <v>60</v>
      </c>
      <c r="C35" s="264">
        <f>ROUND(C34*F35,0)</f>
        <v>162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391</v>
      </c>
      <c r="D37" s="261">
        <f>'数据-汇总表'!E3</f>
        <v>19553.34</v>
      </c>
      <c r="E37" s="293">
        <f>'数据-取费表'!B35</f>
        <v>200</v>
      </c>
      <c r="F37" s="303"/>
      <c r="G37" s="305" t="s">
        <v>119</v>
      </c>
    </row>
    <row r="38" spans="1:7" ht="13.5" customHeight="1">
      <c r="A38" s="954" t="s">
        <v>799</v>
      </c>
      <c r="B38" s="259" t="s">
        <v>63</v>
      </c>
      <c r="C38" s="264">
        <f>ROUND(C34*F38,0)</f>
        <v>81</v>
      </c>
      <c r="D38" s="264"/>
      <c r="E38" s="264"/>
      <c r="F38" s="303">
        <f>'数据-取费表'!B36</f>
        <v>1.4999999999999999E-2</v>
      </c>
      <c r="G38" s="263" t="s">
        <v>117</v>
      </c>
    </row>
    <row r="39" spans="1:7" s="258" customFormat="1" ht="13.5" customHeight="1">
      <c r="A39" s="951" t="s">
        <v>783</v>
      </c>
      <c r="B39" s="254" t="s">
        <v>104</v>
      </c>
      <c r="C39" s="276">
        <f>ROUND(C33*F20,0)</f>
        <v>120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286</v>
      </c>
      <c r="D42" s="282"/>
      <c r="E42" s="282"/>
      <c r="F42" s="283"/>
      <c r="G42" s="3143" t="s">
        <v>121</v>
      </c>
    </row>
    <row r="43" spans="1:7" ht="13.5" customHeight="1">
      <c r="A43" s="954" t="s">
        <v>792</v>
      </c>
      <c r="B43" s="259" t="s">
        <v>1061</v>
      </c>
      <c r="C43" s="282">
        <f ca="1">ROUND(IF('数据-取费表'!B22&lt;=1,C39*F22*'数据-取费表'!B21/2,C39*(POWER((1+F22),'数据-取费表'!B21/2)-1)),0)</f>
        <v>6</v>
      </c>
      <c r="D43" s="282"/>
      <c r="E43" s="282"/>
      <c r="F43" s="283"/>
      <c r="G43" s="3144"/>
    </row>
    <row r="44" spans="1:7" ht="13.5" customHeight="1">
      <c r="A44" s="954" t="s">
        <v>793</v>
      </c>
      <c r="B44" s="259" t="s">
        <v>1063</v>
      </c>
      <c r="C44" s="282">
        <f ca="1">ROUND(IF('数据-取费表'!B22&lt;=1,C40*F22*'数据-取费表'!B21/2,C40*(POWER((1+F22),'数据-取费表'!B21/2)-1)),4)</f>
        <v>1E-3</v>
      </c>
      <c r="D44" s="282"/>
      <c r="E44" s="282"/>
      <c r="F44" s="283"/>
      <c r="G44" s="3145"/>
    </row>
    <row r="45" spans="1:7" s="258" customFormat="1" ht="13.5" customHeight="1">
      <c r="A45" s="951" t="s">
        <v>786</v>
      </c>
      <c r="B45" s="288" t="s">
        <v>112</v>
      </c>
      <c r="C45" s="289">
        <f>C46</f>
        <v>921</v>
      </c>
      <c r="D45" s="279">
        <f>C47</f>
        <v>3.0000000000000001E-3</v>
      </c>
      <c r="E45" s="280" t="s">
        <v>129</v>
      </c>
      <c r="F45" s="290"/>
      <c r="G45" s="291" t="s">
        <v>1069</v>
      </c>
    </row>
    <row r="46" spans="1:7" s="258" customFormat="1" ht="13.5" customHeight="1">
      <c r="A46" s="954" t="s">
        <v>794</v>
      </c>
      <c r="B46" s="292" t="s">
        <v>1062</v>
      </c>
      <c r="C46" s="293">
        <f>ROUND((C33+C39)*F27,0)</f>
        <v>921</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7973</v>
      </c>
      <c r="D49" s="276"/>
      <c r="E49" s="276"/>
      <c r="F49" s="308"/>
      <c r="G49" s="278" t="s">
        <v>1070</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7574</v>
      </c>
      <c r="D51" s="276"/>
      <c r="E51" s="276"/>
      <c r="F51" s="308"/>
      <c r="G51" s="278" t="s">
        <v>64</v>
      </c>
    </row>
    <row r="52" spans="1:7" s="252" customFormat="1" ht="16.5" thickBot="1">
      <c r="A52" s="309" t="s">
        <v>65</v>
      </c>
      <c r="B52" s="310"/>
      <c r="C52" s="311">
        <f ca="1">C31+C51</f>
        <v>36508</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43473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
  <sheetViews>
    <sheetView workbookViewId="0">
      <selection activeCell="N28" sqref="N28"/>
    </sheetView>
  </sheetViews>
  <sheetFormatPr defaultRowHeight="13.5"/>
  <cols>
    <col min="1" max="1" width="10.5" customWidth="1"/>
    <col min="3" max="3" width="9.5" bestFit="1" customWidth="1"/>
  </cols>
  <sheetData>
    <row r="2" spans="1:6">
      <c r="B2">
        <f>'数据-基础表'!I13</f>
        <v>15452.4</v>
      </c>
      <c r="C2">
        <f>ROUND((E7*B7+E8*B8)/B2,0)</f>
        <v>2824</v>
      </c>
      <c r="D2">
        <f>C2*B2</f>
        <v>43637577.600000001</v>
      </c>
    </row>
    <row r="3" spans="1:6">
      <c r="B3">
        <f>'数据-基础表'!I14</f>
        <v>4100.9399999999996</v>
      </c>
      <c r="C3">
        <v>2500</v>
      </c>
      <c r="D3">
        <f>C3*B3</f>
        <v>10252349.999999998</v>
      </c>
    </row>
    <row r="4" spans="1:6">
      <c r="B4">
        <f>SUM(B2:B3)</f>
        <v>19553.34</v>
      </c>
      <c r="C4">
        <f>ROUND(D4/B4,0)</f>
        <v>2756</v>
      </c>
      <c r="D4">
        <f>SUM(D2:D3)</f>
        <v>53889927.600000001</v>
      </c>
    </row>
    <row r="7" spans="1:6">
      <c r="A7" s="2955" t="s">
        <v>3195</v>
      </c>
      <c r="B7">
        <v>5000</v>
      </c>
      <c r="C7">
        <v>3.2</v>
      </c>
      <c r="D7">
        <f>C7*B7</f>
        <v>16000</v>
      </c>
      <c r="E7">
        <v>3500</v>
      </c>
      <c r="F7" s="2956">
        <v>0.2</v>
      </c>
    </row>
    <row r="8" spans="1:6">
      <c r="A8" s="2955" t="s">
        <v>3197</v>
      </c>
      <c r="B8">
        <f>B2-B7</f>
        <v>10452.4</v>
      </c>
      <c r="C8">
        <v>2</v>
      </c>
      <c r="D8">
        <f t="shared" ref="D8:D9" si="0">C8*B8</f>
        <v>20904.8</v>
      </c>
      <c r="E8">
        <v>2500</v>
      </c>
      <c r="F8" s="2956">
        <v>0.15</v>
      </c>
    </row>
    <row r="9" spans="1:6">
      <c r="A9" s="2955" t="s">
        <v>3196</v>
      </c>
      <c r="B9">
        <f>B3</f>
        <v>4100.9399999999996</v>
      </c>
      <c r="C9">
        <v>2</v>
      </c>
      <c r="D9">
        <f t="shared" si="0"/>
        <v>8201.8799999999992</v>
      </c>
      <c r="F9" s="2956">
        <v>0.1</v>
      </c>
    </row>
    <row r="10" spans="1:6">
      <c r="B10">
        <f>SUM(B7:B9)</f>
        <v>19553.34</v>
      </c>
      <c r="C10">
        <f>ROUND(D10/B10,1)</f>
        <v>2.2999999999999998</v>
      </c>
      <c r="D10">
        <f>SUM(D7:D9)</f>
        <v>45106.68</v>
      </c>
      <c r="F10">
        <f>ROUND((F7*B7+F8*B8+F9*B9)/B10,2)</f>
        <v>0.15</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B1" workbookViewId="0">
      <selection activeCell="N5" sqref="N5"/>
    </sheetView>
  </sheetViews>
  <sheetFormatPr defaultRowHeight="13.5"/>
  <cols>
    <col min="1" max="1" width="44.625" style="1638" customWidth="1"/>
    <col min="2" max="2" width="7.125" style="1638" bestFit="1" customWidth="1"/>
    <col min="3" max="3" width="7.875" style="1638" customWidth="1"/>
    <col min="4" max="5" width="13.875" style="1638" customWidth="1"/>
    <col min="6" max="6" width="6.25" style="1638" customWidth="1"/>
    <col min="7" max="7" width="7.875" style="1638" customWidth="1"/>
    <col min="8" max="8" width="12.625" style="1638" customWidth="1"/>
    <col min="9" max="10" width="10.625" style="1638" customWidth="1"/>
    <col min="11" max="11" width="14.375" style="1638" customWidth="1"/>
    <col min="12" max="12" width="6.25" style="1638" customWidth="1"/>
    <col min="13" max="13" width="26.125" style="1638" customWidth="1"/>
    <col min="14" max="255" width="9" style="1638"/>
    <col min="256" max="256" width="44.75" style="1638" customWidth="1"/>
    <col min="257" max="257" width="0" style="1638" hidden="1" customWidth="1"/>
    <col min="258" max="258" width="7.875" style="1638" customWidth="1"/>
    <col min="259" max="260" width="13.875" style="1638" customWidth="1"/>
    <col min="261" max="261" width="6.25" style="1638" customWidth="1"/>
    <col min="262" max="262" width="7.875" style="1638" customWidth="1"/>
    <col min="263" max="263" width="9" style="1638" customWidth="1"/>
    <col min="264" max="265" width="10.625" style="1638" customWidth="1"/>
    <col min="266" max="266" width="14.375" style="1638" customWidth="1"/>
    <col min="267" max="267" width="6.25" style="1638" customWidth="1"/>
    <col min="268" max="268" width="26.125" style="1638" customWidth="1"/>
    <col min="269" max="269" width="7.875" style="1638" customWidth="1"/>
    <col min="270" max="511" width="9" style="1638"/>
    <col min="512" max="512" width="44.75" style="1638" customWidth="1"/>
    <col min="513" max="513" width="0" style="1638" hidden="1" customWidth="1"/>
    <col min="514" max="514" width="7.875" style="1638" customWidth="1"/>
    <col min="515" max="516" width="13.875" style="1638" customWidth="1"/>
    <col min="517" max="517" width="6.25" style="1638" customWidth="1"/>
    <col min="518" max="518" width="7.875" style="1638" customWidth="1"/>
    <col min="519" max="519" width="9" style="1638" customWidth="1"/>
    <col min="520" max="521" width="10.625" style="1638" customWidth="1"/>
    <col min="522" max="522" width="14.375" style="1638" customWidth="1"/>
    <col min="523" max="523" width="6.25" style="1638" customWidth="1"/>
    <col min="524" max="524" width="26.125" style="1638" customWidth="1"/>
    <col min="525" max="525" width="7.875" style="1638" customWidth="1"/>
    <col min="526" max="767" width="9" style="1638"/>
    <col min="768" max="768" width="44.75" style="1638" customWidth="1"/>
    <col min="769" max="769" width="0" style="1638" hidden="1" customWidth="1"/>
    <col min="770" max="770" width="7.875" style="1638" customWidth="1"/>
    <col min="771" max="772" width="13.875" style="1638" customWidth="1"/>
    <col min="773" max="773" width="6.25" style="1638" customWidth="1"/>
    <col min="774" max="774" width="7.875" style="1638" customWidth="1"/>
    <col min="775" max="775" width="9" style="1638" customWidth="1"/>
    <col min="776" max="777" width="10.625" style="1638" customWidth="1"/>
    <col min="778" max="778" width="14.375" style="1638" customWidth="1"/>
    <col min="779" max="779" width="6.25" style="1638" customWidth="1"/>
    <col min="780" max="780" width="26.125" style="1638" customWidth="1"/>
    <col min="781" max="781" width="7.875" style="1638" customWidth="1"/>
    <col min="782" max="1023" width="9" style="1638"/>
    <col min="1024" max="1024" width="44.75" style="1638" customWidth="1"/>
    <col min="1025" max="1025" width="0" style="1638" hidden="1" customWidth="1"/>
    <col min="1026" max="1026" width="7.875" style="1638" customWidth="1"/>
    <col min="1027" max="1028" width="13.875" style="1638" customWidth="1"/>
    <col min="1029" max="1029" width="6.25" style="1638" customWidth="1"/>
    <col min="1030" max="1030" width="7.875" style="1638" customWidth="1"/>
    <col min="1031" max="1031" width="9" style="1638" customWidth="1"/>
    <col min="1032" max="1033" width="10.625" style="1638" customWidth="1"/>
    <col min="1034" max="1034" width="14.375" style="1638" customWidth="1"/>
    <col min="1035" max="1035" width="6.25" style="1638" customWidth="1"/>
    <col min="1036" max="1036" width="26.125" style="1638" customWidth="1"/>
    <col min="1037" max="1037" width="7.875" style="1638" customWidth="1"/>
    <col min="1038" max="1279" width="9" style="1638"/>
    <col min="1280" max="1280" width="44.75" style="1638" customWidth="1"/>
    <col min="1281" max="1281" width="0" style="1638" hidden="1" customWidth="1"/>
    <col min="1282" max="1282" width="7.875" style="1638" customWidth="1"/>
    <col min="1283" max="1284" width="13.875" style="1638" customWidth="1"/>
    <col min="1285" max="1285" width="6.25" style="1638" customWidth="1"/>
    <col min="1286" max="1286" width="7.875" style="1638" customWidth="1"/>
    <col min="1287" max="1287" width="9" style="1638" customWidth="1"/>
    <col min="1288" max="1289" width="10.625" style="1638" customWidth="1"/>
    <col min="1290" max="1290" width="14.375" style="1638" customWidth="1"/>
    <col min="1291" max="1291" width="6.25" style="1638" customWidth="1"/>
    <col min="1292" max="1292" width="26.125" style="1638" customWidth="1"/>
    <col min="1293" max="1293" width="7.875" style="1638" customWidth="1"/>
    <col min="1294" max="1535" width="9" style="1638"/>
    <col min="1536" max="1536" width="44.75" style="1638" customWidth="1"/>
    <col min="1537" max="1537" width="0" style="1638" hidden="1" customWidth="1"/>
    <col min="1538" max="1538" width="7.875" style="1638" customWidth="1"/>
    <col min="1539" max="1540" width="13.875" style="1638" customWidth="1"/>
    <col min="1541" max="1541" width="6.25" style="1638" customWidth="1"/>
    <col min="1542" max="1542" width="7.875" style="1638" customWidth="1"/>
    <col min="1543" max="1543" width="9" style="1638" customWidth="1"/>
    <col min="1544" max="1545" width="10.625" style="1638" customWidth="1"/>
    <col min="1546" max="1546" width="14.375" style="1638" customWidth="1"/>
    <col min="1547" max="1547" width="6.25" style="1638" customWidth="1"/>
    <col min="1548" max="1548" width="26.125" style="1638" customWidth="1"/>
    <col min="1549" max="1549" width="7.875" style="1638" customWidth="1"/>
    <col min="1550" max="1791" width="9" style="1638"/>
    <col min="1792" max="1792" width="44.75" style="1638" customWidth="1"/>
    <col min="1793" max="1793" width="0" style="1638" hidden="1" customWidth="1"/>
    <col min="1794" max="1794" width="7.875" style="1638" customWidth="1"/>
    <col min="1795" max="1796" width="13.875" style="1638" customWidth="1"/>
    <col min="1797" max="1797" width="6.25" style="1638" customWidth="1"/>
    <col min="1798" max="1798" width="7.875" style="1638" customWidth="1"/>
    <col min="1799" max="1799" width="9" style="1638" customWidth="1"/>
    <col min="1800" max="1801" width="10.625" style="1638" customWidth="1"/>
    <col min="1802" max="1802" width="14.375" style="1638" customWidth="1"/>
    <col min="1803" max="1803" width="6.25" style="1638" customWidth="1"/>
    <col min="1804" max="1804" width="26.125" style="1638" customWidth="1"/>
    <col min="1805" max="1805" width="7.875" style="1638" customWidth="1"/>
    <col min="1806" max="2047" width="9" style="1638"/>
    <col min="2048" max="2048" width="44.75" style="1638" customWidth="1"/>
    <col min="2049" max="2049" width="0" style="1638" hidden="1" customWidth="1"/>
    <col min="2050" max="2050" width="7.875" style="1638" customWidth="1"/>
    <col min="2051" max="2052" width="13.875" style="1638" customWidth="1"/>
    <col min="2053" max="2053" width="6.25" style="1638" customWidth="1"/>
    <col min="2054" max="2054" width="7.875" style="1638" customWidth="1"/>
    <col min="2055" max="2055" width="9" style="1638" customWidth="1"/>
    <col min="2056" max="2057" width="10.625" style="1638" customWidth="1"/>
    <col min="2058" max="2058" width="14.375" style="1638" customWidth="1"/>
    <col min="2059" max="2059" width="6.25" style="1638" customWidth="1"/>
    <col min="2060" max="2060" width="26.125" style="1638" customWidth="1"/>
    <col min="2061" max="2061" width="7.875" style="1638" customWidth="1"/>
    <col min="2062" max="2303" width="9" style="1638"/>
    <col min="2304" max="2304" width="44.75" style="1638" customWidth="1"/>
    <col min="2305" max="2305" width="0" style="1638" hidden="1" customWidth="1"/>
    <col min="2306" max="2306" width="7.875" style="1638" customWidth="1"/>
    <col min="2307" max="2308" width="13.875" style="1638" customWidth="1"/>
    <col min="2309" max="2309" width="6.25" style="1638" customWidth="1"/>
    <col min="2310" max="2310" width="7.875" style="1638" customWidth="1"/>
    <col min="2311" max="2311" width="9" style="1638" customWidth="1"/>
    <col min="2312" max="2313" width="10.625" style="1638" customWidth="1"/>
    <col min="2314" max="2314" width="14.375" style="1638" customWidth="1"/>
    <col min="2315" max="2315" width="6.25" style="1638" customWidth="1"/>
    <col min="2316" max="2316" width="26.125" style="1638" customWidth="1"/>
    <col min="2317" max="2317" width="7.875" style="1638" customWidth="1"/>
    <col min="2318" max="2559" width="9" style="1638"/>
    <col min="2560" max="2560" width="44.75" style="1638" customWidth="1"/>
    <col min="2561" max="2561" width="0" style="1638" hidden="1" customWidth="1"/>
    <col min="2562" max="2562" width="7.875" style="1638" customWidth="1"/>
    <col min="2563" max="2564" width="13.875" style="1638" customWidth="1"/>
    <col min="2565" max="2565" width="6.25" style="1638" customWidth="1"/>
    <col min="2566" max="2566" width="7.875" style="1638" customWidth="1"/>
    <col min="2567" max="2567" width="9" style="1638" customWidth="1"/>
    <col min="2568" max="2569" width="10.625" style="1638" customWidth="1"/>
    <col min="2570" max="2570" width="14.375" style="1638" customWidth="1"/>
    <col min="2571" max="2571" width="6.25" style="1638" customWidth="1"/>
    <col min="2572" max="2572" width="26.125" style="1638" customWidth="1"/>
    <col min="2573" max="2573" width="7.875" style="1638" customWidth="1"/>
    <col min="2574" max="2815" width="9" style="1638"/>
    <col min="2816" max="2816" width="44.75" style="1638" customWidth="1"/>
    <col min="2817" max="2817" width="0" style="1638" hidden="1" customWidth="1"/>
    <col min="2818" max="2818" width="7.875" style="1638" customWidth="1"/>
    <col min="2819" max="2820" width="13.875" style="1638" customWidth="1"/>
    <col min="2821" max="2821" width="6.25" style="1638" customWidth="1"/>
    <col min="2822" max="2822" width="7.875" style="1638" customWidth="1"/>
    <col min="2823" max="2823" width="9" style="1638" customWidth="1"/>
    <col min="2824" max="2825" width="10.625" style="1638" customWidth="1"/>
    <col min="2826" max="2826" width="14.375" style="1638" customWidth="1"/>
    <col min="2827" max="2827" width="6.25" style="1638" customWidth="1"/>
    <col min="2828" max="2828" width="26.125" style="1638" customWidth="1"/>
    <col min="2829" max="2829" width="7.875" style="1638" customWidth="1"/>
    <col min="2830" max="3071" width="9" style="1638"/>
    <col min="3072" max="3072" width="44.75" style="1638" customWidth="1"/>
    <col min="3073" max="3073" width="0" style="1638" hidden="1" customWidth="1"/>
    <col min="3074" max="3074" width="7.875" style="1638" customWidth="1"/>
    <col min="3075" max="3076" width="13.875" style="1638" customWidth="1"/>
    <col min="3077" max="3077" width="6.25" style="1638" customWidth="1"/>
    <col min="3078" max="3078" width="7.875" style="1638" customWidth="1"/>
    <col min="3079" max="3079" width="9" style="1638" customWidth="1"/>
    <col min="3080" max="3081" width="10.625" style="1638" customWidth="1"/>
    <col min="3082" max="3082" width="14.375" style="1638" customWidth="1"/>
    <col min="3083" max="3083" width="6.25" style="1638" customWidth="1"/>
    <col min="3084" max="3084" width="26.125" style="1638" customWidth="1"/>
    <col min="3085" max="3085" width="7.875" style="1638" customWidth="1"/>
    <col min="3086" max="3327" width="9" style="1638"/>
    <col min="3328" max="3328" width="44.75" style="1638" customWidth="1"/>
    <col min="3329" max="3329" width="0" style="1638" hidden="1" customWidth="1"/>
    <col min="3330" max="3330" width="7.875" style="1638" customWidth="1"/>
    <col min="3331" max="3332" width="13.875" style="1638" customWidth="1"/>
    <col min="3333" max="3333" width="6.25" style="1638" customWidth="1"/>
    <col min="3334" max="3334" width="7.875" style="1638" customWidth="1"/>
    <col min="3335" max="3335" width="9" style="1638" customWidth="1"/>
    <col min="3336" max="3337" width="10.625" style="1638" customWidth="1"/>
    <col min="3338" max="3338" width="14.375" style="1638" customWidth="1"/>
    <col min="3339" max="3339" width="6.25" style="1638" customWidth="1"/>
    <col min="3340" max="3340" width="26.125" style="1638" customWidth="1"/>
    <col min="3341" max="3341" width="7.875" style="1638" customWidth="1"/>
    <col min="3342" max="3583" width="9" style="1638"/>
    <col min="3584" max="3584" width="44.75" style="1638" customWidth="1"/>
    <col min="3585" max="3585" width="0" style="1638" hidden="1" customWidth="1"/>
    <col min="3586" max="3586" width="7.875" style="1638" customWidth="1"/>
    <col min="3587" max="3588" width="13.875" style="1638" customWidth="1"/>
    <col min="3589" max="3589" width="6.25" style="1638" customWidth="1"/>
    <col min="3590" max="3590" width="7.875" style="1638" customWidth="1"/>
    <col min="3591" max="3591" width="9" style="1638" customWidth="1"/>
    <col min="3592" max="3593" width="10.625" style="1638" customWidth="1"/>
    <col min="3594" max="3594" width="14.375" style="1638" customWidth="1"/>
    <col min="3595" max="3595" width="6.25" style="1638" customWidth="1"/>
    <col min="3596" max="3596" width="26.125" style="1638" customWidth="1"/>
    <col min="3597" max="3597" width="7.875" style="1638" customWidth="1"/>
    <col min="3598" max="3839" width="9" style="1638"/>
    <col min="3840" max="3840" width="44.75" style="1638" customWidth="1"/>
    <col min="3841" max="3841" width="0" style="1638" hidden="1" customWidth="1"/>
    <col min="3842" max="3842" width="7.875" style="1638" customWidth="1"/>
    <col min="3843" max="3844" width="13.875" style="1638" customWidth="1"/>
    <col min="3845" max="3845" width="6.25" style="1638" customWidth="1"/>
    <col min="3846" max="3846" width="7.875" style="1638" customWidth="1"/>
    <col min="3847" max="3847" width="9" style="1638" customWidth="1"/>
    <col min="3848" max="3849" width="10.625" style="1638" customWidth="1"/>
    <col min="3850" max="3850" width="14.375" style="1638" customWidth="1"/>
    <col min="3851" max="3851" width="6.25" style="1638" customWidth="1"/>
    <col min="3852" max="3852" width="26.125" style="1638" customWidth="1"/>
    <col min="3853" max="3853" width="7.875" style="1638" customWidth="1"/>
    <col min="3854" max="4095" width="9" style="1638"/>
    <col min="4096" max="4096" width="44.75" style="1638" customWidth="1"/>
    <col min="4097" max="4097" width="0" style="1638" hidden="1" customWidth="1"/>
    <col min="4098" max="4098" width="7.875" style="1638" customWidth="1"/>
    <col min="4099" max="4100" width="13.875" style="1638" customWidth="1"/>
    <col min="4101" max="4101" width="6.25" style="1638" customWidth="1"/>
    <col min="4102" max="4102" width="7.875" style="1638" customWidth="1"/>
    <col min="4103" max="4103" width="9" style="1638" customWidth="1"/>
    <col min="4104" max="4105" width="10.625" style="1638" customWidth="1"/>
    <col min="4106" max="4106" width="14.375" style="1638" customWidth="1"/>
    <col min="4107" max="4107" width="6.25" style="1638" customWidth="1"/>
    <col min="4108" max="4108" width="26.125" style="1638" customWidth="1"/>
    <col min="4109" max="4109" width="7.875" style="1638" customWidth="1"/>
    <col min="4110" max="4351" width="9" style="1638"/>
    <col min="4352" max="4352" width="44.75" style="1638" customWidth="1"/>
    <col min="4353" max="4353" width="0" style="1638" hidden="1" customWidth="1"/>
    <col min="4354" max="4354" width="7.875" style="1638" customWidth="1"/>
    <col min="4355" max="4356" width="13.875" style="1638" customWidth="1"/>
    <col min="4357" max="4357" width="6.25" style="1638" customWidth="1"/>
    <col min="4358" max="4358" width="7.875" style="1638" customWidth="1"/>
    <col min="4359" max="4359" width="9" style="1638" customWidth="1"/>
    <col min="4360" max="4361" width="10.625" style="1638" customWidth="1"/>
    <col min="4362" max="4362" width="14.375" style="1638" customWidth="1"/>
    <col min="4363" max="4363" width="6.25" style="1638" customWidth="1"/>
    <col min="4364" max="4364" width="26.125" style="1638" customWidth="1"/>
    <col min="4365" max="4365" width="7.875" style="1638" customWidth="1"/>
    <col min="4366" max="4607" width="9" style="1638"/>
    <col min="4608" max="4608" width="44.75" style="1638" customWidth="1"/>
    <col min="4609" max="4609" width="0" style="1638" hidden="1" customWidth="1"/>
    <col min="4610" max="4610" width="7.875" style="1638" customWidth="1"/>
    <col min="4611" max="4612" width="13.875" style="1638" customWidth="1"/>
    <col min="4613" max="4613" width="6.25" style="1638" customWidth="1"/>
    <col min="4614" max="4614" width="7.875" style="1638" customWidth="1"/>
    <col min="4615" max="4615" width="9" style="1638" customWidth="1"/>
    <col min="4616" max="4617" width="10.625" style="1638" customWidth="1"/>
    <col min="4618" max="4618" width="14.375" style="1638" customWidth="1"/>
    <col min="4619" max="4619" width="6.25" style="1638" customWidth="1"/>
    <col min="4620" max="4620" width="26.125" style="1638" customWidth="1"/>
    <col min="4621" max="4621" width="7.875" style="1638" customWidth="1"/>
    <col min="4622" max="4863" width="9" style="1638"/>
    <col min="4864" max="4864" width="44.75" style="1638" customWidth="1"/>
    <col min="4865" max="4865" width="0" style="1638" hidden="1" customWidth="1"/>
    <col min="4866" max="4866" width="7.875" style="1638" customWidth="1"/>
    <col min="4867" max="4868" width="13.875" style="1638" customWidth="1"/>
    <col min="4869" max="4869" width="6.25" style="1638" customWidth="1"/>
    <col min="4870" max="4870" width="7.875" style="1638" customWidth="1"/>
    <col min="4871" max="4871" width="9" style="1638" customWidth="1"/>
    <col min="4872" max="4873" width="10.625" style="1638" customWidth="1"/>
    <col min="4874" max="4874" width="14.375" style="1638" customWidth="1"/>
    <col min="4875" max="4875" width="6.25" style="1638" customWidth="1"/>
    <col min="4876" max="4876" width="26.125" style="1638" customWidth="1"/>
    <col min="4877" max="4877" width="7.875" style="1638" customWidth="1"/>
    <col min="4878" max="5119" width="9" style="1638"/>
    <col min="5120" max="5120" width="44.75" style="1638" customWidth="1"/>
    <col min="5121" max="5121" width="0" style="1638" hidden="1" customWidth="1"/>
    <col min="5122" max="5122" width="7.875" style="1638" customWidth="1"/>
    <col min="5123" max="5124" width="13.875" style="1638" customWidth="1"/>
    <col min="5125" max="5125" width="6.25" style="1638" customWidth="1"/>
    <col min="5126" max="5126" width="7.875" style="1638" customWidth="1"/>
    <col min="5127" max="5127" width="9" style="1638" customWidth="1"/>
    <col min="5128" max="5129" width="10.625" style="1638" customWidth="1"/>
    <col min="5130" max="5130" width="14.375" style="1638" customWidth="1"/>
    <col min="5131" max="5131" width="6.25" style="1638" customWidth="1"/>
    <col min="5132" max="5132" width="26.125" style="1638" customWidth="1"/>
    <col min="5133" max="5133" width="7.875" style="1638" customWidth="1"/>
    <col min="5134" max="5375" width="9" style="1638"/>
    <col min="5376" max="5376" width="44.75" style="1638" customWidth="1"/>
    <col min="5377" max="5377" width="0" style="1638" hidden="1" customWidth="1"/>
    <col min="5378" max="5378" width="7.875" style="1638" customWidth="1"/>
    <col min="5379" max="5380" width="13.875" style="1638" customWidth="1"/>
    <col min="5381" max="5381" width="6.25" style="1638" customWidth="1"/>
    <col min="5382" max="5382" width="7.875" style="1638" customWidth="1"/>
    <col min="5383" max="5383" width="9" style="1638" customWidth="1"/>
    <col min="5384" max="5385" width="10.625" style="1638" customWidth="1"/>
    <col min="5386" max="5386" width="14.375" style="1638" customWidth="1"/>
    <col min="5387" max="5387" width="6.25" style="1638" customWidth="1"/>
    <col min="5388" max="5388" width="26.125" style="1638" customWidth="1"/>
    <col min="5389" max="5389" width="7.875" style="1638" customWidth="1"/>
    <col min="5390" max="5631" width="9" style="1638"/>
    <col min="5632" max="5632" width="44.75" style="1638" customWidth="1"/>
    <col min="5633" max="5633" width="0" style="1638" hidden="1" customWidth="1"/>
    <col min="5634" max="5634" width="7.875" style="1638" customWidth="1"/>
    <col min="5635" max="5636" width="13.875" style="1638" customWidth="1"/>
    <col min="5637" max="5637" width="6.25" style="1638" customWidth="1"/>
    <col min="5638" max="5638" width="7.875" style="1638" customWidth="1"/>
    <col min="5639" max="5639" width="9" style="1638" customWidth="1"/>
    <col min="5640" max="5641" width="10.625" style="1638" customWidth="1"/>
    <col min="5642" max="5642" width="14.375" style="1638" customWidth="1"/>
    <col min="5643" max="5643" width="6.25" style="1638" customWidth="1"/>
    <col min="5644" max="5644" width="26.125" style="1638" customWidth="1"/>
    <col min="5645" max="5645" width="7.875" style="1638" customWidth="1"/>
    <col min="5646" max="5887" width="9" style="1638"/>
    <col min="5888" max="5888" width="44.75" style="1638" customWidth="1"/>
    <col min="5889" max="5889" width="0" style="1638" hidden="1" customWidth="1"/>
    <col min="5890" max="5890" width="7.875" style="1638" customWidth="1"/>
    <col min="5891" max="5892" width="13.875" style="1638" customWidth="1"/>
    <col min="5893" max="5893" width="6.25" style="1638" customWidth="1"/>
    <col min="5894" max="5894" width="7.875" style="1638" customWidth="1"/>
    <col min="5895" max="5895" width="9" style="1638" customWidth="1"/>
    <col min="5896" max="5897" width="10.625" style="1638" customWidth="1"/>
    <col min="5898" max="5898" width="14.375" style="1638" customWidth="1"/>
    <col min="5899" max="5899" width="6.25" style="1638" customWidth="1"/>
    <col min="5900" max="5900" width="26.125" style="1638" customWidth="1"/>
    <col min="5901" max="5901" width="7.875" style="1638" customWidth="1"/>
    <col min="5902" max="6143" width="9" style="1638"/>
    <col min="6144" max="6144" width="44.75" style="1638" customWidth="1"/>
    <col min="6145" max="6145" width="0" style="1638" hidden="1" customWidth="1"/>
    <col min="6146" max="6146" width="7.875" style="1638" customWidth="1"/>
    <col min="6147" max="6148" width="13.875" style="1638" customWidth="1"/>
    <col min="6149" max="6149" width="6.25" style="1638" customWidth="1"/>
    <col min="6150" max="6150" width="7.875" style="1638" customWidth="1"/>
    <col min="6151" max="6151" width="9" style="1638" customWidth="1"/>
    <col min="6152" max="6153" width="10.625" style="1638" customWidth="1"/>
    <col min="6154" max="6154" width="14.375" style="1638" customWidth="1"/>
    <col min="6155" max="6155" width="6.25" style="1638" customWidth="1"/>
    <col min="6156" max="6156" width="26.125" style="1638" customWidth="1"/>
    <col min="6157" max="6157" width="7.875" style="1638" customWidth="1"/>
    <col min="6158" max="6399" width="9" style="1638"/>
    <col min="6400" max="6400" width="44.75" style="1638" customWidth="1"/>
    <col min="6401" max="6401" width="0" style="1638" hidden="1" customWidth="1"/>
    <col min="6402" max="6402" width="7.875" style="1638" customWidth="1"/>
    <col min="6403" max="6404" width="13.875" style="1638" customWidth="1"/>
    <col min="6405" max="6405" width="6.25" style="1638" customWidth="1"/>
    <col min="6406" max="6406" width="7.875" style="1638" customWidth="1"/>
    <col min="6407" max="6407" width="9" style="1638" customWidth="1"/>
    <col min="6408" max="6409" width="10.625" style="1638" customWidth="1"/>
    <col min="6410" max="6410" width="14.375" style="1638" customWidth="1"/>
    <col min="6411" max="6411" width="6.25" style="1638" customWidth="1"/>
    <col min="6412" max="6412" width="26.125" style="1638" customWidth="1"/>
    <col min="6413" max="6413" width="7.875" style="1638" customWidth="1"/>
    <col min="6414" max="6655" width="9" style="1638"/>
    <col min="6656" max="6656" width="44.75" style="1638" customWidth="1"/>
    <col min="6657" max="6657" width="0" style="1638" hidden="1" customWidth="1"/>
    <col min="6658" max="6658" width="7.875" style="1638" customWidth="1"/>
    <col min="6659" max="6660" width="13.875" style="1638" customWidth="1"/>
    <col min="6661" max="6661" width="6.25" style="1638" customWidth="1"/>
    <col min="6662" max="6662" width="7.875" style="1638" customWidth="1"/>
    <col min="6663" max="6663" width="9" style="1638" customWidth="1"/>
    <col min="6664" max="6665" width="10.625" style="1638" customWidth="1"/>
    <col min="6666" max="6666" width="14.375" style="1638" customWidth="1"/>
    <col min="6667" max="6667" width="6.25" style="1638" customWidth="1"/>
    <col min="6668" max="6668" width="26.125" style="1638" customWidth="1"/>
    <col min="6669" max="6669" width="7.875" style="1638" customWidth="1"/>
    <col min="6670" max="6911" width="9" style="1638"/>
    <col min="6912" max="6912" width="44.75" style="1638" customWidth="1"/>
    <col min="6913" max="6913" width="0" style="1638" hidden="1" customWidth="1"/>
    <col min="6914" max="6914" width="7.875" style="1638" customWidth="1"/>
    <col min="6915" max="6916" width="13.875" style="1638" customWidth="1"/>
    <col min="6917" max="6917" width="6.25" style="1638" customWidth="1"/>
    <col min="6918" max="6918" width="7.875" style="1638" customWidth="1"/>
    <col min="6919" max="6919" width="9" style="1638" customWidth="1"/>
    <col min="6920" max="6921" width="10.625" style="1638" customWidth="1"/>
    <col min="6922" max="6922" width="14.375" style="1638" customWidth="1"/>
    <col min="6923" max="6923" width="6.25" style="1638" customWidth="1"/>
    <col min="6924" max="6924" width="26.125" style="1638" customWidth="1"/>
    <col min="6925" max="6925" width="7.875" style="1638" customWidth="1"/>
    <col min="6926" max="7167" width="9" style="1638"/>
    <col min="7168" max="7168" width="44.75" style="1638" customWidth="1"/>
    <col min="7169" max="7169" width="0" style="1638" hidden="1" customWidth="1"/>
    <col min="7170" max="7170" width="7.875" style="1638" customWidth="1"/>
    <col min="7171" max="7172" width="13.875" style="1638" customWidth="1"/>
    <col min="7173" max="7173" width="6.25" style="1638" customWidth="1"/>
    <col min="7174" max="7174" width="7.875" style="1638" customWidth="1"/>
    <col min="7175" max="7175" width="9" style="1638" customWidth="1"/>
    <col min="7176" max="7177" width="10.625" style="1638" customWidth="1"/>
    <col min="7178" max="7178" width="14.375" style="1638" customWidth="1"/>
    <col min="7179" max="7179" width="6.25" style="1638" customWidth="1"/>
    <col min="7180" max="7180" width="26.125" style="1638" customWidth="1"/>
    <col min="7181" max="7181" width="7.875" style="1638" customWidth="1"/>
    <col min="7182" max="7423" width="9" style="1638"/>
    <col min="7424" max="7424" width="44.75" style="1638" customWidth="1"/>
    <col min="7425" max="7425" width="0" style="1638" hidden="1" customWidth="1"/>
    <col min="7426" max="7426" width="7.875" style="1638" customWidth="1"/>
    <col min="7427" max="7428" width="13.875" style="1638" customWidth="1"/>
    <col min="7429" max="7429" width="6.25" style="1638" customWidth="1"/>
    <col min="7430" max="7430" width="7.875" style="1638" customWidth="1"/>
    <col min="7431" max="7431" width="9" style="1638" customWidth="1"/>
    <col min="7432" max="7433" width="10.625" style="1638" customWidth="1"/>
    <col min="7434" max="7434" width="14.375" style="1638" customWidth="1"/>
    <col min="7435" max="7435" width="6.25" style="1638" customWidth="1"/>
    <col min="7436" max="7436" width="26.125" style="1638" customWidth="1"/>
    <col min="7437" max="7437" width="7.875" style="1638" customWidth="1"/>
    <col min="7438" max="7679" width="9" style="1638"/>
    <col min="7680" max="7680" width="44.75" style="1638" customWidth="1"/>
    <col min="7681" max="7681" width="0" style="1638" hidden="1" customWidth="1"/>
    <col min="7682" max="7682" width="7.875" style="1638" customWidth="1"/>
    <col min="7683" max="7684" width="13.875" style="1638" customWidth="1"/>
    <col min="7685" max="7685" width="6.25" style="1638" customWidth="1"/>
    <col min="7686" max="7686" width="7.875" style="1638" customWidth="1"/>
    <col min="7687" max="7687" width="9" style="1638" customWidth="1"/>
    <col min="7688" max="7689" width="10.625" style="1638" customWidth="1"/>
    <col min="7690" max="7690" width="14.375" style="1638" customWidth="1"/>
    <col min="7691" max="7691" width="6.25" style="1638" customWidth="1"/>
    <col min="7692" max="7692" width="26.125" style="1638" customWidth="1"/>
    <col min="7693" max="7693" width="7.875" style="1638" customWidth="1"/>
    <col min="7694" max="7935" width="9" style="1638"/>
    <col min="7936" max="7936" width="44.75" style="1638" customWidth="1"/>
    <col min="7937" max="7937" width="0" style="1638" hidden="1" customWidth="1"/>
    <col min="7938" max="7938" width="7.875" style="1638" customWidth="1"/>
    <col min="7939" max="7940" width="13.875" style="1638" customWidth="1"/>
    <col min="7941" max="7941" width="6.25" style="1638" customWidth="1"/>
    <col min="7942" max="7942" width="7.875" style="1638" customWidth="1"/>
    <col min="7943" max="7943" width="9" style="1638" customWidth="1"/>
    <col min="7944" max="7945" width="10.625" style="1638" customWidth="1"/>
    <col min="7946" max="7946" width="14.375" style="1638" customWidth="1"/>
    <col min="7947" max="7947" width="6.25" style="1638" customWidth="1"/>
    <col min="7948" max="7948" width="26.125" style="1638" customWidth="1"/>
    <col min="7949" max="7949" width="7.875" style="1638" customWidth="1"/>
    <col min="7950" max="8191" width="9" style="1638"/>
    <col min="8192" max="8192" width="44.75" style="1638" customWidth="1"/>
    <col min="8193" max="8193" width="0" style="1638" hidden="1" customWidth="1"/>
    <col min="8194" max="8194" width="7.875" style="1638" customWidth="1"/>
    <col min="8195" max="8196" width="13.875" style="1638" customWidth="1"/>
    <col min="8197" max="8197" width="6.25" style="1638" customWidth="1"/>
    <col min="8198" max="8198" width="7.875" style="1638" customWidth="1"/>
    <col min="8199" max="8199" width="9" style="1638" customWidth="1"/>
    <col min="8200" max="8201" width="10.625" style="1638" customWidth="1"/>
    <col min="8202" max="8202" width="14.375" style="1638" customWidth="1"/>
    <col min="8203" max="8203" width="6.25" style="1638" customWidth="1"/>
    <col min="8204" max="8204" width="26.125" style="1638" customWidth="1"/>
    <col min="8205" max="8205" width="7.875" style="1638" customWidth="1"/>
    <col min="8206" max="8447" width="9" style="1638"/>
    <col min="8448" max="8448" width="44.75" style="1638" customWidth="1"/>
    <col min="8449" max="8449" width="0" style="1638" hidden="1" customWidth="1"/>
    <col min="8450" max="8450" width="7.875" style="1638" customWidth="1"/>
    <col min="8451" max="8452" width="13.875" style="1638" customWidth="1"/>
    <col min="8453" max="8453" width="6.25" style="1638" customWidth="1"/>
    <col min="8454" max="8454" width="7.875" style="1638" customWidth="1"/>
    <col min="8455" max="8455" width="9" style="1638" customWidth="1"/>
    <col min="8456" max="8457" width="10.625" style="1638" customWidth="1"/>
    <col min="8458" max="8458" width="14.375" style="1638" customWidth="1"/>
    <col min="8459" max="8459" width="6.25" style="1638" customWidth="1"/>
    <col min="8460" max="8460" width="26.125" style="1638" customWidth="1"/>
    <col min="8461" max="8461" width="7.875" style="1638" customWidth="1"/>
    <col min="8462" max="8703" width="9" style="1638"/>
    <col min="8704" max="8704" width="44.75" style="1638" customWidth="1"/>
    <col min="8705" max="8705" width="0" style="1638" hidden="1" customWidth="1"/>
    <col min="8706" max="8706" width="7.875" style="1638" customWidth="1"/>
    <col min="8707" max="8708" width="13.875" style="1638" customWidth="1"/>
    <col min="8709" max="8709" width="6.25" style="1638" customWidth="1"/>
    <col min="8710" max="8710" width="7.875" style="1638" customWidth="1"/>
    <col min="8711" max="8711" width="9" style="1638" customWidth="1"/>
    <col min="8712" max="8713" width="10.625" style="1638" customWidth="1"/>
    <col min="8714" max="8714" width="14.375" style="1638" customWidth="1"/>
    <col min="8715" max="8715" width="6.25" style="1638" customWidth="1"/>
    <col min="8716" max="8716" width="26.125" style="1638" customWidth="1"/>
    <col min="8717" max="8717" width="7.875" style="1638" customWidth="1"/>
    <col min="8718" max="8959" width="9" style="1638"/>
    <col min="8960" max="8960" width="44.75" style="1638" customWidth="1"/>
    <col min="8961" max="8961" width="0" style="1638" hidden="1" customWidth="1"/>
    <col min="8962" max="8962" width="7.875" style="1638" customWidth="1"/>
    <col min="8963" max="8964" width="13.875" style="1638" customWidth="1"/>
    <col min="8965" max="8965" width="6.25" style="1638" customWidth="1"/>
    <col min="8966" max="8966" width="7.875" style="1638" customWidth="1"/>
    <col min="8967" max="8967" width="9" style="1638" customWidth="1"/>
    <col min="8968" max="8969" width="10.625" style="1638" customWidth="1"/>
    <col min="8970" max="8970" width="14.375" style="1638" customWidth="1"/>
    <col min="8971" max="8971" width="6.25" style="1638" customWidth="1"/>
    <col min="8972" max="8972" width="26.125" style="1638" customWidth="1"/>
    <col min="8973" max="8973" width="7.875" style="1638" customWidth="1"/>
    <col min="8974" max="9215" width="9" style="1638"/>
    <col min="9216" max="9216" width="44.75" style="1638" customWidth="1"/>
    <col min="9217" max="9217" width="0" style="1638" hidden="1" customWidth="1"/>
    <col min="9218" max="9218" width="7.875" style="1638" customWidth="1"/>
    <col min="9219" max="9220" width="13.875" style="1638" customWidth="1"/>
    <col min="9221" max="9221" width="6.25" style="1638" customWidth="1"/>
    <col min="9222" max="9222" width="7.875" style="1638" customWidth="1"/>
    <col min="9223" max="9223" width="9" style="1638" customWidth="1"/>
    <col min="9224" max="9225" width="10.625" style="1638" customWidth="1"/>
    <col min="9226" max="9226" width="14.375" style="1638" customWidth="1"/>
    <col min="9227" max="9227" width="6.25" style="1638" customWidth="1"/>
    <col min="9228" max="9228" width="26.125" style="1638" customWidth="1"/>
    <col min="9229" max="9229" width="7.875" style="1638" customWidth="1"/>
    <col min="9230" max="9471" width="9" style="1638"/>
    <col min="9472" max="9472" width="44.75" style="1638" customWidth="1"/>
    <col min="9473" max="9473" width="0" style="1638" hidden="1" customWidth="1"/>
    <col min="9474" max="9474" width="7.875" style="1638" customWidth="1"/>
    <col min="9475" max="9476" width="13.875" style="1638" customWidth="1"/>
    <col min="9477" max="9477" width="6.25" style="1638" customWidth="1"/>
    <col min="9478" max="9478" width="7.875" style="1638" customWidth="1"/>
    <col min="9479" max="9479" width="9" style="1638" customWidth="1"/>
    <col min="9480" max="9481" width="10.625" style="1638" customWidth="1"/>
    <col min="9482" max="9482" width="14.375" style="1638" customWidth="1"/>
    <col min="9483" max="9483" width="6.25" style="1638" customWidth="1"/>
    <col min="9484" max="9484" width="26.125" style="1638" customWidth="1"/>
    <col min="9485" max="9485" width="7.875" style="1638" customWidth="1"/>
    <col min="9486" max="9727" width="9" style="1638"/>
    <col min="9728" max="9728" width="44.75" style="1638" customWidth="1"/>
    <col min="9729" max="9729" width="0" style="1638" hidden="1" customWidth="1"/>
    <col min="9730" max="9730" width="7.875" style="1638" customWidth="1"/>
    <col min="9731" max="9732" width="13.875" style="1638" customWidth="1"/>
    <col min="9733" max="9733" width="6.25" style="1638" customWidth="1"/>
    <col min="9734" max="9734" width="7.875" style="1638" customWidth="1"/>
    <col min="9735" max="9735" width="9" style="1638" customWidth="1"/>
    <col min="9736" max="9737" width="10.625" style="1638" customWidth="1"/>
    <col min="9738" max="9738" width="14.375" style="1638" customWidth="1"/>
    <col min="9739" max="9739" width="6.25" style="1638" customWidth="1"/>
    <col min="9740" max="9740" width="26.125" style="1638" customWidth="1"/>
    <col min="9741" max="9741" width="7.875" style="1638" customWidth="1"/>
    <col min="9742" max="9983" width="9" style="1638"/>
    <col min="9984" max="9984" width="44.75" style="1638" customWidth="1"/>
    <col min="9985" max="9985" width="0" style="1638" hidden="1" customWidth="1"/>
    <col min="9986" max="9986" width="7.875" style="1638" customWidth="1"/>
    <col min="9987" max="9988" width="13.875" style="1638" customWidth="1"/>
    <col min="9989" max="9989" width="6.25" style="1638" customWidth="1"/>
    <col min="9990" max="9990" width="7.875" style="1638" customWidth="1"/>
    <col min="9991" max="9991" width="9" style="1638" customWidth="1"/>
    <col min="9992" max="9993" width="10.625" style="1638" customWidth="1"/>
    <col min="9994" max="9994" width="14.375" style="1638" customWidth="1"/>
    <col min="9995" max="9995" width="6.25" style="1638" customWidth="1"/>
    <col min="9996" max="9996" width="26.125" style="1638" customWidth="1"/>
    <col min="9997" max="9997" width="7.875" style="1638" customWidth="1"/>
    <col min="9998" max="10239" width="9" style="1638"/>
    <col min="10240" max="10240" width="44.75" style="1638" customWidth="1"/>
    <col min="10241" max="10241" width="0" style="1638" hidden="1" customWidth="1"/>
    <col min="10242" max="10242" width="7.875" style="1638" customWidth="1"/>
    <col min="10243" max="10244" width="13.875" style="1638" customWidth="1"/>
    <col min="10245" max="10245" width="6.25" style="1638" customWidth="1"/>
    <col min="10246" max="10246" width="7.875" style="1638" customWidth="1"/>
    <col min="10247" max="10247" width="9" style="1638" customWidth="1"/>
    <col min="10248" max="10249" width="10.625" style="1638" customWidth="1"/>
    <col min="10250" max="10250" width="14.375" style="1638" customWidth="1"/>
    <col min="10251" max="10251" width="6.25" style="1638" customWidth="1"/>
    <col min="10252" max="10252" width="26.125" style="1638" customWidth="1"/>
    <col min="10253" max="10253" width="7.875" style="1638" customWidth="1"/>
    <col min="10254" max="10495" width="9" style="1638"/>
    <col min="10496" max="10496" width="44.75" style="1638" customWidth="1"/>
    <col min="10497" max="10497" width="0" style="1638" hidden="1" customWidth="1"/>
    <col min="10498" max="10498" width="7.875" style="1638" customWidth="1"/>
    <col min="10499" max="10500" width="13.875" style="1638" customWidth="1"/>
    <col min="10501" max="10501" width="6.25" style="1638" customWidth="1"/>
    <col min="10502" max="10502" width="7.875" style="1638" customWidth="1"/>
    <col min="10503" max="10503" width="9" style="1638" customWidth="1"/>
    <col min="10504" max="10505" width="10.625" style="1638" customWidth="1"/>
    <col min="10506" max="10506" width="14.375" style="1638" customWidth="1"/>
    <col min="10507" max="10507" width="6.25" style="1638" customWidth="1"/>
    <col min="10508" max="10508" width="26.125" style="1638" customWidth="1"/>
    <col min="10509" max="10509" width="7.875" style="1638" customWidth="1"/>
    <col min="10510" max="10751" width="9" style="1638"/>
    <col min="10752" max="10752" width="44.75" style="1638" customWidth="1"/>
    <col min="10753" max="10753" width="0" style="1638" hidden="1" customWidth="1"/>
    <col min="10754" max="10754" width="7.875" style="1638" customWidth="1"/>
    <col min="10755" max="10756" width="13.875" style="1638" customWidth="1"/>
    <col min="10757" max="10757" width="6.25" style="1638" customWidth="1"/>
    <col min="10758" max="10758" width="7.875" style="1638" customWidth="1"/>
    <col min="10759" max="10759" width="9" style="1638" customWidth="1"/>
    <col min="10760" max="10761" width="10.625" style="1638" customWidth="1"/>
    <col min="10762" max="10762" width="14.375" style="1638" customWidth="1"/>
    <col min="10763" max="10763" width="6.25" style="1638" customWidth="1"/>
    <col min="10764" max="10764" width="26.125" style="1638" customWidth="1"/>
    <col min="10765" max="10765" width="7.875" style="1638" customWidth="1"/>
    <col min="10766" max="11007" width="9" style="1638"/>
    <col min="11008" max="11008" width="44.75" style="1638" customWidth="1"/>
    <col min="11009" max="11009" width="0" style="1638" hidden="1" customWidth="1"/>
    <col min="11010" max="11010" width="7.875" style="1638" customWidth="1"/>
    <col min="11011" max="11012" width="13.875" style="1638" customWidth="1"/>
    <col min="11013" max="11013" width="6.25" style="1638" customWidth="1"/>
    <col min="11014" max="11014" width="7.875" style="1638" customWidth="1"/>
    <col min="11015" max="11015" width="9" style="1638" customWidth="1"/>
    <col min="11016" max="11017" width="10.625" style="1638" customWidth="1"/>
    <col min="11018" max="11018" width="14.375" style="1638" customWidth="1"/>
    <col min="11019" max="11019" width="6.25" style="1638" customWidth="1"/>
    <col min="11020" max="11020" width="26.125" style="1638" customWidth="1"/>
    <col min="11021" max="11021" width="7.875" style="1638" customWidth="1"/>
    <col min="11022" max="11263" width="9" style="1638"/>
    <col min="11264" max="11264" width="44.75" style="1638" customWidth="1"/>
    <col min="11265" max="11265" width="0" style="1638" hidden="1" customWidth="1"/>
    <col min="11266" max="11266" width="7.875" style="1638" customWidth="1"/>
    <col min="11267" max="11268" width="13.875" style="1638" customWidth="1"/>
    <col min="11269" max="11269" width="6.25" style="1638" customWidth="1"/>
    <col min="11270" max="11270" width="7.875" style="1638" customWidth="1"/>
    <col min="11271" max="11271" width="9" style="1638" customWidth="1"/>
    <col min="11272" max="11273" width="10.625" style="1638" customWidth="1"/>
    <col min="11274" max="11274" width="14.375" style="1638" customWidth="1"/>
    <col min="11275" max="11275" width="6.25" style="1638" customWidth="1"/>
    <col min="11276" max="11276" width="26.125" style="1638" customWidth="1"/>
    <col min="11277" max="11277" width="7.875" style="1638" customWidth="1"/>
    <col min="11278" max="11519" width="9" style="1638"/>
    <col min="11520" max="11520" width="44.75" style="1638" customWidth="1"/>
    <col min="11521" max="11521" width="0" style="1638" hidden="1" customWidth="1"/>
    <col min="11522" max="11522" width="7.875" style="1638" customWidth="1"/>
    <col min="11523" max="11524" width="13.875" style="1638" customWidth="1"/>
    <col min="11525" max="11525" width="6.25" style="1638" customWidth="1"/>
    <col min="11526" max="11526" width="7.875" style="1638" customWidth="1"/>
    <col min="11527" max="11527" width="9" style="1638" customWidth="1"/>
    <col min="11528" max="11529" width="10.625" style="1638" customWidth="1"/>
    <col min="11530" max="11530" width="14.375" style="1638" customWidth="1"/>
    <col min="11531" max="11531" width="6.25" style="1638" customWidth="1"/>
    <col min="11532" max="11532" width="26.125" style="1638" customWidth="1"/>
    <col min="11533" max="11533" width="7.875" style="1638" customWidth="1"/>
    <col min="11534" max="11775" width="9" style="1638"/>
    <col min="11776" max="11776" width="44.75" style="1638" customWidth="1"/>
    <col min="11777" max="11777" width="0" style="1638" hidden="1" customWidth="1"/>
    <col min="11778" max="11778" width="7.875" style="1638" customWidth="1"/>
    <col min="11779" max="11780" width="13.875" style="1638" customWidth="1"/>
    <col min="11781" max="11781" width="6.25" style="1638" customWidth="1"/>
    <col min="11782" max="11782" width="7.875" style="1638" customWidth="1"/>
    <col min="11783" max="11783" width="9" style="1638" customWidth="1"/>
    <col min="11784" max="11785" width="10.625" style="1638" customWidth="1"/>
    <col min="11786" max="11786" width="14.375" style="1638" customWidth="1"/>
    <col min="11787" max="11787" width="6.25" style="1638" customWidth="1"/>
    <col min="11788" max="11788" width="26.125" style="1638" customWidth="1"/>
    <col min="11789" max="11789" width="7.875" style="1638" customWidth="1"/>
    <col min="11790" max="12031" width="9" style="1638"/>
    <col min="12032" max="12032" width="44.75" style="1638" customWidth="1"/>
    <col min="12033" max="12033" width="0" style="1638" hidden="1" customWidth="1"/>
    <col min="12034" max="12034" width="7.875" style="1638" customWidth="1"/>
    <col min="12035" max="12036" width="13.875" style="1638" customWidth="1"/>
    <col min="12037" max="12037" width="6.25" style="1638" customWidth="1"/>
    <col min="12038" max="12038" width="7.875" style="1638" customWidth="1"/>
    <col min="12039" max="12039" width="9" style="1638" customWidth="1"/>
    <col min="12040" max="12041" width="10.625" style="1638" customWidth="1"/>
    <col min="12042" max="12042" width="14.375" style="1638" customWidth="1"/>
    <col min="12043" max="12043" width="6.25" style="1638" customWidth="1"/>
    <col min="12044" max="12044" width="26.125" style="1638" customWidth="1"/>
    <col min="12045" max="12045" width="7.875" style="1638" customWidth="1"/>
    <col min="12046" max="12287" width="9" style="1638"/>
    <col min="12288" max="12288" width="44.75" style="1638" customWidth="1"/>
    <col min="12289" max="12289" width="0" style="1638" hidden="1" customWidth="1"/>
    <col min="12290" max="12290" width="7.875" style="1638" customWidth="1"/>
    <col min="12291" max="12292" width="13.875" style="1638" customWidth="1"/>
    <col min="12293" max="12293" width="6.25" style="1638" customWidth="1"/>
    <col min="12294" max="12294" width="7.875" style="1638" customWidth="1"/>
    <col min="12295" max="12295" width="9" style="1638" customWidth="1"/>
    <col min="12296" max="12297" width="10.625" style="1638" customWidth="1"/>
    <col min="12298" max="12298" width="14.375" style="1638" customWidth="1"/>
    <col min="12299" max="12299" width="6.25" style="1638" customWidth="1"/>
    <col min="12300" max="12300" width="26.125" style="1638" customWidth="1"/>
    <col min="12301" max="12301" width="7.875" style="1638" customWidth="1"/>
    <col min="12302" max="12543" width="9" style="1638"/>
    <col min="12544" max="12544" width="44.75" style="1638" customWidth="1"/>
    <col min="12545" max="12545" width="0" style="1638" hidden="1" customWidth="1"/>
    <col min="12546" max="12546" width="7.875" style="1638" customWidth="1"/>
    <col min="12547" max="12548" width="13.875" style="1638" customWidth="1"/>
    <col min="12549" max="12549" width="6.25" style="1638" customWidth="1"/>
    <col min="12550" max="12550" width="7.875" style="1638" customWidth="1"/>
    <col min="12551" max="12551" width="9" style="1638" customWidth="1"/>
    <col min="12552" max="12553" width="10.625" style="1638" customWidth="1"/>
    <col min="12554" max="12554" width="14.375" style="1638" customWidth="1"/>
    <col min="12555" max="12555" width="6.25" style="1638" customWidth="1"/>
    <col min="12556" max="12556" width="26.125" style="1638" customWidth="1"/>
    <col min="12557" max="12557" width="7.875" style="1638" customWidth="1"/>
    <col min="12558" max="12799" width="9" style="1638"/>
    <col min="12800" max="12800" width="44.75" style="1638" customWidth="1"/>
    <col min="12801" max="12801" width="0" style="1638" hidden="1" customWidth="1"/>
    <col min="12802" max="12802" width="7.875" style="1638" customWidth="1"/>
    <col min="12803" max="12804" width="13.875" style="1638" customWidth="1"/>
    <col min="12805" max="12805" width="6.25" style="1638" customWidth="1"/>
    <col min="12806" max="12806" width="7.875" style="1638" customWidth="1"/>
    <col min="12807" max="12807" width="9" style="1638" customWidth="1"/>
    <col min="12808" max="12809" width="10.625" style="1638" customWidth="1"/>
    <col min="12810" max="12810" width="14.375" style="1638" customWidth="1"/>
    <col min="12811" max="12811" width="6.25" style="1638" customWidth="1"/>
    <col min="12812" max="12812" width="26.125" style="1638" customWidth="1"/>
    <col min="12813" max="12813" width="7.875" style="1638" customWidth="1"/>
    <col min="12814" max="13055" width="9" style="1638"/>
    <col min="13056" max="13056" width="44.75" style="1638" customWidth="1"/>
    <col min="13057" max="13057" width="0" style="1638" hidden="1" customWidth="1"/>
    <col min="13058" max="13058" width="7.875" style="1638" customWidth="1"/>
    <col min="13059" max="13060" width="13.875" style="1638" customWidth="1"/>
    <col min="13061" max="13061" width="6.25" style="1638" customWidth="1"/>
    <col min="13062" max="13062" width="7.875" style="1638" customWidth="1"/>
    <col min="13063" max="13063" width="9" style="1638" customWidth="1"/>
    <col min="13064" max="13065" width="10.625" style="1638" customWidth="1"/>
    <col min="13066" max="13066" width="14.375" style="1638" customWidth="1"/>
    <col min="13067" max="13067" width="6.25" style="1638" customWidth="1"/>
    <col min="13068" max="13068" width="26.125" style="1638" customWidth="1"/>
    <col min="13069" max="13069" width="7.875" style="1638" customWidth="1"/>
    <col min="13070" max="13311" width="9" style="1638"/>
    <col min="13312" max="13312" width="44.75" style="1638" customWidth="1"/>
    <col min="13313" max="13313" width="0" style="1638" hidden="1" customWidth="1"/>
    <col min="13314" max="13314" width="7.875" style="1638" customWidth="1"/>
    <col min="13315" max="13316" width="13.875" style="1638" customWidth="1"/>
    <col min="13317" max="13317" width="6.25" style="1638" customWidth="1"/>
    <col min="13318" max="13318" width="7.875" style="1638" customWidth="1"/>
    <col min="13319" max="13319" width="9" style="1638" customWidth="1"/>
    <col min="13320" max="13321" width="10.625" style="1638" customWidth="1"/>
    <col min="13322" max="13322" width="14.375" style="1638" customWidth="1"/>
    <col min="13323" max="13323" width="6.25" style="1638" customWidth="1"/>
    <col min="13324" max="13324" width="26.125" style="1638" customWidth="1"/>
    <col min="13325" max="13325" width="7.875" style="1638" customWidth="1"/>
    <col min="13326" max="13567" width="9" style="1638"/>
    <col min="13568" max="13568" width="44.75" style="1638" customWidth="1"/>
    <col min="13569" max="13569" width="0" style="1638" hidden="1" customWidth="1"/>
    <col min="13570" max="13570" width="7.875" style="1638" customWidth="1"/>
    <col min="13571" max="13572" width="13.875" style="1638" customWidth="1"/>
    <col min="13573" max="13573" width="6.25" style="1638" customWidth="1"/>
    <col min="13574" max="13574" width="7.875" style="1638" customWidth="1"/>
    <col min="13575" max="13575" width="9" style="1638" customWidth="1"/>
    <col min="13576" max="13577" width="10.625" style="1638" customWidth="1"/>
    <col min="13578" max="13578" width="14.375" style="1638" customWidth="1"/>
    <col min="13579" max="13579" width="6.25" style="1638" customWidth="1"/>
    <col min="13580" max="13580" width="26.125" style="1638" customWidth="1"/>
    <col min="13581" max="13581" width="7.875" style="1638" customWidth="1"/>
    <col min="13582" max="13823" width="9" style="1638"/>
    <col min="13824" max="13824" width="44.75" style="1638" customWidth="1"/>
    <col min="13825" max="13825" width="0" style="1638" hidden="1" customWidth="1"/>
    <col min="13826" max="13826" width="7.875" style="1638" customWidth="1"/>
    <col min="13827" max="13828" width="13.875" style="1638" customWidth="1"/>
    <col min="13829" max="13829" width="6.25" style="1638" customWidth="1"/>
    <col min="13830" max="13830" width="7.875" style="1638" customWidth="1"/>
    <col min="13831" max="13831" width="9" style="1638" customWidth="1"/>
    <col min="13832" max="13833" width="10.625" style="1638" customWidth="1"/>
    <col min="13834" max="13834" width="14.375" style="1638" customWidth="1"/>
    <col min="13835" max="13835" width="6.25" style="1638" customWidth="1"/>
    <col min="13836" max="13836" width="26.125" style="1638" customWidth="1"/>
    <col min="13837" max="13837" width="7.875" style="1638" customWidth="1"/>
    <col min="13838" max="14079" width="9" style="1638"/>
    <col min="14080" max="14080" width="44.75" style="1638" customWidth="1"/>
    <col min="14081" max="14081" width="0" style="1638" hidden="1" customWidth="1"/>
    <col min="14082" max="14082" width="7.875" style="1638" customWidth="1"/>
    <col min="14083" max="14084" width="13.875" style="1638" customWidth="1"/>
    <col min="14085" max="14085" width="6.25" style="1638" customWidth="1"/>
    <col min="14086" max="14086" width="7.875" style="1638" customWidth="1"/>
    <col min="14087" max="14087" width="9" style="1638" customWidth="1"/>
    <col min="14088" max="14089" width="10.625" style="1638" customWidth="1"/>
    <col min="14090" max="14090" width="14.375" style="1638" customWidth="1"/>
    <col min="14091" max="14091" width="6.25" style="1638" customWidth="1"/>
    <col min="14092" max="14092" width="26.125" style="1638" customWidth="1"/>
    <col min="14093" max="14093" width="7.875" style="1638" customWidth="1"/>
    <col min="14094" max="14335" width="9" style="1638"/>
    <col min="14336" max="14336" width="44.75" style="1638" customWidth="1"/>
    <col min="14337" max="14337" width="0" style="1638" hidden="1" customWidth="1"/>
    <col min="14338" max="14338" width="7.875" style="1638" customWidth="1"/>
    <col min="14339" max="14340" width="13.875" style="1638" customWidth="1"/>
    <col min="14341" max="14341" width="6.25" style="1638" customWidth="1"/>
    <col min="14342" max="14342" width="7.875" style="1638" customWidth="1"/>
    <col min="14343" max="14343" width="9" style="1638" customWidth="1"/>
    <col min="14344" max="14345" width="10.625" style="1638" customWidth="1"/>
    <col min="14346" max="14346" width="14.375" style="1638" customWidth="1"/>
    <col min="14347" max="14347" width="6.25" style="1638" customWidth="1"/>
    <col min="14348" max="14348" width="26.125" style="1638" customWidth="1"/>
    <col min="14349" max="14349" width="7.875" style="1638" customWidth="1"/>
    <col min="14350" max="14591" width="9" style="1638"/>
    <col min="14592" max="14592" width="44.75" style="1638" customWidth="1"/>
    <col min="14593" max="14593" width="0" style="1638" hidden="1" customWidth="1"/>
    <col min="14594" max="14594" width="7.875" style="1638" customWidth="1"/>
    <col min="14595" max="14596" width="13.875" style="1638" customWidth="1"/>
    <col min="14597" max="14597" width="6.25" style="1638" customWidth="1"/>
    <col min="14598" max="14598" width="7.875" style="1638" customWidth="1"/>
    <col min="14599" max="14599" width="9" style="1638" customWidth="1"/>
    <col min="14600" max="14601" width="10.625" style="1638" customWidth="1"/>
    <col min="14602" max="14602" width="14.375" style="1638" customWidth="1"/>
    <col min="14603" max="14603" width="6.25" style="1638" customWidth="1"/>
    <col min="14604" max="14604" width="26.125" style="1638" customWidth="1"/>
    <col min="14605" max="14605" width="7.875" style="1638" customWidth="1"/>
    <col min="14606" max="14847" width="9" style="1638"/>
    <col min="14848" max="14848" width="44.75" style="1638" customWidth="1"/>
    <col min="14849" max="14849" width="0" style="1638" hidden="1" customWidth="1"/>
    <col min="14850" max="14850" width="7.875" style="1638" customWidth="1"/>
    <col min="14851" max="14852" width="13.875" style="1638" customWidth="1"/>
    <col min="14853" max="14853" width="6.25" style="1638" customWidth="1"/>
    <col min="14854" max="14854" width="7.875" style="1638" customWidth="1"/>
    <col min="14855" max="14855" width="9" style="1638" customWidth="1"/>
    <col min="14856" max="14857" width="10.625" style="1638" customWidth="1"/>
    <col min="14858" max="14858" width="14.375" style="1638" customWidth="1"/>
    <col min="14859" max="14859" width="6.25" style="1638" customWidth="1"/>
    <col min="14860" max="14860" width="26.125" style="1638" customWidth="1"/>
    <col min="14861" max="14861" width="7.875" style="1638" customWidth="1"/>
    <col min="14862" max="15103" width="9" style="1638"/>
    <col min="15104" max="15104" width="44.75" style="1638" customWidth="1"/>
    <col min="15105" max="15105" width="0" style="1638" hidden="1" customWidth="1"/>
    <col min="15106" max="15106" width="7.875" style="1638" customWidth="1"/>
    <col min="15107" max="15108" width="13.875" style="1638" customWidth="1"/>
    <col min="15109" max="15109" width="6.25" style="1638" customWidth="1"/>
    <col min="15110" max="15110" width="7.875" style="1638" customWidth="1"/>
    <col min="15111" max="15111" width="9" style="1638" customWidth="1"/>
    <col min="15112" max="15113" width="10.625" style="1638" customWidth="1"/>
    <col min="15114" max="15114" width="14.375" style="1638" customWidth="1"/>
    <col min="15115" max="15115" width="6.25" style="1638" customWidth="1"/>
    <col min="15116" max="15116" width="26.125" style="1638" customWidth="1"/>
    <col min="15117" max="15117" width="7.875" style="1638" customWidth="1"/>
    <col min="15118" max="15359" width="9" style="1638"/>
    <col min="15360" max="15360" width="44.75" style="1638" customWidth="1"/>
    <col min="15361" max="15361" width="0" style="1638" hidden="1" customWidth="1"/>
    <col min="15362" max="15362" width="7.875" style="1638" customWidth="1"/>
    <col min="15363" max="15364" width="13.875" style="1638" customWidth="1"/>
    <col min="15365" max="15365" width="6.25" style="1638" customWidth="1"/>
    <col min="15366" max="15366" width="7.875" style="1638" customWidth="1"/>
    <col min="15367" max="15367" width="9" style="1638" customWidth="1"/>
    <col min="15368" max="15369" width="10.625" style="1638" customWidth="1"/>
    <col min="15370" max="15370" width="14.375" style="1638" customWidth="1"/>
    <col min="15371" max="15371" width="6.25" style="1638" customWidth="1"/>
    <col min="15372" max="15372" width="26.125" style="1638" customWidth="1"/>
    <col min="15373" max="15373" width="7.875" style="1638" customWidth="1"/>
    <col min="15374" max="15615" width="9" style="1638"/>
    <col min="15616" max="15616" width="44.75" style="1638" customWidth="1"/>
    <col min="15617" max="15617" width="0" style="1638" hidden="1" customWidth="1"/>
    <col min="15618" max="15618" width="7.875" style="1638" customWidth="1"/>
    <col min="15619" max="15620" width="13.875" style="1638" customWidth="1"/>
    <col min="15621" max="15621" width="6.25" style="1638" customWidth="1"/>
    <col min="15622" max="15622" width="7.875" style="1638" customWidth="1"/>
    <col min="15623" max="15623" width="9" style="1638" customWidth="1"/>
    <col min="15624" max="15625" width="10.625" style="1638" customWidth="1"/>
    <col min="15626" max="15626" width="14.375" style="1638" customWidth="1"/>
    <col min="15627" max="15627" width="6.25" style="1638" customWidth="1"/>
    <col min="15628" max="15628" width="26.125" style="1638" customWidth="1"/>
    <col min="15629" max="15629" width="7.875" style="1638" customWidth="1"/>
    <col min="15630" max="15871" width="9" style="1638"/>
    <col min="15872" max="15872" width="44.75" style="1638" customWidth="1"/>
    <col min="15873" max="15873" width="0" style="1638" hidden="1" customWidth="1"/>
    <col min="15874" max="15874" width="7.875" style="1638" customWidth="1"/>
    <col min="15875" max="15876" width="13.875" style="1638" customWidth="1"/>
    <col min="15877" max="15877" width="6.25" style="1638" customWidth="1"/>
    <col min="15878" max="15878" width="7.875" style="1638" customWidth="1"/>
    <col min="15879" max="15879" width="9" style="1638" customWidth="1"/>
    <col min="15880" max="15881" width="10.625" style="1638" customWidth="1"/>
    <col min="15882" max="15882" width="14.375" style="1638" customWidth="1"/>
    <col min="15883" max="15883" width="6.25" style="1638" customWidth="1"/>
    <col min="15884" max="15884" width="26.125" style="1638" customWidth="1"/>
    <col min="15885" max="15885" width="7.875" style="1638" customWidth="1"/>
    <col min="15886" max="16127" width="9" style="1638"/>
    <col min="16128" max="16128" width="44.75" style="1638" customWidth="1"/>
    <col min="16129" max="16129" width="0" style="1638" hidden="1" customWidth="1"/>
    <col min="16130" max="16130" width="7.875" style="1638" customWidth="1"/>
    <col min="16131" max="16132" width="13.875" style="1638" customWidth="1"/>
    <col min="16133" max="16133" width="6.25" style="1638" customWidth="1"/>
    <col min="16134" max="16134" width="7.875" style="1638" customWidth="1"/>
    <col min="16135" max="16135" width="9" style="1638" customWidth="1"/>
    <col min="16136" max="16137" width="10.625" style="1638" customWidth="1"/>
    <col min="16138" max="16138" width="14.375" style="1638" customWidth="1"/>
    <col min="16139" max="16139" width="6.25" style="1638" customWidth="1"/>
    <col min="16140" max="16140" width="26.125" style="1638" customWidth="1"/>
    <col min="16141" max="16141" width="7.875" style="1638" customWidth="1"/>
    <col min="16142" max="16384" width="9" style="1638"/>
  </cols>
  <sheetData>
    <row r="1" spans="1:14">
      <c r="A1" s="1638" t="s">
        <v>3085</v>
      </c>
      <c r="B1" s="1638" t="s">
        <v>3086</v>
      </c>
      <c r="C1" s="1638" t="s">
        <v>3087</v>
      </c>
      <c r="D1" s="1638" t="s">
        <v>3088</v>
      </c>
      <c r="E1" s="1638" t="s">
        <v>3089</v>
      </c>
      <c r="F1" s="1638" t="s">
        <v>3090</v>
      </c>
      <c r="G1" s="1638" t="s">
        <v>3091</v>
      </c>
      <c r="H1" s="1638" t="s">
        <v>3092</v>
      </c>
      <c r="I1" s="1638" t="s">
        <v>3093</v>
      </c>
      <c r="J1" s="1638" t="s">
        <v>3094</v>
      </c>
      <c r="K1" s="1638" t="s">
        <v>3095</v>
      </c>
      <c r="L1" s="1638" t="s">
        <v>3096</v>
      </c>
      <c r="M1" s="1638" t="s">
        <v>3097</v>
      </c>
    </row>
    <row r="2" spans="1:14" s="2951" customFormat="1">
      <c r="A2" s="2950" t="s">
        <v>3138</v>
      </c>
      <c r="B2" s="2951" t="s">
        <v>3047</v>
      </c>
      <c r="C2" s="2951" t="s">
        <v>3070</v>
      </c>
      <c r="D2" s="2951">
        <v>4280.58</v>
      </c>
      <c r="E2" s="2951">
        <v>3424</v>
      </c>
      <c r="F2" s="2951">
        <v>0.8</v>
      </c>
      <c r="G2" s="2951" t="s">
        <v>3098</v>
      </c>
      <c r="H2" s="2951" t="s">
        <v>3099</v>
      </c>
      <c r="I2" s="2951">
        <v>642.09</v>
      </c>
      <c r="J2" s="2951">
        <v>642.09</v>
      </c>
      <c r="K2" s="2951">
        <v>1875.25</v>
      </c>
      <c r="L2" s="2951">
        <v>0</v>
      </c>
      <c r="M2" s="2951" t="s">
        <v>3100</v>
      </c>
      <c r="N2" s="2951">
        <f>ROUND(J2/D2*10000,0)</f>
        <v>1500</v>
      </c>
    </row>
    <row r="3" spans="1:14">
      <c r="A3" s="1638" t="s">
        <v>3101</v>
      </c>
      <c r="B3" s="1638" t="s">
        <v>3047</v>
      </c>
      <c r="C3" s="1638" t="s">
        <v>3070</v>
      </c>
      <c r="D3" s="1638">
        <v>31386.9</v>
      </c>
      <c r="E3" s="1638">
        <v>25110</v>
      </c>
      <c r="F3" s="1638">
        <v>0.8</v>
      </c>
      <c r="G3" s="1638" t="s">
        <v>3098</v>
      </c>
      <c r="H3" s="1638" t="s">
        <v>3102</v>
      </c>
      <c r="I3" s="1638">
        <v>11547.52</v>
      </c>
      <c r="J3" s="1638">
        <v>11547.52</v>
      </c>
      <c r="K3" s="1638">
        <v>4598.7700000000004</v>
      </c>
      <c r="L3" s="1638">
        <v>0</v>
      </c>
      <c r="M3" s="1638" t="s">
        <v>3103</v>
      </c>
      <c r="N3" s="1638">
        <f t="shared" ref="N3:N16" si="0">ROUND(J3/D3*10000,0)</f>
        <v>3679</v>
      </c>
    </row>
    <row r="4" spans="1:14">
      <c r="A4" s="1638" t="s">
        <v>3104</v>
      </c>
      <c r="B4" s="1638" t="s">
        <v>3047</v>
      </c>
      <c r="C4" s="1638" t="s">
        <v>3070</v>
      </c>
      <c r="D4" s="1638">
        <v>45231.1</v>
      </c>
      <c r="E4" s="1638">
        <v>36185</v>
      </c>
      <c r="F4" s="1638">
        <v>0.8</v>
      </c>
      <c r="G4" s="1638" t="s">
        <v>3098</v>
      </c>
      <c r="H4" s="1638" t="s">
        <v>3105</v>
      </c>
      <c r="I4" s="1638">
        <v>13943.25</v>
      </c>
      <c r="J4" s="1638">
        <v>13943.25</v>
      </c>
      <c r="K4" s="1638">
        <v>3853.32</v>
      </c>
      <c r="L4" s="1638">
        <v>0</v>
      </c>
      <c r="M4" s="1638" t="s">
        <v>3106</v>
      </c>
      <c r="N4" s="1638">
        <f t="shared" si="0"/>
        <v>3083</v>
      </c>
    </row>
    <row r="5" spans="1:14">
      <c r="A5" s="2949" t="s">
        <v>3137</v>
      </c>
      <c r="B5" s="1638" t="s">
        <v>3047</v>
      </c>
      <c r="C5" s="1638" t="s">
        <v>3070</v>
      </c>
      <c r="D5" s="1638">
        <v>401615.3</v>
      </c>
      <c r="E5" s="1638">
        <v>401615</v>
      </c>
      <c r="F5" s="1638">
        <v>1</v>
      </c>
      <c r="G5" s="1638" t="s">
        <v>3098</v>
      </c>
      <c r="H5" s="1638" t="s">
        <v>3105</v>
      </c>
      <c r="I5" s="1638">
        <v>109378.8</v>
      </c>
      <c r="J5" s="1638">
        <v>109378.8</v>
      </c>
      <c r="K5" s="1638">
        <v>2723.46</v>
      </c>
      <c r="L5" s="1638">
        <v>0</v>
      </c>
      <c r="M5" s="1638" t="s">
        <v>3107</v>
      </c>
      <c r="N5" s="1638">
        <f t="shared" si="0"/>
        <v>2723</v>
      </c>
    </row>
    <row r="6" spans="1:14" s="2951" customFormat="1">
      <c r="A6" s="2951" t="s">
        <v>3108</v>
      </c>
      <c r="B6" s="2951" t="s">
        <v>3047</v>
      </c>
      <c r="C6" s="2951" t="s">
        <v>3070</v>
      </c>
      <c r="D6" s="2951">
        <v>11912.8</v>
      </c>
      <c r="E6" s="2951">
        <v>9530</v>
      </c>
      <c r="F6" s="2951">
        <v>0.8</v>
      </c>
      <c r="G6" s="2951" t="s">
        <v>3098</v>
      </c>
      <c r="H6" s="2951" t="s">
        <v>3109</v>
      </c>
      <c r="I6" s="2951">
        <v>1798</v>
      </c>
      <c r="J6" s="2951">
        <v>1798</v>
      </c>
      <c r="K6" s="2951">
        <v>1886.67</v>
      </c>
      <c r="L6" s="2951">
        <v>0</v>
      </c>
      <c r="M6" s="2951" t="s">
        <v>3110</v>
      </c>
      <c r="N6" s="2951">
        <f t="shared" si="0"/>
        <v>1509</v>
      </c>
    </row>
    <row r="7" spans="1:14">
      <c r="A7" s="1638" t="s">
        <v>3111</v>
      </c>
      <c r="B7" s="1638" t="s">
        <v>3047</v>
      </c>
      <c r="C7" s="1638" t="s">
        <v>3070</v>
      </c>
      <c r="D7" s="1638">
        <v>13289.21</v>
      </c>
      <c r="E7" s="1638">
        <v>10631</v>
      </c>
      <c r="F7" s="1638">
        <v>0.8</v>
      </c>
      <c r="G7" s="1638" t="s">
        <v>3098</v>
      </c>
      <c r="H7" s="1638" t="s">
        <v>3112</v>
      </c>
      <c r="I7" s="1638">
        <v>1597.44</v>
      </c>
      <c r="J7" s="1638">
        <v>1597.44</v>
      </c>
      <c r="K7" s="1638">
        <v>1502.61</v>
      </c>
      <c r="L7" s="1638">
        <v>0</v>
      </c>
      <c r="M7" s="1638" t="s">
        <v>3113</v>
      </c>
      <c r="N7" s="1638">
        <f t="shared" si="0"/>
        <v>1202</v>
      </c>
    </row>
    <row r="8" spans="1:14">
      <c r="A8" s="1638" t="s">
        <v>3114</v>
      </c>
      <c r="B8" s="1638" t="s">
        <v>3047</v>
      </c>
      <c r="C8" s="1638" t="s">
        <v>3070</v>
      </c>
      <c r="D8" s="1638">
        <v>56802.68</v>
      </c>
      <c r="E8" s="1638">
        <v>45442</v>
      </c>
      <c r="F8" s="1638">
        <v>0.8</v>
      </c>
      <c r="G8" s="1638" t="s">
        <v>3098</v>
      </c>
      <c r="H8" s="1638" t="s">
        <v>3112</v>
      </c>
      <c r="I8" s="1638">
        <v>7121.07</v>
      </c>
      <c r="J8" s="1638">
        <v>7121.07</v>
      </c>
      <c r="K8" s="1638">
        <v>1567.06</v>
      </c>
      <c r="L8" s="1638">
        <v>0</v>
      </c>
      <c r="M8" s="1638" t="s">
        <v>3115</v>
      </c>
      <c r="N8" s="1638">
        <f t="shared" si="0"/>
        <v>1254</v>
      </c>
    </row>
    <row r="9" spans="1:14">
      <c r="A9" s="1638" t="s">
        <v>3116</v>
      </c>
      <c r="B9" s="1638" t="s">
        <v>3047</v>
      </c>
      <c r="C9" s="1638" t="s">
        <v>3070</v>
      </c>
      <c r="D9" s="1638">
        <v>71328.36</v>
      </c>
      <c r="E9" s="1638">
        <v>57063</v>
      </c>
      <c r="F9" s="1638">
        <v>0.8</v>
      </c>
      <c r="G9" s="1638" t="s">
        <v>3098</v>
      </c>
      <c r="H9" s="1638" t="s">
        <v>3117</v>
      </c>
      <c r="I9" s="1638">
        <v>8967.77</v>
      </c>
      <c r="J9" s="1638">
        <v>8967.77</v>
      </c>
      <c r="K9" s="1638">
        <v>1571.55</v>
      </c>
      <c r="L9" s="1638">
        <v>0</v>
      </c>
      <c r="M9" s="1638" t="s">
        <v>3118</v>
      </c>
      <c r="N9" s="1638">
        <f t="shared" si="0"/>
        <v>1257</v>
      </c>
    </row>
    <row r="10" spans="1:14">
      <c r="A10" s="1638" t="s">
        <v>3119</v>
      </c>
      <c r="B10" s="1638" t="s">
        <v>3047</v>
      </c>
      <c r="C10" s="1638" t="s">
        <v>3070</v>
      </c>
      <c r="D10" s="1638">
        <v>41930.26</v>
      </c>
      <c r="E10" s="1638">
        <v>33544</v>
      </c>
      <c r="F10" s="1638">
        <v>0.8</v>
      </c>
      <c r="G10" s="1638" t="s">
        <v>3098</v>
      </c>
      <c r="H10" s="1638" t="s">
        <v>3120</v>
      </c>
      <c r="I10" s="1638">
        <v>5256.6</v>
      </c>
      <c r="J10" s="1638">
        <v>5256.6</v>
      </c>
      <c r="K10" s="1638">
        <v>1567.07</v>
      </c>
      <c r="L10" s="1638">
        <v>0</v>
      </c>
      <c r="M10" s="1638" t="s">
        <v>3121</v>
      </c>
      <c r="N10" s="1638">
        <f t="shared" si="0"/>
        <v>1254</v>
      </c>
    </row>
    <row r="11" spans="1:14">
      <c r="A11" s="1638" t="s">
        <v>3122</v>
      </c>
      <c r="B11" s="1638" t="s">
        <v>3047</v>
      </c>
      <c r="C11" s="1638" t="s">
        <v>3070</v>
      </c>
      <c r="D11" s="1638">
        <v>58598.03</v>
      </c>
      <c r="E11" s="1638">
        <v>46878</v>
      </c>
      <c r="F11" s="1638">
        <v>0.8</v>
      </c>
      <c r="G11" s="1638" t="s">
        <v>3098</v>
      </c>
      <c r="H11" s="1638" t="s">
        <v>3123</v>
      </c>
      <c r="I11" s="1638">
        <v>6769.31</v>
      </c>
      <c r="J11" s="1638">
        <v>6769.31</v>
      </c>
      <c r="K11" s="1638">
        <v>1444.02</v>
      </c>
      <c r="L11" s="1638">
        <v>0</v>
      </c>
      <c r="M11" s="1638" t="s">
        <v>3124</v>
      </c>
      <c r="N11" s="1638">
        <f t="shared" si="0"/>
        <v>1155</v>
      </c>
    </row>
    <row r="12" spans="1:14">
      <c r="A12" s="1638" t="s">
        <v>3125</v>
      </c>
      <c r="B12" s="1638" t="s">
        <v>3047</v>
      </c>
      <c r="C12" s="1638" t="s">
        <v>3070</v>
      </c>
      <c r="D12" s="1638">
        <v>30396.400000000001</v>
      </c>
      <c r="E12" s="1638">
        <v>24317</v>
      </c>
      <c r="F12" s="1638">
        <v>0.8</v>
      </c>
      <c r="G12" s="1638" t="s">
        <v>3098</v>
      </c>
      <c r="H12" s="1638" t="s">
        <v>3126</v>
      </c>
      <c r="I12" s="1638">
        <v>2215.0100000000002</v>
      </c>
      <c r="J12" s="1638">
        <v>2235.0100000000002</v>
      </c>
      <c r="K12" s="1638">
        <v>919.11</v>
      </c>
      <c r="L12" s="1638">
        <v>0.9</v>
      </c>
      <c r="M12" s="1638" t="s">
        <v>3127</v>
      </c>
      <c r="N12" s="1638">
        <f t="shared" si="0"/>
        <v>735</v>
      </c>
    </row>
    <row r="13" spans="1:14">
      <c r="A13" s="1638" t="s">
        <v>3128</v>
      </c>
      <c r="B13" s="1638" t="s">
        <v>3047</v>
      </c>
      <c r="C13" s="1638" t="s">
        <v>3070</v>
      </c>
      <c r="D13" s="1638">
        <v>17200</v>
      </c>
      <c r="E13" s="1638">
        <v>13760</v>
      </c>
      <c r="F13" s="1638">
        <v>0.8</v>
      </c>
      <c r="G13" s="1638" t="s">
        <v>3098</v>
      </c>
      <c r="H13" s="1638" t="s">
        <v>3129</v>
      </c>
      <c r="I13" s="1638">
        <v>1255.0899999999999</v>
      </c>
      <c r="J13" s="1638">
        <v>3700</v>
      </c>
      <c r="K13" s="1638">
        <v>2688.94</v>
      </c>
      <c r="L13" s="1638">
        <v>194.8</v>
      </c>
      <c r="M13" s="1638" t="s">
        <v>3130</v>
      </c>
      <c r="N13" s="1638">
        <f t="shared" si="0"/>
        <v>2151</v>
      </c>
    </row>
    <row r="14" spans="1:14">
      <c r="A14" s="1638" t="s">
        <v>3131</v>
      </c>
      <c r="B14" s="1638" t="s">
        <v>3047</v>
      </c>
      <c r="C14" s="1638" t="s">
        <v>3070</v>
      </c>
      <c r="D14" s="1638">
        <v>2837.45</v>
      </c>
      <c r="E14" s="1638">
        <v>2270</v>
      </c>
      <c r="F14" s="1638">
        <v>0.8</v>
      </c>
      <c r="G14" s="1638" t="s">
        <v>3098</v>
      </c>
      <c r="H14" s="1638" t="s">
        <v>3129</v>
      </c>
      <c r="I14" s="1638">
        <v>325.85000000000002</v>
      </c>
      <c r="J14" s="1638">
        <v>325.85000000000002</v>
      </c>
      <c r="K14" s="1638">
        <v>1435.46</v>
      </c>
      <c r="L14" s="1638">
        <v>0</v>
      </c>
      <c r="M14" s="1638" t="s">
        <v>3132</v>
      </c>
      <c r="N14" s="1638">
        <f t="shared" si="0"/>
        <v>1148</v>
      </c>
    </row>
    <row r="15" spans="1:14">
      <c r="A15" s="1638" t="s">
        <v>3133</v>
      </c>
      <c r="B15" s="1638" t="s">
        <v>3047</v>
      </c>
      <c r="C15" s="1638" t="s">
        <v>3070</v>
      </c>
      <c r="D15" s="1638">
        <v>64911.83</v>
      </c>
      <c r="E15" s="1638">
        <v>51929</v>
      </c>
      <c r="F15" s="1638">
        <v>0.8</v>
      </c>
      <c r="G15" s="1638" t="s">
        <v>3098</v>
      </c>
      <c r="H15" s="1638" t="s">
        <v>3129</v>
      </c>
      <c r="I15" s="1638">
        <v>12025.15</v>
      </c>
      <c r="J15" s="1638">
        <v>12025.15</v>
      </c>
      <c r="K15" s="1638">
        <v>2315.69</v>
      </c>
      <c r="L15" s="1638">
        <v>0</v>
      </c>
      <c r="M15" s="1638" t="s">
        <v>3134</v>
      </c>
      <c r="N15" s="1638">
        <f t="shared" si="0"/>
        <v>1853</v>
      </c>
    </row>
    <row r="16" spans="1:14">
      <c r="A16" s="1638" t="s">
        <v>3135</v>
      </c>
      <c r="B16" s="1638" t="s">
        <v>3047</v>
      </c>
      <c r="C16" s="1638" t="s">
        <v>3070</v>
      </c>
      <c r="D16" s="1638">
        <v>28089.599999999999</v>
      </c>
      <c r="E16" s="1638">
        <v>22472</v>
      </c>
      <c r="F16" s="1638">
        <v>0.8</v>
      </c>
      <c r="G16" s="1638" t="s">
        <v>3098</v>
      </c>
      <c r="H16" s="1638" t="s">
        <v>3129</v>
      </c>
      <c r="I16" s="1638">
        <v>3231.53</v>
      </c>
      <c r="J16" s="1638">
        <v>3231.53</v>
      </c>
      <c r="K16" s="1638">
        <v>1438.02</v>
      </c>
      <c r="L16" s="1638">
        <v>0</v>
      </c>
      <c r="M16" s="1638" t="s">
        <v>3136</v>
      </c>
      <c r="N16" s="1638">
        <f t="shared" si="0"/>
        <v>1150</v>
      </c>
    </row>
    <row r="19" spans="1:14">
      <c r="A19" s="1638" t="s">
        <v>3085</v>
      </c>
      <c r="B19" s="1638" t="s">
        <v>3086</v>
      </c>
      <c r="C19" s="1638" t="s">
        <v>3087</v>
      </c>
      <c r="D19" s="1638" t="s">
        <v>3088</v>
      </c>
      <c r="E19" s="1638" t="s">
        <v>3089</v>
      </c>
      <c r="F19" s="1638" t="s">
        <v>3090</v>
      </c>
      <c r="G19" s="1638" t="s">
        <v>3091</v>
      </c>
      <c r="H19" s="1638" t="s">
        <v>3092</v>
      </c>
      <c r="I19" s="1638" t="s">
        <v>3093</v>
      </c>
      <c r="J19" s="1638" t="s">
        <v>3094</v>
      </c>
      <c r="K19" s="1638" t="s">
        <v>3095</v>
      </c>
      <c r="L19" s="1638" t="s">
        <v>3096</v>
      </c>
      <c r="M19" s="1638" t="s">
        <v>3097</v>
      </c>
    </row>
    <row r="20" spans="1:14">
      <c r="A20" s="1638" t="s">
        <v>3139</v>
      </c>
      <c r="B20" s="1638" t="s">
        <v>3047</v>
      </c>
      <c r="C20" s="1638" t="s">
        <v>3070</v>
      </c>
      <c r="D20" s="1638">
        <v>101774.9</v>
      </c>
      <c r="E20" s="1638">
        <v>152662.29999999999</v>
      </c>
      <c r="F20" s="1638">
        <v>1.5</v>
      </c>
      <c r="G20" s="1638" t="s">
        <v>3098</v>
      </c>
      <c r="H20" s="1638" t="s">
        <v>3140</v>
      </c>
      <c r="I20" s="1638">
        <v>8961.2800000000007</v>
      </c>
      <c r="J20" s="1638">
        <v>8961.2800000000007</v>
      </c>
      <c r="K20" s="1638">
        <v>587</v>
      </c>
      <c r="L20" s="1638">
        <v>0</v>
      </c>
      <c r="M20" s="1638" t="s">
        <v>3141</v>
      </c>
      <c r="N20" s="1638">
        <f>ROUND(J20/D20*10000,0)</f>
        <v>881</v>
      </c>
    </row>
    <row r="21" spans="1:14">
      <c r="A21" s="1638" t="s">
        <v>3142</v>
      </c>
      <c r="B21" s="1638" t="s">
        <v>3047</v>
      </c>
      <c r="C21" s="1638" t="s">
        <v>3070</v>
      </c>
      <c r="D21" s="1638">
        <v>77958.5</v>
      </c>
      <c r="E21" s="1638">
        <v>155917</v>
      </c>
      <c r="F21" s="1638">
        <v>2</v>
      </c>
      <c r="G21" s="1638" t="s">
        <v>3098</v>
      </c>
      <c r="H21" s="1638" t="s">
        <v>3140</v>
      </c>
      <c r="I21" s="1638">
        <v>9152.32</v>
      </c>
      <c r="J21" s="1638">
        <v>9152.32</v>
      </c>
      <c r="K21" s="1638">
        <v>587</v>
      </c>
      <c r="L21" s="1638">
        <v>0</v>
      </c>
      <c r="M21" s="1638" t="s">
        <v>3141</v>
      </c>
      <c r="N21" s="1638">
        <f t="shared" ref="N21:N34" si="1">ROUND(J21/D21*10000,0)</f>
        <v>1174</v>
      </c>
    </row>
    <row r="22" spans="1:14" s="2951" customFormat="1">
      <c r="A22" s="2951" t="s">
        <v>3143</v>
      </c>
      <c r="B22" s="2951" t="s">
        <v>3047</v>
      </c>
      <c r="C22" s="2951" t="s">
        <v>3070</v>
      </c>
      <c r="D22" s="2951">
        <v>9951.4</v>
      </c>
      <c r="E22" s="2951">
        <v>19902.8</v>
      </c>
      <c r="F22" s="2951">
        <v>2</v>
      </c>
      <c r="G22" s="2951" t="s">
        <v>3098</v>
      </c>
      <c r="H22" s="2951" t="s">
        <v>3140</v>
      </c>
      <c r="I22" s="2951">
        <v>1444.94</v>
      </c>
      <c r="J22" s="2951">
        <v>1444.94</v>
      </c>
      <c r="K22" s="2951">
        <v>726</v>
      </c>
      <c r="L22" s="2951">
        <v>0</v>
      </c>
      <c r="M22" s="2951" t="s">
        <v>3144</v>
      </c>
      <c r="N22" s="2951">
        <f t="shared" si="1"/>
        <v>1452</v>
      </c>
    </row>
    <row r="23" spans="1:14">
      <c r="A23" s="1638" t="s">
        <v>3145</v>
      </c>
      <c r="B23" s="1638" t="s">
        <v>3047</v>
      </c>
      <c r="C23" s="1638" t="s">
        <v>3070</v>
      </c>
      <c r="D23" s="1638">
        <v>84655.5</v>
      </c>
      <c r="E23" s="1638">
        <v>169311</v>
      </c>
      <c r="F23" s="1638">
        <v>2</v>
      </c>
      <c r="G23" s="1638" t="s">
        <v>3098</v>
      </c>
      <c r="H23" s="1638" t="s">
        <v>3140</v>
      </c>
      <c r="I23" s="1638">
        <v>9938.5499999999993</v>
      </c>
      <c r="J23" s="1638">
        <v>9938.5499999999993</v>
      </c>
      <c r="K23" s="1638">
        <v>587</v>
      </c>
      <c r="L23" s="1638">
        <v>0</v>
      </c>
      <c r="M23" s="1638" t="s">
        <v>3141</v>
      </c>
      <c r="N23" s="1638">
        <f t="shared" si="1"/>
        <v>1174</v>
      </c>
    </row>
    <row r="24" spans="1:14">
      <c r="A24" s="1638" t="s">
        <v>3146</v>
      </c>
      <c r="B24" s="1638" t="s">
        <v>3047</v>
      </c>
      <c r="C24" s="1638" t="s">
        <v>3070</v>
      </c>
      <c r="D24" s="1638">
        <v>13485.05</v>
      </c>
      <c r="E24" s="1638">
        <v>26970</v>
      </c>
      <c r="F24" s="1638">
        <v>1.9999925843804811</v>
      </c>
      <c r="G24" s="1638" t="s">
        <v>3098</v>
      </c>
      <c r="H24" s="1638" t="s">
        <v>3147</v>
      </c>
      <c r="I24" s="1638">
        <v>3073.38</v>
      </c>
      <c r="J24" s="1638">
        <v>3073.38</v>
      </c>
      <c r="K24" s="1638">
        <v>1139.55</v>
      </c>
      <c r="L24" s="1638">
        <v>0</v>
      </c>
      <c r="M24" s="1638" t="s">
        <v>3148</v>
      </c>
      <c r="N24" s="1638">
        <f t="shared" si="1"/>
        <v>2279</v>
      </c>
    </row>
    <row r="25" spans="1:14">
      <c r="A25" s="1638" t="s">
        <v>3149</v>
      </c>
      <c r="B25" s="1638" t="s">
        <v>3047</v>
      </c>
      <c r="C25" s="1638" t="s">
        <v>3070</v>
      </c>
      <c r="D25" s="1638">
        <v>73230.3</v>
      </c>
      <c r="E25" s="1638">
        <v>124491.5</v>
      </c>
      <c r="F25" s="1638" t="s">
        <v>3150</v>
      </c>
      <c r="G25" s="1638" t="s">
        <v>3098</v>
      </c>
      <c r="H25" s="1638" t="s">
        <v>3151</v>
      </c>
      <c r="I25" s="1638">
        <v>9038.07</v>
      </c>
      <c r="J25" s="1638">
        <v>9038.07</v>
      </c>
      <c r="K25" s="1638">
        <v>726</v>
      </c>
      <c r="L25" s="1638">
        <v>0</v>
      </c>
      <c r="M25" s="1638" t="s">
        <v>3152</v>
      </c>
      <c r="N25" s="1638">
        <f t="shared" si="1"/>
        <v>1234</v>
      </c>
    </row>
    <row r="26" spans="1:14">
      <c r="A26" s="1638" t="s">
        <v>3153</v>
      </c>
      <c r="B26" s="1638" t="s">
        <v>3047</v>
      </c>
      <c r="C26" s="1638" t="s">
        <v>3070</v>
      </c>
      <c r="D26" s="1638">
        <v>11958.6</v>
      </c>
      <c r="E26" s="1638">
        <v>17937.900000000001</v>
      </c>
      <c r="F26" s="1638">
        <v>1.5</v>
      </c>
      <c r="G26" s="1638" t="s">
        <v>3098</v>
      </c>
      <c r="H26" s="1638" t="s">
        <v>3151</v>
      </c>
      <c r="I26" s="1638">
        <v>1302.28</v>
      </c>
      <c r="J26" s="1638">
        <v>1302.28</v>
      </c>
      <c r="K26" s="1638">
        <v>726</v>
      </c>
      <c r="L26" s="1638">
        <v>0</v>
      </c>
      <c r="M26" s="1638" t="s">
        <v>3154</v>
      </c>
      <c r="N26" s="1638">
        <f t="shared" si="1"/>
        <v>1089</v>
      </c>
    </row>
    <row r="27" spans="1:14">
      <c r="A27" s="1638" t="s">
        <v>3155</v>
      </c>
      <c r="B27" s="1638" t="s">
        <v>3047</v>
      </c>
      <c r="C27" s="1638" t="s">
        <v>3070</v>
      </c>
      <c r="D27" s="1638">
        <v>23044.5</v>
      </c>
      <c r="E27" s="1638">
        <v>46089</v>
      </c>
      <c r="F27" s="1638">
        <v>2</v>
      </c>
      <c r="G27" s="1638" t="s">
        <v>3098</v>
      </c>
      <c r="H27" s="1638" t="s">
        <v>3156</v>
      </c>
      <c r="I27" s="1638">
        <v>4977.6000000000004</v>
      </c>
      <c r="J27" s="1638">
        <v>4977.6000000000004</v>
      </c>
      <c r="K27" s="1638">
        <v>1080</v>
      </c>
      <c r="L27" s="1638">
        <v>0</v>
      </c>
      <c r="M27" s="1638" t="s">
        <v>3157</v>
      </c>
      <c r="N27" s="1638">
        <f t="shared" si="1"/>
        <v>2160</v>
      </c>
    </row>
    <row r="28" spans="1:14">
      <c r="A28" s="1638" t="s">
        <v>3158</v>
      </c>
      <c r="B28" s="1638" t="s">
        <v>3047</v>
      </c>
      <c r="C28" s="1638" t="s">
        <v>3070</v>
      </c>
      <c r="D28" s="1638">
        <v>82687.360000000001</v>
      </c>
      <c r="E28" s="1638">
        <v>157106</v>
      </c>
      <c r="F28" s="1638">
        <v>1.9</v>
      </c>
      <c r="G28" s="1638" t="s">
        <v>3098</v>
      </c>
      <c r="H28" s="1638" t="s">
        <v>3159</v>
      </c>
      <c r="I28" s="1638">
        <v>14688.07</v>
      </c>
      <c r="J28" s="1638">
        <v>14688.07</v>
      </c>
      <c r="K28" s="1638">
        <v>934.91</v>
      </c>
      <c r="L28" s="1638">
        <v>0</v>
      </c>
      <c r="M28" s="1638" t="s">
        <v>3160</v>
      </c>
      <c r="N28" s="1638">
        <f t="shared" si="1"/>
        <v>1776</v>
      </c>
    </row>
    <row r="29" spans="1:14">
      <c r="A29" s="1638" t="s">
        <v>3161</v>
      </c>
      <c r="B29" s="1638" t="s">
        <v>3047</v>
      </c>
      <c r="C29" s="1638" t="s">
        <v>3070</v>
      </c>
      <c r="D29" s="1638">
        <v>791422.1</v>
      </c>
      <c r="E29" s="1638">
        <v>1187133</v>
      </c>
      <c r="F29" s="1638">
        <v>1.5</v>
      </c>
      <c r="G29" s="1638" t="s">
        <v>3098</v>
      </c>
      <c r="H29" s="1638" t="s">
        <v>3162</v>
      </c>
      <c r="I29" s="1638">
        <v>187820</v>
      </c>
      <c r="J29" s="1638">
        <v>187820</v>
      </c>
      <c r="K29" s="1638">
        <v>1582.13</v>
      </c>
      <c r="L29" s="1638">
        <v>0</v>
      </c>
      <c r="M29" s="1638" t="s">
        <v>3163</v>
      </c>
      <c r="N29" s="1638">
        <f t="shared" si="1"/>
        <v>2373</v>
      </c>
    </row>
    <row r="30" spans="1:14">
      <c r="A30" s="1638" t="s">
        <v>3164</v>
      </c>
      <c r="B30" s="1638" t="s">
        <v>3047</v>
      </c>
      <c r="C30" s="1638" t="s">
        <v>3070</v>
      </c>
      <c r="D30" s="1638">
        <v>23308.3</v>
      </c>
      <c r="E30" s="1638">
        <v>34962.449999999997</v>
      </c>
      <c r="F30" s="1638">
        <v>1.5</v>
      </c>
      <c r="G30" s="1638" t="s">
        <v>3098</v>
      </c>
      <c r="H30" s="1638" t="s">
        <v>3165</v>
      </c>
      <c r="I30" s="1638">
        <v>5244.36</v>
      </c>
      <c r="J30" s="1638">
        <v>5244.36</v>
      </c>
      <c r="K30" s="1638">
        <v>1500</v>
      </c>
      <c r="L30" s="1638">
        <v>0</v>
      </c>
      <c r="M30" s="1638" t="s">
        <v>3166</v>
      </c>
      <c r="N30" s="1638">
        <f t="shared" si="1"/>
        <v>2250</v>
      </c>
    </row>
    <row r="31" spans="1:14">
      <c r="A31" s="1638" t="s">
        <v>3167</v>
      </c>
      <c r="B31" s="1638" t="s">
        <v>3047</v>
      </c>
      <c r="C31" s="1638" t="s">
        <v>3070</v>
      </c>
      <c r="D31" s="1638">
        <v>19655.95</v>
      </c>
      <c r="E31" s="1638">
        <v>39312</v>
      </c>
      <c r="F31" s="1638">
        <v>8.3000000000000007</v>
      </c>
      <c r="G31" s="1638" t="s">
        <v>3098</v>
      </c>
      <c r="H31" s="1638" t="s">
        <v>3168</v>
      </c>
      <c r="I31" s="1638">
        <v>2634.78</v>
      </c>
      <c r="J31" s="1638">
        <v>2634.78</v>
      </c>
      <c r="K31" s="1638">
        <v>670.22</v>
      </c>
      <c r="L31" s="1638">
        <v>0</v>
      </c>
      <c r="M31" s="1638" t="s">
        <v>3169</v>
      </c>
      <c r="N31" s="1638">
        <f t="shared" si="1"/>
        <v>1340</v>
      </c>
    </row>
    <row r="32" spans="1:14">
      <c r="A32" s="1638" t="s">
        <v>3170</v>
      </c>
      <c r="B32" s="1638" t="s">
        <v>3047</v>
      </c>
      <c r="C32" s="1638" t="s">
        <v>3070</v>
      </c>
      <c r="D32" s="1638">
        <v>72743.12</v>
      </c>
      <c r="E32" s="1638">
        <v>109114.7</v>
      </c>
      <c r="F32" s="1638" t="s">
        <v>3171</v>
      </c>
      <c r="G32" s="1638" t="s">
        <v>3098</v>
      </c>
      <c r="H32" s="1638" t="s">
        <v>3172</v>
      </c>
      <c r="I32" s="1638">
        <v>11784.38</v>
      </c>
      <c r="J32" s="1638">
        <v>11784.38</v>
      </c>
      <c r="K32" s="1638">
        <v>1080</v>
      </c>
      <c r="L32" s="1638">
        <v>0</v>
      </c>
      <c r="M32" s="1638" t="s">
        <v>3173</v>
      </c>
      <c r="N32" s="1638">
        <f t="shared" si="1"/>
        <v>1620</v>
      </c>
    </row>
    <row r="33" spans="1:14">
      <c r="A33" s="1638" t="s">
        <v>3174</v>
      </c>
      <c r="B33" s="1638" t="s">
        <v>3047</v>
      </c>
      <c r="C33" s="1638" t="s">
        <v>3070</v>
      </c>
      <c r="D33" s="1638">
        <v>20000.599999999999</v>
      </c>
      <c r="E33" s="1638">
        <v>30000.9</v>
      </c>
      <c r="F33" s="1638" t="s">
        <v>3175</v>
      </c>
      <c r="G33" s="1638" t="s">
        <v>3098</v>
      </c>
      <c r="H33" s="1638" t="s">
        <v>3172</v>
      </c>
      <c r="I33" s="1638">
        <v>3240.09</v>
      </c>
      <c r="J33" s="1638">
        <v>3240.09</v>
      </c>
      <c r="K33" s="1638">
        <v>1080</v>
      </c>
      <c r="L33" s="1638">
        <v>0</v>
      </c>
      <c r="M33" s="1638" t="s">
        <v>3176</v>
      </c>
      <c r="N33" s="1638">
        <f t="shared" si="1"/>
        <v>1620</v>
      </c>
    </row>
    <row r="34" spans="1:14">
      <c r="A34" s="1638" t="s">
        <v>3177</v>
      </c>
      <c r="B34" s="1638" t="s">
        <v>3047</v>
      </c>
      <c r="C34" s="1638" t="s">
        <v>3070</v>
      </c>
      <c r="D34" s="1638">
        <v>34726.1</v>
      </c>
      <c r="E34" s="1638">
        <v>52089.15</v>
      </c>
      <c r="F34" s="1638" t="s">
        <v>3171</v>
      </c>
      <c r="G34" s="1638" t="s">
        <v>3098</v>
      </c>
      <c r="H34" s="1638" t="s">
        <v>3178</v>
      </c>
      <c r="I34" s="1638">
        <v>5625.63</v>
      </c>
      <c r="J34" s="1638">
        <v>5625.63</v>
      </c>
      <c r="K34" s="1638">
        <v>1080</v>
      </c>
      <c r="L34" s="1638">
        <v>0</v>
      </c>
      <c r="M34" s="1638" t="s">
        <v>3179</v>
      </c>
      <c r="N34" s="1638">
        <f t="shared" si="1"/>
        <v>1620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7" t="s">
        <v>1634</v>
      </c>
      <c r="E3" s="1047" t="s">
        <v>1640</v>
      </c>
      <c r="F3" s="1047" t="s">
        <v>1634</v>
      </c>
      <c r="G3" s="1047" t="s">
        <v>1635</v>
      </c>
      <c r="H3" s="1047" t="s">
        <v>1634</v>
      </c>
      <c r="I3" s="1047" t="s">
        <v>1635</v>
      </c>
    </row>
    <row r="4" spans="1:9" ht="45">
      <c r="A4" s="1976" t="str">
        <f>项目基本情况!S2</f>
        <v>北京市安祥街6号院1号楼1至3层101；2号楼1至5层101房地产</v>
      </c>
      <c r="B4" s="1047">
        <f>项目基本情况!C17</f>
        <v>19553.34</v>
      </c>
      <c r="C4" s="1047">
        <f>项目基本情况!C18</f>
        <v>9161.2099999999991</v>
      </c>
      <c r="D4" s="1047">
        <f ca="1">结果表!D118</f>
        <v>6379</v>
      </c>
      <c r="E4" s="1047">
        <f ca="1">结果表!E118</f>
        <v>3262</v>
      </c>
      <c r="F4" s="1047">
        <f ca="1">结果表!F118</f>
        <v>12056</v>
      </c>
      <c r="G4" s="1047">
        <f ca="1">结果表!G118</f>
        <v>6166</v>
      </c>
      <c r="H4" s="1047">
        <f ca="1">结果表!H118</f>
        <v>18435</v>
      </c>
      <c r="I4" s="1047">
        <f ca="1">结果表!I118</f>
        <v>9428</v>
      </c>
    </row>
    <row r="5" spans="1:9" ht="30" customHeight="1">
      <c r="A5" s="2970" t="s">
        <v>1636</v>
      </c>
      <c r="B5" s="2970"/>
      <c r="C5" s="2970"/>
      <c r="D5" s="2971" t="str">
        <f ca="1">结果表!D119</f>
        <v>陆仟叁佰柒拾玖万元整</v>
      </c>
      <c r="E5" s="2971"/>
      <c r="F5" s="2971" t="str">
        <f ca="1">结果表!F119</f>
        <v>壹亿贰仟零伍拾陆万元整</v>
      </c>
      <c r="G5" s="2971"/>
      <c r="H5" s="2971" t="str">
        <f ca="1">结果表!H119</f>
        <v>壹亿捌仟肆佰叁拾伍万元整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房地产抵押价值</v>
      </c>
      <c r="B8" s="2972"/>
      <c r="C8" s="2972"/>
      <c r="D8" s="2972">
        <f ca="1">结果表!D122</f>
        <v>18435</v>
      </c>
      <c r="E8" s="2972"/>
      <c r="F8" s="2972"/>
      <c r="G8" s="2972"/>
      <c r="H8" s="2972"/>
      <c r="I8" s="2972"/>
    </row>
    <row r="9" spans="1:9" ht="15">
      <c r="A9" s="2970" t="s">
        <v>1636</v>
      </c>
      <c r="B9" s="2970"/>
      <c r="C9" s="2970"/>
      <c r="D9" s="2971" t="str">
        <f ca="1">结果表!D123</f>
        <v>壹亿捌仟肆佰叁拾伍万元整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1658</v>
      </c>
      <c r="B1" s="2979"/>
      <c r="C1" s="2979"/>
      <c r="D1" s="2979"/>
    </row>
    <row r="2" spans="1:4" ht="18">
      <c r="A2" s="2980" t="s">
        <v>1642</v>
      </c>
      <c r="B2" s="2980"/>
      <c r="C2" s="2980"/>
      <c r="D2" s="2980"/>
    </row>
    <row r="3" spans="1:4" ht="18.75">
      <c r="A3" s="1980" t="s">
        <v>1643</v>
      </c>
      <c r="B3" s="1980" t="s">
        <v>1644</v>
      </c>
      <c r="C3" s="1980" t="s">
        <v>1645</v>
      </c>
      <c r="D3" s="1980" t="s">
        <v>1646</v>
      </c>
    </row>
    <row r="4" spans="1:4" ht="56.25" customHeight="1">
      <c r="A4" s="1981" t="str">
        <f>项目基本情况!B4</f>
        <v>崔锴</v>
      </c>
      <c r="B4" s="1982">
        <f ca="1">项目基本情况!C4</f>
        <v>1120100036</v>
      </c>
      <c r="C4" s="1983"/>
      <c r="D4" s="1984" t="s">
        <v>1647</v>
      </c>
    </row>
    <row r="5" spans="1:4" ht="56.25" customHeight="1">
      <c r="A5" s="1981" t="str">
        <f>项目基本情况!D4</f>
        <v>郑燚</v>
      </c>
      <c r="B5" s="1982">
        <f ca="1">项目基本情况!E4</f>
        <v>1120070131</v>
      </c>
      <c r="C5" s="1985"/>
      <c r="D5" s="1984" t="s">
        <v>1647</v>
      </c>
    </row>
    <row r="6" spans="1:4" ht="18">
      <c r="A6" s="2980" t="s">
        <v>1648</v>
      </c>
      <c r="B6" s="2980"/>
      <c r="C6" s="2980"/>
      <c r="D6" s="298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（1）根据估价对象《不动产权证书》原件、《国有土地使用权》原件，截至价值时点，估价对象抵押权未见登记。</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3" t="s">
        <v>1665</v>
      </c>
      <c r="B15" s="2988" t="s">
        <v>136</v>
      </c>
      <c r="C15" s="2989"/>
    </row>
    <row r="16" spans="1:7" ht="13.5">
      <c r="A16" s="2994"/>
      <c r="B16" s="2988" t="s">
        <v>69</v>
      </c>
      <c r="C16" s="2989"/>
    </row>
    <row r="17" spans="1:3" ht="13.5">
      <c r="A17" s="2994"/>
      <c r="B17" s="2991" t="s">
        <v>1666</v>
      </c>
      <c r="C17" s="2003" t="s">
        <v>1665</v>
      </c>
    </row>
    <row r="18" spans="1:3" ht="13.5">
      <c r="A18" s="2994"/>
      <c r="B18" s="2991"/>
      <c r="C18" s="2003" t="s">
        <v>1667</v>
      </c>
    </row>
    <row r="19" spans="1:3" ht="13.5">
      <c r="A19" s="2994"/>
      <c r="B19" s="2991"/>
      <c r="C19" s="2003" t="s">
        <v>1668</v>
      </c>
    </row>
    <row r="20" spans="1:3" ht="13.5">
      <c r="A20" s="2995"/>
      <c r="B20" s="2990" t="s">
        <v>1669</v>
      </c>
      <c r="C20" s="2989"/>
    </row>
    <row r="21" spans="1:3" ht="13.5">
      <c r="A21" s="2004" t="s">
        <v>1670</v>
      </c>
      <c r="B21" s="2005"/>
      <c r="C21" s="2006"/>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3" t="s">
        <v>1676</v>
      </c>
    </row>
    <row r="26" spans="1:3" ht="13.5">
      <c r="A26" s="2992"/>
      <c r="B26" s="2991"/>
      <c r="C26" s="2003" t="s">
        <v>1677</v>
      </c>
    </row>
    <row r="27" spans="1:3" ht="13.5">
      <c r="A27" s="2992"/>
      <c r="B27" s="2991"/>
      <c r="C27" s="2003" t="s">
        <v>1678</v>
      </c>
    </row>
    <row r="28" spans="1:3" ht="13.5">
      <c r="A28" s="2992"/>
      <c r="B28" s="2991"/>
      <c r="C28" s="2003" t="s">
        <v>1679</v>
      </c>
    </row>
    <row r="29" spans="1:3" ht="13.5">
      <c r="A29" s="2992"/>
      <c r="B29" s="2991"/>
      <c r="C29" s="2003" t="s">
        <v>1680</v>
      </c>
    </row>
    <row r="30" spans="1:3" ht="13.5">
      <c r="A30" s="2992"/>
      <c r="B30" s="2991"/>
      <c r="C30" s="2003" t="s">
        <v>1681</v>
      </c>
    </row>
    <row r="31" spans="1:3" ht="13.5">
      <c r="A31" s="2992"/>
      <c r="B31" s="2991"/>
      <c r="C31" s="2003" t="s">
        <v>1682</v>
      </c>
    </row>
    <row r="32" spans="1:3" ht="13.5">
      <c r="A32" s="2992"/>
      <c r="B32" s="2991"/>
      <c r="C32" s="2003" t="s">
        <v>1683</v>
      </c>
    </row>
    <row r="33" spans="1:3" ht="13.5">
      <c r="A33" s="2992"/>
      <c r="B33" s="2991"/>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43476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3040</v>
      </c>
      <c r="B14" s="1025">
        <f ca="1">IF(C14&lt;B2,"已过期",1120040230)</f>
        <v>1120040230</v>
      </c>
      <c r="C14" s="2348">
        <v>43835</v>
      </c>
      <c r="D14" s="2351" t="s">
        <v>3040</v>
      </c>
      <c r="E14" s="1025">
        <f ca="1">IF(F14&lt;B2,"已过期",98030020)</f>
        <v>98030020</v>
      </c>
      <c r="F14" s="1033">
        <v>47118</v>
      </c>
    </row>
    <row r="15" spans="1:6" ht="24" customHeight="1">
      <c r="A15" s="1706" t="s">
        <v>3041</v>
      </c>
      <c r="B15" s="1025">
        <f ca="1">IF(C15&lt;B2,"已过期",1120070085)</f>
        <v>1120070085</v>
      </c>
      <c r="C15" s="2348">
        <v>43814</v>
      </c>
      <c r="D15" s="2352" t="s">
        <v>3041</v>
      </c>
      <c r="E15" s="1025">
        <f ca="1">IF(F15&lt;B2,"已过期",2004110128)</f>
        <v>2004110128</v>
      </c>
      <c r="F15" s="1026">
        <v>47118</v>
      </c>
    </row>
    <row r="16" spans="1:6" ht="24" customHeight="1">
      <c r="A16" s="1705" t="s">
        <v>3042</v>
      </c>
      <c r="B16" s="1025">
        <f ca="1">IF(C16&lt;B2,"已过期",1120140022)</f>
        <v>1120140022</v>
      </c>
      <c r="C16" s="2943">
        <v>44029</v>
      </c>
      <c r="D16" s="2351" t="s">
        <v>3042</v>
      </c>
      <c r="E16" s="1025">
        <f ca="1">IF(F16&lt;B2,"已过期",2008110059)</f>
        <v>2008110059</v>
      </c>
      <c r="F16" s="1033">
        <v>47177</v>
      </c>
    </row>
    <row r="17" spans="1:7" ht="24" customHeight="1">
      <c r="A17" s="1705"/>
      <c r="B17" s="1025"/>
      <c r="C17" s="2348"/>
      <c r="D17" s="2351" t="s">
        <v>3043</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43">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2996" t="s">
        <v>843</v>
      </c>
      <c r="B25" s="2996"/>
      <c r="C25" s="2996"/>
      <c r="D25" s="2996"/>
      <c r="E25" s="2996"/>
      <c r="F25" s="2996"/>
      <c r="G25" s="2996"/>
    </row>
    <row r="26" spans="1:7" s="1028" customFormat="1" ht="24" customHeight="1">
      <c r="A26" s="2997" t="s">
        <v>844</v>
      </c>
      <c r="B26" s="2997"/>
      <c r="C26" s="2998"/>
      <c r="D26" s="2999" t="s">
        <v>845</v>
      </c>
      <c r="E26" s="2997"/>
      <c r="F26" s="2997"/>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2019-01-11T02:28:18Z</dcterms:modified>
</cp:coreProperties>
</file>