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1-wangchaoyue23\共享文档2\🔺🔺🔺项目资料🔺🔺🔺\武汉CFD时代财富中心办公-吴琼中行复估\"/>
    </mc:Choice>
  </mc:AlternateContent>
  <xr:revisionPtr revIDLastSave="0" documentId="13_ncr:1_{A696FF46-475A-49C3-83D6-87EC23CB3C50}" xr6:coauthVersionLast="47" xr6:coauthVersionMax="47" xr10:uidLastSave="{00000000-0000-0000-0000-000000000000}"/>
  <bookViews>
    <workbookView xWindow="-108" yWindow="-108" windowWidth="20376" windowHeight="12216"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分套价值" sheetId="80"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3" i="80"/>
  <c r="F3" i="80" s="1"/>
  <c r="D4" i="80"/>
  <c r="F4" i="80" s="1"/>
  <c r="D5" i="80"/>
  <c r="F5" i="80" s="1"/>
  <c r="D2" i="80"/>
  <c r="F2" i="80" s="1"/>
  <c r="C22" i="6"/>
  <c r="C21" i="6"/>
  <c r="C20" i="6"/>
  <c r="C19" i="6"/>
  <c r="C3" i="80"/>
  <c r="C4" i="80"/>
  <c r="C5" i="80"/>
  <c r="C2" i="80"/>
  <c r="F20" i="6"/>
  <c r="F21" i="6"/>
  <c r="F22" i="6"/>
  <c r="F19" i="6"/>
  <c r="C60" i="78"/>
  <c r="D60" i="78" s="1"/>
  <c r="B55" i="78"/>
  <c r="D55" i="78" s="1"/>
  <c r="D53" i="78"/>
  <c r="D52" i="78"/>
  <c r="D51" i="78" s="1"/>
  <c r="B51" i="78"/>
  <c r="B56" i="78" s="1"/>
  <c r="F6" i="80" l="1"/>
  <c r="D14" i="74" s="1"/>
  <c r="G14" i="74" s="1"/>
  <c r="D6" i="80"/>
  <c r="B14" i="74"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Z3" i="79"/>
  <c r="S17"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E22" i="71" s="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D76" i="71"/>
  <c r="D80" i="71"/>
  <c r="C87" i="71"/>
  <c r="C86" i="71" s="1"/>
  <c r="D86" i="71" s="1"/>
  <c r="F28" i="71"/>
  <c r="F27" i="71"/>
  <c r="F26" i="71" s="1"/>
  <c r="AB28" i="71"/>
  <c r="D63" i="7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5" i="3" s="1"/>
  <c r="BS16" i="3"/>
  <c r="BS17" i="3"/>
  <c r="BR14" i="3"/>
  <c r="BR15" i="3"/>
  <c r="BR5" i="3" s="1"/>
  <c r="BR16" i="3"/>
  <c r="BR17" i="3"/>
  <c r="BT13" i="3"/>
  <c r="BT14" i="3"/>
  <c r="BT5" i="3" s="1"/>
  <c r="BT15" i="3"/>
  <c r="BT16" i="3"/>
  <c r="BT17" i="3"/>
  <c r="BM14" i="3"/>
  <c r="BM5" i="3" s="1"/>
  <c r="BM15" i="3"/>
  <c r="BM16" i="3"/>
  <c r="BM17" i="3"/>
  <c r="BO13" i="3"/>
  <c r="BO14" i="3"/>
  <c r="BO15" i="3"/>
  <c r="BO16" i="3"/>
  <c r="BO17" i="3"/>
  <c r="BN13" i="3"/>
  <c r="BN14" i="3"/>
  <c r="BN15" i="3"/>
  <c r="BN5" i="3" s="1"/>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D5" i="3" s="1"/>
  <c r="BE15" i="3"/>
  <c r="BE5" i="3" s="1"/>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c r="H26" i="37"/>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F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F89" i="35" s="1"/>
  <c r="G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J25" i="35" s="1"/>
  <c r="B75" i="35"/>
  <c r="J24" i="35" s="1"/>
  <c r="AC24" i="35" s="1"/>
  <c r="B73" i="35"/>
  <c r="J23" i="35" s="1"/>
  <c r="AC23" i="35" s="1"/>
  <c r="H23" i="35"/>
  <c r="U23" i="35" s="1"/>
  <c r="B57" i="35"/>
  <c r="F11" i="35" s="1"/>
  <c r="S11" i="35" s="1"/>
  <c r="B61" i="35"/>
  <c r="B59" i="35"/>
  <c r="B131" i="34"/>
  <c r="H47" i="34" s="1"/>
  <c r="U47" i="34" s="1"/>
  <c r="B129" i="34"/>
  <c r="J46" i="34" s="1"/>
  <c r="B127" i="34"/>
  <c r="B99" i="34"/>
  <c r="J32" i="34" s="1"/>
  <c r="W32" i="34" s="1"/>
  <c r="B97" i="34"/>
  <c r="B95" i="34"/>
  <c r="B93" i="34"/>
  <c r="B75" i="34"/>
  <c r="B73" i="34"/>
  <c r="B71" i="34"/>
  <c r="J12" i="34" s="1"/>
  <c r="W12" i="34" s="1"/>
  <c r="B130" i="33"/>
  <c r="B128" i="33"/>
  <c r="F45" i="33" s="1"/>
  <c r="B126" i="33"/>
  <c r="B98" i="33"/>
  <c r="F31" i="33" s="1"/>
  <c r="B96" i="33"/>
  <c r="B94" i="33"/>
  <c r="F29" i="33" s="1"/>
  <c r="S29" i="33" s="1"/>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J30" i="21" s="1"/>
  <c r="B94" i="21"/>
  <c r="J29" i="21" s="1"/>
  <c r="AC29" i="21"/>
  <c r="B92" i="21"/>
  <c r="J28" i="21" s="1"/>
  <c r="W28" i="21" s="1"/>
  <c r="B90" i="2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F35" i="39"/>
  <c r="U9" i="39"/>
  <c r="W40" i="39"/>
  <c r="W25" i="37"/>
  <c r="W31" i="37"/>
  <c r="E103" i="37"/>
  <c r="F103" i="37"/>
  <c r="G103" i="37" s="1"/>
  <c r="H103" i="37" s="1"/>
  <c r="I103" i="37" s="1"/>
  <c r="J103" i="37" s="1"/>
  <c r="K103" i="37" s="1"/>
  <c r="L103" i="37" s="1"/>
  <c r="M103" i="37" s="1"/>
  <c r="F29" i="36"/>
  <c r="AA29" i="36" s="1"/>
  <c r="F16" i="36"/>
  <c r="AA16" i="36" s="1"/>
  <c r="J33" i="36"/>
  <c r="AC33" i="36" s="1"/>
  <c r="H22" i="35"/>
  <c r="AB22" i="35" s="1"/>
  <c r="W28" i="35"/>
  <c r="U31" i="35"/>
  <c r="W22" i="35"/>
  <c r="F36" i="34"/>
  <c r="J35" i="34"/>
  <c r="H39" i="33"/>
  <c r="AB39" i="33" s="1"/>
  <c r="U33" i="33"/>
  <c r="U35" i="33"/>
  <c r="W33" i="33"/>
  <c r="W39" i="33"/>
  <c r="H39" i="37"/>
  <c r="S27" i="35"/>
  <c r="F11" i="40"/>
  <c r="AA11" i="40"/>
  <c r="H11" i="40"/>
  <c r="AB11" i="40"/>
  <c r="W8" i="40"/>
  <c r="AB39" i="40"/>
  <c r="U9" i="40"/>
  <c r="S34" i="40"/>
  <c r="U38" i="40"/>
  <c r="U34" i="40"/>
  <c r="S38" i="40"/>
  <c r="F42" i="39"/>
  <c r="AA42" i="39" s="1"/>
  <c r="F41" i="39"/>
  <c r="S41" i="39" s="1"/>
  <c r="H40" i="39"/>
  <c r="AB40" i="39" s="1"/>
  <c r="H39" i="39"/>
  <c r="U39" i="39" s="1"/>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AB11" i="39" s="1"/>
  <c r="S40" i="39"/>
  <c r="H32" i="33"/>
  <c r="AB32" i="33"/>
  <c r="H11" i="21"/>
  <c r="U11" i="21" s="1"/>
  <c r="J11" i="21"/>
  <c r="W11" i="21" s="1"/>
  <c r="H37" i="40"/>
  <c r="U37" i="40"/>
  <c r="H36" i="40"/>
  <c r="AB36" i="40" s="1"/>
  <c r="F35" i="40"/>
  <c r="AA35" i="40"/>
  <c r="H23" i="40"/>
  <c r="AB23" i="40" s="1"/>
  <c r="H17" i="40"/>
  <c r="U17" i="40" s="1"/>
  <c r="J15" i="40"/>
  <c r="W15" i="40" s="1"/>
  <c r="J11" i="40"/>
  <c r="W11" i="40"/>
  <c r="AC12" i="34"/>
  <c r="W32" i="40"/>
  <c r="S44" i="39"/>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AA24" i="36"/>
  <c r="F14" i="35"/>
  <c r="AA14" i="35" s="1"/>
  <c r="F23" i="35"/>
  <c r="AA23" i="35" s="1"/>
  <c r="J32" i="35"/>
  <c r="AC32" i="35" s="1"/>
  <c r="J16" i="35"/>
  <c r="AC16" i="35" s="1"/>
  <c r="H16" i="35"/>
  <c r="U16" i="35"/>
  <c r="F16" i="35"/>
  <c r="S16" i="35" s="1"/>
  <c r="H14" i="35"/>
  <c r="AB14" i="35" s="1"/>
  <c r="J29" i="35"/>
  <c r="H33" i="35"/>
  <c r="J20" i="35"/>
  <c r="W20" i="35" s="1"/>
  <c r="F35" i="37"/>
  <c r="S35"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F32" i="33"/>
  <c r="AA32" i="33" s="1"/>
  <c r="J19" i="33"/>
  <c r="AC19" i="33" s="1"/>
  <c r="J15" i="33"/>
  <c r="W15" i="33" s="1"/>
  <c r="F11" i="33"/>
  <c r="AA11" i="33" s="1"/>
  <c r="U40" i="33"/>
  <c r="W40" i="33"/>
  <c r="F37" i="40"/>
  <c r="AA37" i="40" s="1"/>
  <c r="F36" i="40"/>
  <c r="AA36" i="40"/>
  <c r="H28" i="40"/>
  <c r="U28" i="40" s="1"/>
  <c r="F23" i="40"/>
  <c r="AA23" i="40" s="1"/>
  <c r="F17" i="40"/>
  <c r="AA17" i="40" s="1"/>
  <c r="J17" i="40"/>
  <c r="W17" i="40"/>
  <c r="F15" i="40"/>
  <c r="S15" i="40" s="1"/>
  <c r="H15" i="40"/>
  <c r="AB15" i="40" s="1"/>
  <c r="AC11" i="40"/>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H28" i="21"/>
  <c r="AB28" i="21" s="1"/>
  <c r="F28" i="21"/>
  <c r="S28" i="21" s="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H89" i="35"/>
  <c r="I89" i="35" s="1"/>
  <c r="J89" i="35" s="1"/>
  <c r="K89" i="35" s="1"/>
  <c r="L89" i="35" s="1"/>
  <c r="M89" i="35" s="1"/>
  <c r="H10" i="36"/>
  <c r="AB10" i="36" s="1"/>
  <c r="J14" i="36"/>
  <c r="AC14" i="36"/>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c r="J31" i="33"/>
  <c r="W31" i="33"/>
  <c r="H31" i="33"/>
  <c r="H45" i="33"/>
  <c r="J45" i="33"/>
  <c r="W45" i="33" s="1"/>
  <c r="AA45" i="33"/>
  <c r="J14" i="34"/>
  <c r="W14" i="34" s="1"/>
  <c r="F14" i="34"/>
  <c r="S14" i="34" s="1"/>
  <c r="H14" i="34"/>
  <c r="H30" i="34"/>
  <c r="F30" i="34"/>
  <c r="S30" i="34" s="1"/>
  <c r="J30" i="34"/>
  <c r="H32" i="34"/>
  <c r="F32" i="34"/>
  <c r="H46" i="34"/>
  <c r="U46" i="34" s="1"/>
  <c r="F46" i="34"/>
  <c r="H11" i="35"/>
  <c r="AB11" i="35" s="1"/>
  <c r="J11" i="35"/>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30" i="33"/>
  <c r="AB30" i="33" s="1"/>
  <c r="F30" i="33"/>
  <c r="J30" i="33"/>
  <c r="H44" i="33"/>
  <c r="U44" i="33" s="1"/>
  <c r="J46" i="33"/>
  <c r="AC46" i="33" s="1"/>
  <c r="F46" i="33"/>
  <c r="AA46" i="33" s="1"/>
  <c r="H46" i="33"/>
  <c r="AB46" i="33"/>
  <c r="H13" i="34"/>
  <c r="U13" i="34" s="1"/>
  <c r="J29" i="34"/>
  <c r="W29" i="34" s="1"/>
  <c r="F29" i="34"/>
  <c r="S29" i="34" s="1"/>
  <c r="H29" i="34"/>
  <c r="AB29" i="34" s="1"/>
  <c r="F31" i="34"/>
  <c r="S31" i="34" s="1"/>
  <c r="H45" i="34"/>
  <c r="U45" i="34" s="1"/>
  <c r="J45" i="34"/>
  <c r="W45" i="34"/>
  <c r="F45" i="34"/>
  <c r="S45" i="34" s="1"/>
  <c r="F47" i="34"/>
  <c r="S47" i="34" s="1"/>
  <c r="J47" i="34"/>
  <c r="AC47" i="34" s="1"/>
  <c r="F13" i="35"/>
  <c r="J13" i="35"/>
  <c r="W13" i="35" s="1"/>
  <c r="H13" i="35"/>
  <c r="U13" i="35" s="1"/>
  <c r="W25" i="35"/>
  <c r="F25" i="35"/>
  <c r="S25" i="35" s="1"/>
  <c r="H25" i="35"/>
  <c r="AB25" i="35" s="1"/>
  <c r="J35" i="35"/>
  <c r="AC35" i="35" s="1"/>
  <c r="F35" i="35"/>
  <c r="AA35" i="35"/>
  <c r="H35" i="35"/>
  <c r="J25" i="36"/>
  <c r="W25" i="36"/>
  <c r="F25" i="36"/>
  <c r="S25" i="36" s="1"/>
  <c r="AB25" i="36"/>
  <c r="H13" i="37"/>
  <c r="AB13" i="37" s="1"/>
  <c r="F13" i="37"/>
  <c r="S13" i="37" s="1"/>
  <c r="J13" i="37"/>
  <c r="W13" i="37" s="1"/>
  <c r="F28" i="37"/>
  <c r="AA28" i="37" s="1"/>
  <c r="J28" i="37"/>
  <c r="AC28" i="37" s="1"/>
  <c r="H28" i="37"/>
  <c r="H38" i="37"/>
  <c r="U38" i="37" s="1"/>
  <c r="F38" i="37"/>
  <c r="S38" i="37"/>
  <c r="F43" i="39"/>
  <c r="AA43" i="39" s="1"/>
  <c r="H43" i="39"/>
  <c r="J14" i="39"/>
  <c r="AC14" i="39" s="1"/>
  <c r="F14" i="39"/>
  <c r="H14" i="39"/>
  <c r="AB14" i="39" s="1"/>
  <c r="F12" i="40"/>
  <c r="S12" i="40"/>
  <c r="H12" i="40"/>
  <c r="AB12" i="40" s="1"/>
  <c r="H30" i="40"/>
  <c r="AB30" i="40"/>
  <c r="F33" i="40"/>
  <c r="AA33" i="40" s="1"/>
  <c r="H33" i="40"/>
  <c r="U33" i="40"/>
  <c r="J35" i="40"/>
  <c r="W35" i="40" s="1"/>
  <c r="J37" i="40"/>
  <c r="AC37" i="40"/>
  <c r="H13" i="40"/>
  <c r="U13" i="40" s="1"/>
  <c r="J13" i="40"/>
  <c r="W13" i="40"/>
  <c r="F13" i="40"/>
  <c r="S13" i="40" s="1"/>
  <c r="F27" i="37"/>
  <c r="AA27" i="37" s="1"/>
  <c r="F13" i="39"/>
  <c r="J13" i="39"/>
  <c r="W13" i="39" s="1"/>
  <c r="H13" i="39"/>
  <c r="H14" i="40"/>
  <c r="AB14" i="40" s="1"/>
  <c r="J14" i="40"/>
  <c r="W14" i="40" s="1"/>
  <c r="F14" i="40"/>
  <c r="AA14" i="40" s="1"/>
  <c r="J27" i="37"/>
  <c r="AC27" i="37"/>
  <c r="U46" i="33"/>
  <c r="J36" i="37"/>
  <c r="AC36" i="37"/>
  <c r="J10" i="36"/>
  <c r="AC10" i="36" s="1"/>
  <c r="AB30" i="21"/>
  <c r="S11" i="36"/>
  <c r="AB46" i="34"/>
  <c r="AA14" i="34"/>
  <c r="S45" i="33"/>
  <c r="AC28" i="21"/>
  <c r="S44" i="34"/>
  <c r="F17" i="21"/>
  <c r="AA17" i="21" s="1"/>
  <c r="H17" i="21"/>
  <c r="AB17" i="21" s="1"/>
  <c r="F15" i="21"/>
  <c r="S15" i="21" s="1"/>
  <c r="J41" i="39"/>
  <c r="W41" i="39" s="1"/>
  <c r="U36" i="39"/>
  <c r="G544" i="3"/>
  <c r="G540" i="3"/>
  <c r="G536" i="3"/>
  <c r="G531" i="3"/>
  <c r="G528" i="3"/>
  <c r="G523" i="3"/>
  <c r="G518" i="3"/>
  <c r="G514" i="3"/>
  <c r="G508" i="3"/>
  <c r="G504" i="3"/>
  <c r="G500" i="3"/>
  <c r="G584" i="3"/>
  <c r="G580" i="3"/>
  <c r="G576" i="3"/>
  <c r="G572" i="3"/>
  <c r="G568" i="3"/>
  <c r="G564" i="3"/>
  <c r="G560" i="3"/>
  <c r="G554" i="3"/>
  <c r="BL584" i="3"/>
  <c r="BL580" i="3"/>
  <c r="BL576" i="3"/>
  <c r="BL572" i="3"/>
  <c r="BL568" i="3"/>
  <c r="BL564" i="3"/>
  <c r="BL546" i="3"/>
  <c r="BL542" i="3"/>
  <c r="BL530" i="3"/>
  <c r="BL526" i="3"/>
  <c r="BL512" i="3"/>
  <c r="BL506" i="3"/>
  <c r="BL494" i="3"/>
  <c r="BL582" i="3"/>
  <c r="BL578" i="3"/>
  <c r="BL574" i="3"/>
  <c r="BL570" i="3"/>
  <c r="BL566" i="3"/>
  <c r="BL552" i="3"/>
  <c r="BL544" i="3"/>
  <c r="G533" i="3"/>
  <c r="BL532" i="3"/>
  <c r="G529" i="3"/>
  <c r="G525" i="3"/>
  <c r="BL524" i="3"/>
  <c r="BL510" i="3"/>
  <c r="BL504" i="3"/>
  <c r="G493" i="3"/>
  <c r="BA584" i="3"/>
  <c r="AZ584" i="3" s="1"/>
  <c r="BA582" i="3"/>
  <c r="BA580" i="3"/>
  <c r="BA578" i="3"/>
  <c r="BA576" i="3"/>
  <c r="AZ576" i="3" s="1"/>
  <c r="BA574" i="3"/>
  <c r="BA572" i="3"/>
  <c r="AZ572" i="3" s="1"/>
  <c r="BA570" i="3"/>
  <c r="AZ570" i="3" s="1"/>
  <c r="BA568" i="3"/>
  <c r="AZ568" i="3" s="1"/>
  <c r="BA566" i="3"/>
  <c r="BA562" i="3"/>
  <c r="BA560" i="3"/>
  <c r="BA552" i="3"/>
  <c r="AZ552" i="3" s="1"/>
  <c r="BA540" i="3"/>
  <c r="BA538" i="3"/>
  <c r="BA534" i="3"/>
  <c r="BA530" i="3"/>
  <c r="BA524" i="3"/>
  <c r="AZ524" i="3" s="1"/>
  <c r="BA522" i="3"/>
  <c r="BA516" i="3"/>
  <c r="BA514" i="3"/>
  <c r="BA510" i="3"/>
  <c r="AZ510" i="3"/>
  <c r="BA504" i="3"/>
  <c r="AZ504" i="3" s="1"/>
  <c r="BA498" i="3"/>
  <c r="BA587" i="3"/>
  <c r="BA583" i="3"/>
  <c r="BA581" i="3"/>
  <c r="BA579" i="3"/>
  <c r="BA577" i="3"/>
  <c r="BA575" i="3"/>
  <c r="BA573" i="3"/>
  <c r="BA571" i="3"/>
  <c r="AZ571" i="3" s="1"/>
  <c r="BA569" i="3"/>
  <c r="BA567" i="3"/>
  <c r="BA563" i="3"/>
  <c r="BA561" i="3"/>
  <c r="BA553" i="3"/>
  <c r="BA543" i="3"/>
  <c r="BA541" i="3"/>
  <c r="BA535" i="3"/>
  <c r="BA533" i="3"/>
  <c r="BA527" i="3"/>
  <c r="AZ527" i="3" s="1"/>
  <c r="BA525" i="3"/>
  <c r="BA517" i="3"/>
  <c r="BA515" i="3"/>
  <c r="BA507" i="3"/>
  <c r="BA505" i="3"/>
  <c r="BA499" i="3"/>
  <c r="BA497" i="3"/>
  <c r="G583" i="3"/>
  <c r="G581" i="3"/>
  <c r="G579" i="3"/>
  <c r="G577" i="3"/>
  <c r="G575" i="3"/>
  <c r="G573" i="3"/>
  <c r="G571" i="3"/>
  <c r="G569" i="3"/>
  <c r="G567" i="3"/>
  <c r="G565" i="3"/>
  <c r="G563" i="3"/>
  <c r="G561" i="3"/>
  <c r="BL558" i="3"/>
  <c r="AC557" i="3"/>
  <c r="G557" i="3" s="1"/>
  <c r="BQ557" i="3"/>
  <c r="BQ583" i="3"/>
  <c r="BL583" i="3" s="1"/>
  <c r="AZ583" i="3" s="1"/>
  <c r="BQ581" i="3"/>
  <c r="BL581" i="3"/>
  <c r="BQ579" i="3"/>
  <c r="BL579" i="3"/>
  <c r="BQ577" i="3"/>
  <c r="BL577" i="3" s="1"/>
  <c r="BQ575" i="3"/>
  <c r="BL575" i="3"/>
  <c r="BQ573" i="3"/>
  <c r="BL573" i="3" s="1"/>
  <c r="AZ573" i="3" s="1"/>
  <c r="BQ571" i="3"/>
  <c r="BL571" i="3"/>
  <c r="BQ569" i="3"/>
  <c r="BL569" i="3" s="1"/>
  <c r="BQ567" i="3"/>
  <c r="BL567" i="3" s="1"/>
  <c r="BQ565" i="3"/>
  <c r="BQ563" i="3"/>
  <c r="BQ561" i="3"/>
  <c r="BL561" i="3"/>
  <c r="AZ561" i="3" s="1"/>
  <c r="BQ559" i="3"/>
  <c r="BL559" i="3" s="1"/>
  <c r="G555" i="3"/>
  <c r="G553" i="3"/>
  <c r="G547" i="3"/>
  <c r="G545" i="3"/>
  <c r="G543" i="3"/>
  <c r="G539" i="3"/>
  <c r="G537" i="3"/>
  <c r="BQ555" i="3"/>
  <c r="BQ553" i="3"/>
  <c r="BQ551" i="3"/>
  <c r="BQ549" i="3"/>
  <c r="BQ547" i="3"/>
  <c r="BL547" i="3" s="1"/>
  <c r="BQ545" i="3"/>
  <c r="BQ543" i="3"/>
  <c r="BQ541" i="3"/>
  <c r="BQ539" i="3"/>
  <c r="BQ537" i="3"/>
  <c r="BL537" i="3" s="1"/>
  <c r="BQ535" i="3"/>
  <c r="BQ533" i="3"/>
  <c r="BL533" i="3"/>
  <c r="AZ533" i="3" s="1"/>
  <c r="BQ531" i="3"/>
  <c r="BL531" i="3" s="1"/>
  <c r="BQ529" i="3"/>
  <c r="BQ527" i="3"/>
  <c r="BL527" i="3" s="1"/>
  <c r="BQ525" i="3"/>
  <c r="BQ523" i="3"/>
  <c r="BL523" i="3" s="1"/>
  <c r="BA521" i="3"/>
  <c r="AC521" i="3"/>
  <c r="G521" i="3"/>
  <c r="BQ521" i="3"/>
  <c r="BL521" i="3"/>
  <c r="AZ521" i="3" s="1"/>
  <c r="G519" i="3"/>
  <c r="G517" i="3"/>
  <c r="G515" i="3"/>
  <c r="G511" i="3"/>
  <c r="BQ519" i="3"/>
  <c r="BL519" i="3" s="1"/>
  <c r="BQ517" i="3"/>
  <c r="BQ515" i="3"/>
  <c r="BL515" i="3" s="1"/>
  <c r="AZ515" i="3" s="1"/>
  <c r="BQ513" i="3"/>
  <c r="BQ511" i="3"/>
  <c r="BA509" i="3"/>
  <c r="AC509" i="3"/>
  <c r="BQ509" i="3"/>
  <c r="BL508" i="3"/>
  <c r="G503" i="3"/>
  <c r="G501" i="3"/>
  <c r="G495" i="3"/>
  <c r="BQ507" i="3"/>
  <c r="BQ505" i="3"/>
  <c r="BQ503" i="3"/>
  <c r="BL503" i="3" s="1"/>
  <c r="BQ501" i="3"/>
  <c r="BQ499" i="3"/>
  <c r="BL499" i="3"/>
  <c r="AZ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AC36" i="34"/>
  <c r="AA13" i="33"/>
  <c r="AC31" i="33"/>
  <c r="AC45" i="33"/>
  <c r="U11" i="33"/>
  <c r="U19" i="21"/>
  <c r="W44" i="21"/>
  <c r="AB38" i="21"/>
  <c r="F43" i="33"/>
  <c r="AA43" i="33"/>
  <c r="W15" i="34"/>
  <c r="AC15" i="34"/>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U45" i="39"/>
  <c r="AB45" i="39"/>
  <c r="G100" i="39"/>
  <c r="H37" i="39"/>
  <c r="AB37" i="39" s="1"/>
  <c r="H25" i="39"/>
  <c r="U25" i="39" s="1"/>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A118" i="9"/>
  <c r="A4" i="52"/>
  <c r="B41" i="72" s="1"/>
  <c r="J11" i="39"/>
  <c r="W11" i="39" s="1"/>
  <c r="F11" i="39"/>
  <c r="S11" i="39" s="1"/>
  <c r="G4" i="4"/>
  <c r="I4" i="4"/>
  <c r="A2" i="9"/>
  <c r="F61" i="43"/>
  <c r="H64" i="43" s="1"/>
  <c r="BL549" i="3"/>
  <c r="AZ530" i="3"/>
  <c r="G546"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168" i="3"/>
  <c r="AZ120" i="3"/>
  <c r="G534" i="3"/>
  <c r="G530" i="3"/>
  <c r="G522" i="3"/>
  <c r="G516" i="3"/>
  <c r="G512" i="3"/>
  <c r="G506" i="3"/>
  <c r="G494"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98"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AZ391" i="3" s="1"/>
  <c r="BL392" i="3"/>
  <c r="G393" i="3"/>
  <c r="AZ291" i="3"/>
  <c r="BO5" i="3"/>
  <c r="BJ5" i="3"/>
  <c r="BH5" i="3"/>
  <c r="BF5" i="3"/>
  <c r="AC5" i="3"/>
  <c r="G548" i="3"/>
  <c r="G538" i="3"/>
  <c r="G520" i="3"/>
  <c r="G502" i="3"/>
  <c r="BP5" i="3"/>
  <c r="G17" i="3"/>
  <c r="BA17" i="3"/>
  <c r="AZ392" i="3"/>
  <c r="AZ509" i="3"/>
  <c r="G509" i="3"/>
  <c r="BL493" i="3"/>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U27" i="40"/>
  <c r="J27" i="40"/>
  <c r="AC27" i="40" s="1"/>
  <c r="F27" i="40"/>
  <c r="AA27" i="40" s="1"/>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56" i="3"/>
  <c r="AZ13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D93" i="9"/>
  <c r="K6" i="1"/>
  <c r="AP6" i="1" s="1"/>
  <c r="AC26" i="33"/>
  <c r="W26" i="33"/>
  <c r="W27" i="34"/>
  <c r="AC27" i="34"/>
  <c r="AB33" i="36"/>
  <c r="U33" i="36"/>
  <c r="AC12" i="39"/>
  <c r="W12" i="39"/>
  <c r="AC39" i="40"/>
  <c r="W39" i="40"/>
  <c r="AZ412" i="3"/>
  <c r="AZ433" i="3"/>
  <c r="W12" i="33"/>
  <c r="AC12" i="33"/>
  <c r="BL14" i="3"/>
  <c r="U30" i="33"/>
  <c r="AA47" i="34"/>
  <c r="W28" i="37"/>
  <c r="S19" i="39"/>
  <c r="F12" i="33"/>
  <c r="H12" i="39"/>
  <c r="U12" i="39" s="1"/>
  <c r="AB12" i="39"/>
  <c r="F39" i="40"/>
  <c r="AZ254" i="3"/>
  <c r="AZ297" i="3"/>
  <c r="AZ173" i="3"/>
  <c r="AZ181" i="3"/>
  <c r="B12" i="1"/>
  <c r="E12" i="1" s="1"/>
  <c r="B10" i="1"/>
  <c r="E10" i="1" s="1"/>
  <c r="K12" i="1"/>
  <c r="M12" i="1" s="1"/>
  <c r="S13" i="1"/>
  <c r="AR13" i="1" s="1"/>
  <c r="R13" i="1"/>
  <c r="J51" i="67"/>
  <c r="AC34" i="33"/>
  <c r="AA34" i="33"/>
  <c r="B41" i="1"/>
  <c r="F48" i="9" s="1"/>
  <c r="O52" i="9" s="1"/>
  <c r="AB37" i="40"/>
  <c r="S35" i="40"/>
  <c r="U35" i="40"/>
  <c r="AC36" i="40"/>
  <c r="W38" i="40"/>
  <c r="AA32" i="40"/>
  <c r="S17" i="40"/>
  <c r="AC17" i="40"/>
  <c r="AC15" i="40"/>
  <c r="AA19" i="40"/>
  <c r="S28" i="40"/>
  <c r="U21" i="40"/>
  <c r="AB19" i="40"/>
  <c r="U37" i="39"/>
  <c r="U35" i="39"/>
  <c r="F32" i="39"/>
  <c r="AA32" i="39" s="1"/>
  <c r="F106" i="39"/>
  <c r="G106" i="39" s="1"/>
  <c r="H106" i="39" s="1"/>
  <c r="I106" i="39" s="1"/>
  <c r="J106" i="39" s="1"/>
  <c r="K106" i="39" s="1"/>
  <c r="L106" i="39" s="1"/>
  <c r="M106" i="39" s="1"/>
  <c r="AB27" i="39"/>
  <c r="J21" i="39"/>
  <c r="W21" i="39" s="1"/>
  <c r="F21" i="39"/>
  <c r="G94" i="39"/>
  <c r="H21" i="39"/>
  <c r="AB21" i="39" s="1"/>
  <c r="W19" i="39"/>
  <c r="U19" i="39"/>
  <c r="S17" i="39"/>
  <c r="S15" i="39"/>
  <c r="AA12" i="39"/>
  <c r="S9" i="39"/>
  <c r="U14" i="39"/>
  <c r="AC13" i="39"/>
  <c r="S23" i="36"/>
  <c r="U13" i="36"/>
  <c r="U26" i="36"/>
  <c r="S33" i="36"/>
  <c r="AA26" i="36"/>
  <c r="AC26" i="36"/>
  <c r="AA22" i="36"/>
  <c r="W14" i="36"/>
  <c r="AB14" i="36"/>
  <c r="U22" i="36"/>
  <c r="S16" i="36"/>
  <c r="S24" i="36"/>
  <c r="U24" i="36"/>
  <c r="U23" i="36"/>
  <c r="AB20" i="36"/>
  <c r="U16" i="36"/>
  <c r="S14" i="36"/>
  <c r="S23" i="35"/>
  <c r="W24" i="35"/>
  <c r="AB13" i="35"/>
  <c r="U29" i="35"/>
  <c r="U28" i="35"/>
  <c r="AB27" i="35"/>
  <c r="U36" i="35"/>
  <c r="U32" i="35"/>
  <c r="AA33" i="35"/>
  <c r="AC30" i="35"/>
  <c r="S32" i="35"/>
  <c r="AA36" i="35"/>
  <c r="S28" i="35"/>
  <c r="AB16" i="35"/>
  <c r="U22" i="35"/>
  <c r="AC20" i="35"/>
  <c r="S22" i="35"/>
  <c r="U14" i="35"/>
  <c r="AA11" i="35"/>
  <c r="AC9" i="35"/>
  <c r="W9" i="35"/>
  <c r="F9" i="35"/>
  <c r="S9" i="35" s="1"/>
  <c r="H9" i="35"/>
  <c r="U9" i="35" s="1"/>
  <c r="AB40" i="37"/>
  <c r="W27" i="37"/>
  <c r="AC29" i="37"/>
  <c r="U29" i="37"/>
  <c r="S32" i="37"/>
  <c r="AB31" i="37"/>
  <c r="W30" i="37"/>
  <c r="S36" i="37"/>
  <c r="AA38" i="37"/>
  <c r="W38" i="37"/>
  <c r="AC35" i="37"/>
  <c r="S30" i="37"/>
  <c r="S37" i="37"/>
  <c r="AC15" i="37"/>
  <c r="J17" i="37"/>
  <c r="W17" i="37" s="1"/>
  <c r="G73" i="37"/>
  <c r="F17" i="37"/>
  <c r="AA17" i="37" s="1"/>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AC42" i="34"/>
  <c r="AB35" i="34"/>
  <c r="U39" i="34"/>
  <c r="AB41" i="34"/>
  <c r="AA45" i="34"/>
  <c r="AA25" i="34"/>
  <c r="S17" i="34"/>
  <c r="AA29"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U9" i="33"/>
  <c r="J10" i="33"/>
  <c r="W10" i="33" s="1"/>
  <c r="H10" i="33"/>
  <c r="U10" i="33" s="1"/>
  <c r="AC11" i="33"/>
  <c r="W43" i="21"/>
  <c r="W36" i="21"/>
  <c r="W41" i="21"/>
  <c r="AB39" i="21"/>
  <c r="AA43" i="21"/>
  <c r="S39" i="21"/>
  <c r="AA38" i="21"/>
  <c r="AA36" i="21"/>
  <c r="AC40" i="21"/>
  <c r="J15" i="21"/>
  <c r="W15" i="21" s="1"/>
  <c r="F77" i="21"/>
  <c r="G77" i="21"/>
  <c r="F23" i="21"/>
  <c r="S23" i="21" s="1"/>
  <c r="E85" i="21"/>
  <c r="C18" i="9"/>
  <c r="D18" i="9" s="1"/>
  <c r="F34" i="67"/>
  <c r="F62" i="67" s="1"/>
  <c r="M20" i="67"/>
  <c r="F34" i="15"/>
  <c r="F62" i="15" s="1"/>
  <c r="G13" i="3"/>
  <c r="BA13" i="3"/>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W23" i="40"/>
  <c r="U32" i="40"/>
  <c r="AB31" i="40"/>
  <c r="S37"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U11" i="39"/>
  <c r="AA27" i="39"/>
  <c r="S27" i="39"/>
  <c r="W17" i="39"/>
  <c r="AC17" i="39"/>
  <c r="AA45" i="39"/>
  <c r="AB39" i="39"/>
  <c r="W34" i="39"/>
  <c r="U38" i="39"/>
  <c r="S8" i="39"/>
  <c r="S20" i="36"/>
  <c r="AC25" i="36"/>
  <c r="W29" i="36"/>
  <c r="AC20" i="36"/>
  <c r="U25" i="36"/>
  <c r="AA13" i="36"/>
  <c r="W9" i="36"/>
  <c r="W22" i="36"/>
  <c r="W23" i="36"/>
  <c r="AB20" i="35"/>
  <c r="AC25" i="35"/>
  <c r="U25" i="35"/>
  <c r="S24" i="35"/>
  <c r="U24" i="35"/>
  <c r="S35" i="35"/>
  <c r="W35" i="35"/>
  <c r="AA16" i="35"/>
  <c r="AA35" i="37"/>
  <c r="W36" i="37"/>
  <c r="S27" i="37"/>
  <c r="W32" i="37"/>
  <c r="U36" i="37"/>
  <c r="S40" i="37"/>
  <c r="AB37" i="37"/>
  <c r="AC34" i="37"/>
  <c r="U19" i="37"/>
  <c r="AA29" i="37"/>
  <c r="U8" i="37"/>
  <c r="AB40" i="34"/>
  <c r="U19" i="34"/>
  <c r="W19"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AB44" i="33"/>
  <c r="S30" i="33"/>
  <c r="AA30"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7" i="21"/>
  <c r="AC19" i="21"/>
  <c r="W39"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A21" i="39"/>
  <c r="S21" i="39"/>
  <c r="AC17" i="37"/>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J27" i="33"/>
  <c r="W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AB23" i="21" s="1"/>
  <c r="AP7" i="1"/>
  <c r="AB45" i="21"/>
  <c r="AB9" i="21"/>
  <c r="AA32" i="21"/>
  <c r="S32" i="21"/>
  <c r="AB32" i="21"/>
  <c r="U32" i="21"/>
  <c r="U32" i="39"/>
  <c r="AC32" i="39"/>
  <c r="W32" i="39"/>
  <c r="J11" i="37"/>
  <c r="AC11" i="37" s="1"/>
  <c r="J11" i="34"/>
  <c r="W11" i="34" s="1"/>
  <c r="AB36" i="33"/>
  <c r="W25" i="33"/>
  <c r="AC25" i="33"/>
  <c r="AB19" i="33"/>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D19" i="9"/>
  <c r="E8" i="76"/>
  <c r="D34" i="9"/>
  <c r="B8" i="76"/>
  <c r="B11" i="76"/>
  <c r="B10" i="76"/>
  <c r="C20" i="9"/>
  <c r="F20" i="31"/>
  <c r="B7" i="76"/>
  <c r="E10" i="76"/>
  <c r="F7" i="73"/>
  <c r="F4" i="73"/>
  <c r="E11" i="76"/>
  <c r="D35" i="9"/>
  <c r="E7" i="76"/>
  <c r="F5" i="73"/>
  <c r="C19" i="9"/>
  <c r="B12" i="76"/>
  <c r="E13" i="76"/>
  <c r="B9" i="76"/>
  <c r="B13" i="76"/>
  <c r="F3" i="73"/>
  <c r="E9" i="76"/>
  <c r="E12" i="76"/>
  <c r="E2" i="69"/>
  <c r="AO13" i="1"/>
  <c r="E2" i="68"/>
  <c r="F6" i="73"/>
  <c r="D20" i="9"/>
  <c r="K8" i="1" l="1"/>
  <c r="M8" i="1" s="1"/>
  <c r="G1" i="68"/>
  <c r="K9" i="1"/>
  <c r="M9" i="1" s="1"/>
  <c r="G1" i="15"/>
  <c r="K1" i="12"/>
  <c r="G1" i="67"/>
  <c r="G1" i="69"/>
  <c r="BA15" i="3"/>
  <c r="BL15" i="3"/>
  <c r="BK5" i="3"/>
  <c r="BG5" i="3"/>
  <c r="F29" i="6"/>
  <c r="BA16" i="3"/>
  <c r="BC5" i="3"/>
  <c r="G29" i="6"/>
  <c r="BB5" i="3"/>
  <c r="J1" i="73"/>
  <c r="G23" i="43"/>
  <c r="C23" i="43" s="1"/>
  <c r="C7" i="33"/>
  <c r="C7" i="36"/>
  <c r="C46" i="36" s="1"/>
  <c r="D46" i="36" s="1"/>
  <c r="E46" i="36" s="1"/>
  <c r="F46" i="36" s="1"/>
  <c r="G46" i="36" s="1"/>
  <c r="H46" i="36" s="1"/>
  <c r="I46" i="36" s="1"/>
  <c r="J46" i="36" s="1"/>
  <c r="M47" i="9"/>
  <c r="C7" i="35"/>
  <c r="C48" i="35" s="1"/>
  <c r="D48" i="35" s="1"/>
  <c r="C42" i="1"/>
  <c r="C24" i="12" s="1"/>
  <c r="AZ549" i="3"/>
  <c r="AZ579" i="3"/>
  <c r="AA13" i="40"/>
  <c r="AC35" i="40"/>
  <c r="AB38" i="37"/>
  <c r="AC13" i="35"/>
  <c r="AA28" i="21"/>
  <c r="AC15" i="33"/>
  <c r="B72" i="43"/>
  <c r="C15" i="39"/>
  <c r="AC28" i="36"/>
  <c r="W28" i="36"/>
  <c r="J37" i="39"/>
  <c r="F37" i="39"/>
  <c r="AA38" i="39"/>
  <c r="S38" i="39"/>
  <c r="BA565" i="3"/>
  <c r="BA564" i="3"/>
  <c r="AZ564" i="3" s="1"/>
  <c r="BL563" i="3"/>
  <c r="AZ563" i="3" s="1"/>
  <c r="BL562" i="3"/>
  <c r="BL560" i="3"/>
  <c r="AZ560" i="3" s="1"/>
  <c r="BA559" i="3"/>
  <c r="AZ559" i="3" s="1"/>
  <c r="BA558" i="3"/>
  <c r="AZ558" i="3" s="1"/>
  <c r="BA557" i="3"/>
  <c r="BL556" i="3"/>
  <c r="AZ556" i="3" s="1"/>
  <c r="BL555" i="3"/>
  <c r="BA555" i="3"/>
  <c r="BL554" i="3"/>
  <c r="BA554" i="3"/>
  <c r="AZ554" i="3" s="1"/>
  <c r="BL551" i="3"/>
  <c r="BA548" i="3"/>
  <c r="BA547" i="3"/>
  <c r="BA546" i="3"/>
  <c r="AZ546" i="3" s="1"/>
  <c r="BL545" i="3"/>
  <c r="BA545" i="3"/>
  <c r="BA542" i="3"/>
  <c r="AZ542" i="3" s="1"/>
  <c r="BL541" i="3"/>
  <c r="AZ541" i="3" s="1"/>
  <c r="BL540" i="3"/>
  <c r="AZ540" i="3" s="1"/>
  <c r="BA539" i="3"/>
  <c r="BL538" i="3"/>
  <c r="BA537" i="3"/>
  <c r="AZ537" i="3" s="1"/>
  <c r="BL536" i="3"/>
  <c r="BA536" i="3"/>
  <c r="BL534" i="3"/>
  <c r="BA532" i="3"/>
  <c r="AZ532" i="3" s="1"/>
  <c r="BA531" i="3"/>
  <c r="BL529" i="3"/>
  <c r="BA529" i="3"/>
  <c r="AZ529" i="3" s="1"/>
  <c r="BL528" i="3"/>
  <c r="BA528" i="3"/>
  <c r="AZ528" i="3" s="1"/>
  <c r="BA526" i="3"/>
  <c r="AZ526" i="3" s="1"/>
  <c r="BL525" i="3"/>
  <c r="AZ525" i="3" s="1"/>
  <c r="BA523" i="3"/>
  <c r="BL522" i="3"/>
  <c r="AZ522" i="3" s="1"/>
  <c r="BL520" i="3"/>
  <c r="BA520" i="3"/>
  <c r="AZ520" i="3" s="1"/>
  <c r="BA519" i="3"/>
  <c r="AZ519" i="3" s="1"/>
  <c r="BL518" i="3"/>
  <c r="BA518" i="3"/>
  <c r="BL516" i="3"/>
  <c r="AZ516" i="3" s="1"/>
  <c r="BL514" i="3"/>
  <c r="BL513" i="3"/>
  <c r="BA513" i="3"/>
  <c r="BA512" i="3"/>
  <c r="AZ512" i="3" s="1"/>
  <c r="BA511" i="3"/>
  <c r="BA508" i="3"/>
  <c r="AZ508" i="3" s="1"/>
  <c r="BA506" i="3"/>
  <c r="AZ506" i="3" s="1"/>
  <c r="BL505" i="3"/>
  <c r="AZ505" i="3" s="1"/>
  <c r="BA503" i="3"/>
  <c r="AZ503" i="3" s="1"/>
  <c r="BL502" i="3"/>
  <c r="AZ502" i="3" s="1"/>
  <c r="BA502" i="3"/>
  <c r="BL501" i="3"/>
  <c r="BA501" i="3"/>
  <c r="AZ501" i="3" s="1"/>
  <c r="BL500" i="3"/>
  <c r="BA500" i="3"/>
  <c r="BL498" i="3"/>
  <c r="AZ498" i="3" s="1"/>
  <c r="BL497" i="3"/>
  <c r="AZ497" i="3" s="1"/>
  <c r="BL496" i="3"/>
  <c r="BA496" i="3"/>
  <c r="BA495" i="3"/>
  <c r="BA494" i="3"/>
  <c r="AZ494" i="3" s="1"/>
  <c r="BA493" i="3"/>
  <c r="AZ493" i="3" s="1"/>
  <c r="AA25" i="33"/>
  <c r="U45" i="33"/>
  <c r="AB45" i="33"/>
  <c r="AB39" i="37"/>
  <c r="U39" i="37"/>
  <c r="J14" i="21"/>
  <c r="H14" i="21"/>
  <c r="AC27" i="35"/>
  <c r="W27" i="35"/>
  <c r="H12" i="36"/>
  <c r="J12" i="36"/>
  <c r="F12" i="36"/>
  <c r="H34" i="36"/>
  <c r="F34" i="36"/>
  <c r="J34" i="36"/>
  <c r="W34" i="36" s="1"/>
  <c r="H31" i="39"/>
  <c r="J31" i="39"/>
  <c r="U42" i="34"/>
  <c r="AB42" i="34"/>
  <c r="U23" i="21"/>
  <c r="AZ534" i="3"/>
  <c r="AC27" i="33"/>
  <c r="AC23" i="37"/>
  <c r="AC9" i="21"/>
  <c r="S36" i="33"/>
  <c r="AA23" i="37"/>
  <c r="S17" i="37"/>
  <c r="U21" i="39"/>
  <c r="W33" i="34"/>
  <c r="AB33" i="34"/>
  <c r="AA40" i="34"/>
  <c r="AA31" i="37"/>
  <c r="S28" i="37"/>
  <c r="AB28" i="36"/>
  <c r="S23" i="39"/>
  <c r="AB28" i="40"/>
  <c r="U28" i="34"/>
  <c r="S43" i="34"/>
  <c r="W41" i="34"/>
  <c r="U32" i="37"/>
  <c r="AA25" i="36"/>
  <c r="S23" i="40"/>
  <c r="AZ14" i="3"/>
  <c r="AZ303" i="3"/>
  <c r="AZ342" i="3"/>
  <c r="AZ337" i="3"/>
  <c r="AZ324" i="3"/>
  <c r="AZ309" i="3"/>
  <c r="H5" i="3"/>
  <c r="W47" i="34"/>
  <c r="AZ523" i="3"/>
  <c r="AZ547" i="3"/>
  <c r="AZ569" i="3"/>
  <c r="BL557" i="3"/>
  <c r="F31" i="39"/>
  <c r="AB26" i="37"/>
  <c r="U26" i="37"/>
  <c r="AA17" i="33"/>
  <c r="S13" i="21"/>
  <c r="AB35" i="37"/>
  <c r="D120" i="9"/>
  <c r="S39" i="33"/>
  <c r="AA35" i="33"/>
  <c r="U27" i="34"/>
  <c r="AB17" i="37"/>
  <c r="S20" i="35"/>
  <c r="AA25" i="35"/>
  <c r="S43" i="39"/>
  <c r="AZ347" i="3"/>
  <c r="AA11" i="39"/>
  <c r="AZ531" i="3"/>
  <c r="AZ514" i="3"/>
  <c r="AZ538" i="3"/>
  <c r="W11" i="35"/>
  <c r="AC11" i="35"/>
  <c r="F14" i="21"/>
  <c r="U34" i="34"/>
  <c r="AA35" i="39"/>
  <c r="S35" i="39"/>
  <c r="BL587" i="3"/>
  <c r="AZ587" i="3" s="1"/>
  <c r="BA586" i="3"/>
  <c r="AZ586" i="3" s="1"/>
  <c r="BA585" i="3"/>
  <c r="U12" i="35"/>
  <c r="AB12" i="35"/>
  <c r="J14" i="33"/>
  <c r="H14" i="33"/>
  <c r="F14" i="33"/>
  <c r="F44" i="33"/>
  <c r="J44" i="33"/>
  <c r="J13" i="34"/>
  <c r="F13" i="34"/>
  <c r="H31" i="34"/>
  <c r="J31" i="34"/>
  <c r="U34" i="35"/>
  <c r="AB34" i="35"/>
  <c r="H14" i="37"/>
  <c r="AB14" i="37" s="1"/>
  <c r="F14" i="37"/>
  <c r="J14" i="37"/>
  <c r="J39" i="37"/>
  <c r="F39" i="37"/>
  <c r="S39" i="37" s="1"/>
  <c r="BL511" i="3"/>
  <c r="AZ511" i="3" s="1"/>
  <c r="BL539" i="3"/>
  <c r="AZ539" i="3" s="1"/>
  <c r="BL543" i="3"/>
  <c r="AZ543" i="3" s="1"/>
  <c r="BL553" i="3"/>
  <c r="AZ553" i="3" s="1"/>
  <c r="BL565" i="3"/>
  <c r="AZ580" i="3"/>
  <c r="J35" i="39"/>
  <c r="AC35" i="39" s="1"/>
  <c r="F12" i="34"/>
  <c r="S12" i="34" s="1"/>
  <c r="F12" i="35"/>
  <c r="J12" i="35"/>
  <c r="F32" i="36"/>
  <c r="H32" i="36"/>
  <c r="AB30" i="37"/>
  <c r="U30" i="37"/>
  <c r="H44" i="39"/>
  <c r="J44" i="39"/>
  <c r="G551" i="3"/>
  <c r="BL550" i="3"/>
  <c r="G542" i="3"/>
  <c r="AZ318" i="3"/>
  <c r="AZ364" i="3"/>
  <c r="AZ329" i="3"/>
  <c r="AZ304" i="3"/>
  <c r="AZ306" i="3"/>
  <c r="W16" i="35"/>
  <c r="BL535" i="3"/>
  <c r="AZ535" i="3" s="1"/>
  <c r="AZ577" i="3"/>
  <c r="AZ575" i="3"/>
  <c r="AZ566" i="3"/>
  <c r="AZ574" i="3"/>
  <c r="AZ582" i="3"/>
  <c r="AA29" i="35"/>
  <c r="BL585" i="3"/>
  <c r="J27" i="21"/>
  <c r="F27" i="21"/>
  <c r="F26" i="33"/>
  <c r="H26" i="33"/>
  <c r="H12" i="34"/>
  <c r="AB31" i="36"/>
  <c r="U31" i="36"/>
  <c r="H25" i="37"/>
  <c r="F25" i="37"/>
  <c r="U8" i="39"/>
  <c r="AB8" i="39"/>
  <c r="AC31" i="40"/>
  <c r="W31" i="40"/>
  <c r="G570" i="3"/>
  <c r="AC9" i="34"/>
  <c r="W9" i="34"/>
  <c r="S9" i="40"/>
  <c r="AA9" i="40"/>
  <c r="AA31" i="35"/>
  <c r="S31" i="35"/>
  <c r="G574" i="3"/>
  <c r="BL16" i="3"/>
  <c r="AZ16" i="3" s="1"/>
  <c r="BA401" i="3"/>
  <c r="BA408" i="3"/>
  <c r="AZ408" i="3" s="1"/>
  <c r="BA409" i="3"/>
  <c r="AZ409" i="3" s="1"/>
  <c r="G413" i="3"/>
  <c r="G414" i="3"/>
  <c r="BL414" i="3"/>
  <c r="AZ414" i="3" s="1"/>
  <c r="BL415" i="3"/>
  <c r="G421" i="3"/>
  <c r="AZ435" i="3"/>
  <c r="AB30" i="36"/>
  <c r="G587" i="3"/>
  <c r="BA551" i="3"/>
  <c r="AZ551" i="3" s="1"/>
  <c r="BA550" i="3"/>
  <c r="AZ550" i="3" s="1"/>
  <c r="BL548" i="3"/>
  <c r="AZ415" i="3"/>
  <c r="BL398" i="3"/>
  <c r="G402" i="3"/>
  <c r="BL403" i="3"/>
  <c r="AZ406" i="3"/>
  <c r="BA411" i="3"/>
  <c r="AZ411" i="3" s="1"/>
  <c r="AZ419" i="3"/>
  <c r="BA431" i="3"/>
  <c r="BA437" i="3"/>
  <c r="AZ437" i="3" s="1"/>
  <c r="AZ466" i="3"/>
  <c r="BA398" i="3"/>
  <c r="BA399" i="3"/>
  <c r="AZ399" i="3" s="1"/>
  <c r="BL401" i="3"/>
  <c r="BL404" i="3"/>
  <c r="BL405" i="3"/>
  <c r="BA407" i="3"/>
  <c r="AZ407" i="3" s="1"/>
  <c r="BA410" i="3"/>
  <c r="BA417" i="3"/>
  <c r="AZ417" i="3" s="1"/>
  <c r="BL448" i="3"/>
  <c r="AZ448" i="3" s="1"/>
  <c r="G451" i="3"/>
  <c r="BA454" i="3"/>
  <c r="AZ454" i="3" s="1"/>
  <c r="BA457" i="3"/>
  <c r="AZ457" i="3" s="1"/>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403" i="3"/>
  <c r="AZ403" i="3" s="1"/>
  <c r="BA404" i="3"/>
  <c r="AZ404" i="3" s="1"/>
  <c r="BA405" i="3"/>
  <c r="AZ405" i="3" s="1"/>
  <c r="G409" i="3"/>
  <c r="BL410" i="3"/>
  <c r="G412"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BA307" i="3"/>
  <c r="AZ307" i="3" s="1"/>
  <c r="G311" i="3"/>
  <c r="BL314" i="3"/>
  <c r="AZ314" i="3" s="1"/>
  <c r="G315" i="3"/>
  <c r="BA332" i="3"/>
  <c r="BL332" i="3"/>
  <c r="G339" i="3"/>
  <c r="G364" i="3"/>
  <c r="BA367" i="3"/>
  <c r="AZ367" i="3" s="1"/>
  <c r="BA370" i="3"/>
  <c r="AZ370" i="3" s="1"/>
  <c r="BA386" i="3"/>
  <c r="AZ386" i="3" s="1"/>
  <c r="BA216" i="3"/>
  <c r="AZ216" i="3" s="1"/>
  <c r="BA229" i="3"/>
  <c r="AZ229" i="3" s="1"/>
  <c r="BL408" i="3"/>
  <c r="BL411" i="3"/>
  <c r="BL413" i="3"/>
  <c r="AZ413" i="3" s="1"/>
  <c r="G415" i="3"/>
  <c r="G416" i="3"/>
  <c r="BL417" i="3"/>
  <c r="BL418" i="3"/>
  <c r="AZ418" i="3" s="1"/>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BL219" i="3"/>
  <c r="BA222" i="3"/>
  <c r="AZ222" i="3" s="1"/>
  <c r="BA224" i="3"/>
  <c r="AZ224" i="3" s="1"/>
  <c r="BA227" i="3"/>
  <c r="AZ227" i="3" s="1"/>
  <c r="BL421" i="3"/>
  <c r="AZ421" i="3" s="1"/>
  <c r="BL422" i="3"/>
  <c r="BL425" i="3"/>
  <c r="AZ425" i="3" s="1"/>
  <c r="BL426" i="3"/>
  <c r="BA428" i="3"/>
  <c r="AZ428" i="3" s="1"/>
  <c r="BA429" i="3"/>
  <c r="AZ429" i="3" s="1"/>
  <c r="BA430" i="3"/>
  <c r="AZ430" i="3" s="1"/>
  <c r="BA432" i="3"/>
  <c r="BA434" i="3"/>
  <c r="BA436" i="3"/>
  <c r="BA438" i="3"/>
  <c r="G442" i="3"/>
  <c r="BA446" i="3"/>
  <c r="AZ453" i="3"/>
  <c r="AZ471" i="3"/>
  <c r="AZ487" i="3"/>
  <c r="BA368" i="3"/>
  <c r="AZ368" i="3" s="1"/>
  <c r="BL368" i="3"/>
  <c r="BA374" i="3"/>
  <c r="AZ374" i="3" s="1"/>
  <c r="BA388" i="3"/>
  <c r="AZ388" i="3" s="1"/>
  <c r="BA396" i="3"/>
  <c r="BA209" i="3"/>
  <c r="G218" i="3"/>
  <c r="BL220" i="3"/>
  <c r="BL221" i="3"/>
  <c r="G222" i="3"/>
  <c r="BL223" i="3"/>
  <c r="G224" i="3"/>
  <c r="BL225" i="3"/>
  <c r="BL226" i="3"/>
  <c r="BA239" i="3"/>
  <c r="AZ239" i="3" s="1"/>
  <c r="BL239" i="3"/>
  <c r="BA241" i="3"/>
  <c r="AZ241" i="3" s="1"/>
  <c r="BL241" i="3"/>
  <c r="BA244" i="3"/>
  <c r="AZ244" i="3" s="1"/>
  <c r="BL244" i="3"/>
  <c r="BA246" i="3"/>
  <c r="AZ125" i="3"/>
  <c r="BL217" i="3"/>
  <c r="AZ217" i="3" s="1"/>
  <c r="BA219" i="3"/>
  <c r="AZ219" i="3" s="1"/>
  <c r="BA221" i="3"/>
  <c r="BA223" i="3"/>
  <c r="AZ223" i="3" s="1"/>
  <c r="BL228" i="3"/>
  <c r="AZ228" i="3" s="1"/>
  <c r="BA230" i="3"/>
  <c r="AZ230" i="3" s="1"/>
  <c r="BL232" i="3"/>
  <c r="BL234" i="3"/>
  <c r="BA236" i="3"/>
  <c r="BA238" i="3"/>
  <c r="BA243" i="3"/>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4"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G136" i="3"/>
  <c r="BA137" i="3"/>
  <c r="AZ137" i="3" s="1"/>
  <c r="BL138" i="3"/>
  <c r="BA140" i="3"/>
  <c r="AZ140" i="3" s="1"/>
  <c r="BA142" i="3"/>
  <c r="BA148" i="3"/>
  <c r="AZ148" i="3" s="1"/>
  <c r="BL158" i="3"/>
  <c r="BL162" i="3"/>
  <c r="AZ162" i="3" s="1"/>
  <c r="BA194" i="3"/>
  <c r="AZ194" i="3" s="1"/>
  <c r="AZ201" i="3"/>
  <c r="AZ70"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34" i="3"/>
  <c r="BL139" i="3"/>
  <c r="AZ139" i="3" s="1"/>
  <c r="G140" i="3"/>
  <c r="BL141" i="3"/>
  <c r="BL143" i="3"/>
  <c r="AZ143" i="3" s="1"/>
  <c r="BA146" i="3"/>
  <c r="AZ146" i="3" s="1"/>
  <c r="BL149" i="3"/>
  <c r="AZ149" i="3" s="1"/>
  <c r="BL150" i="3"/>
  <c r="AZ150" i="3" s="1"/>
  <c r="BA152" i="3"/>
  <c r="AZ152" i="3" s="1"/>
  <c r="BA154" i="3"/>
  <c r="AZ154" i="3" s="1"/>
  <c r="BL161" i="3"/>
  <c r="G146" i="3"/>
  <c r="G147" i="3"/>
  <c r="G154" i="3"/>
  <c r="G156" i="3"/>
  <c r="BL157" i="3"/>
  <c r="AZ157" i="3" s="1"/>
  <c r="BL159" i="3"/>
  <c r="AZ159" i="3" s="1"/>
  <c r="G160" i="3"/>
  <c r="BL177" i="3"/>
  <c r="AZ177" i="3" s="1"/>
  <c r="G179" i="3"/>
  <c r="BL183" i="3"/>
  <c r="AZ183" i="3" s="1"/>
  <c r="BA186" i="3"/>
  <c r="AZ186" i="3" s="1"/>
  <c r="BA190" i="3"/>
  <c r="G196" i="3"/>
  <c r="BA197" i="3"/>
  <c r="AZ197" i="3" s="1"/>
  <c r="BL201" i="3"/>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A57" i="3"/>
  <c r="AZ57" i="3" s="1"/>
  <c r="BL58" i="3"/>
  <c r="G60" i="3"/>
  <c r="BL64" i="3"/>
  <c r="G65" i="3"/>
  <c r="BL65" i="3"/>
  <c r="BL66" i="3"/>
  <c r="BL67" i="3"/>
  <c r="AZ67" i="3" s="1"/>
  <c r="G69" i="3"/>
  <c r="G72" i="3"/>
  <c r="BL73" i="3"/>
  <c r="BA74" i="3"/>
  <c r="AZ74" i="3" s="1"/>
  <c r="BL79" i="3"/>
  <c r="BL81" i="3"/>
  <c r="BA82" i="3"/>
  <c r="AZ82" i="3" s="1"/>
  <c r="BL83" i="3"/>
  <c r="G86" i="3"/>
  <c r="BA89" i="3"/>
  <c r="BA94" i="3"/>
  <c r="AZ94" i="3" s="1"/>
  <c r="BA105" i="3"/>
  <c r="AZ105" i="3" s="1"/>
  <c r="C44" i="71"/>
  <c r="D43" i="71"/>
  <c r="C55" i="71"/>
  <c r="D54" i="71"/>
  <c r="BL167" i="3"/>
  <c r="AZ167" i="3" s="1"/>
  <c r="BL178" i="3"/>
  <c r="BA180" i="3"/>
  <c r="AZ180" i="3" s="1"/>
  <c r="BL182" i="3"/>
  <c r="AZ182" i="3" s="1"/>
  <c r="BA185" i="3"/>
  <c r="BL191" i="3"/>
  <c r="AZ191" i="3" s="1"/>
  <c r="BA193" i="3"/>
  <c r="BA196" i="3"/>
  <c r="AZ196" i="3" s="1"/>
  <c r="AZ52" i="3"/>
  <c r="AZ65" i="3"/>
  <c r="C52" i="71"/>
  <c r="D51"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AZ41" i="3" s="1"/>
  <c r="BA42" i="3"/>
  <c r="G47" i="3"/>
  <c r="BL48" i="3"/>
  <c r="BL54" i="3"/>
  <c r="BL55" i="3"/>
  <c r="AZ55" i="3" s="1"/>
  <c r="G58" i="3"/>
  <c r="BA59" i="3"/>
  <c r="BL61" i="3"/>
  <c r="G64" i="3"/>
  <c r="BA64" i="3"/>
  <c r="BA68" i="3"/>
  <c r="BA80" i="3"/>
  <c r="BL84" i="3"/>
  <c r="T28" i="71"/>
  <c r="D28" i="71"/>
  <c r="U28" i="71" s="1"/>
  <c r="C27" i="71"/>
  <c r="D34" i="71"/>
  <c r="C35" i="71"/>
  <c r="BL206" i="3"/>
  <c r="BA19" i="3"/>
  <c r="AZ19" i="3" s="1"/>
  <c r="G27" i="3"/>
  <c r="BA27" i="3"/>
  <c r="BL30" i="3"/>
  <c r="BL31" i="3"/>
  <c r="G37" i="3"/>
  <c r="BL40" i="3"/>
  <c r="BL41" i="3"/>
  <c r="BL45" i="3"/>
  <c r="BA48" i="3"/>
  <c r="BA49" i="3"/>
  <c r="BA51" i="3"/>
  <c r="AZ51" i="3" s="1"/>
  <c r="G55" i="3"/>
  <c r="BL56" i="3"/>
  <c r="BA58" i="3"/>
  <c r="AZ58" i="3" s="1"/>
  <c r="BL59" i="3"/>
  <c r="BL60" i="3"/>
  <c r="BA61" i="3"/>
  <c r="BL69" i="3"/>
  <c r="AZ69" i="3" s="1"/>
  <c r="BL70" i="3"/>
  <c r="BL71" i="3"/>
  <c r="BL72" i="3"/>
  <c r="AZ72" i="3" s="1"/>
  <c r="BA75" i="3"/>
  <c r="AZ75" i="3" s="1"/>
  <c r="BL86" i="3"/>
  <c r="AZ86" i="3" s="1"/>
  <c r="BL91" i="3"/>
  <c r="BL93" i="3"/>
  <c r="BL99" i="3"/>
  <c r="AA21" i="33"/>
  <c r="S21" i="33"/>
  <c r="AA21" i="37"/>
  <c r="S21" i="37"/>
  <c r="T32" i="71"/>
  <c r="D32" i="71"/>
  <c r="C60" i="71"/>
  <c r="D59" i="71"/>
  <c r="BA87" i="3"/>
  <c r="BA91" i="3"/>
  <c r="AZ91" i="3" s="1"/>
  <c r="G96" i="3"/>
  <c r="BL97" i="3"/>
  <c r="AZ97" i="3" s="1"/>
  <c r="BL101" i="3"/>
  <c r="BL102" i="3"/>
  <c r="AZ102" i="3" s="1"/>
  <c r="G104" i="3"/>
  <c r="G105" i="3"/>
  <c r="BL106" i="3"/>
  <c r="BA108" i="3"/>
  <c r="AZ108" i="3" s="1"/>
  <c r="BA110" i="3"/>
  <c r="AZ110" i="3" s="1"/>
  <c r="F3" i="35"/>
  <c r="S25" i="40"/>
  <c r="B77" i="43"/>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BA103" i="3"/>
  <c r="AZ103" i="3" s="1"/>
  <c r="BA104" i="3"/>
  <c r="BA106" i="3"/>
  <c r="BL108" i="3"/>
  <c r="BL111" i="3"/>
  <c r="AZ111" i="3" s="1"/>
  <c r="U29" i="39"/>
  <c r="P66" i="71"/>
  <c r="C66" i="71"/>
  <c r="AA27" i="71"/>
  <c r="AB26" i="71"/>
  <c r="S28" i="71"/>
  <c r="C83" i="71"/>
  <c r="C79" i="71"/>
  <c r="C75" i="71"/>
  <c r="C71" i="71"/>
  <c r="C39" i="71"/>
  <c r="Y28" i="71"/>
  <c r="Z28" i="71" s="1"/>
  <c r="AA37" i="71"/>
  <c r="X28" i="71"/>
  <c r="X32" i="71"/>
  <c r="F38" i="71"/>
  <c r="F39" i="71" s="1"/>
  <c r="F40" i="71" s="1"/>
  <c r="V40" i="71" s="1"/>
  <c r="AB38" i="71"/>
  <c r="F67" i="71"/>
  <c r="F75" i="71"/>
  <c r="F74" i="71" s="1"/>
  <c r="B79" i="71"/>
  <c r="B78" i="71" s="1"/>
  <c r="BA60" i="3"/>
  <c r="BA63" i="3"/>
  <c r="AZ63" i="3" s="1"/>
  <c r="BA66" i="3"/>
  <c r="BA71" i="3"/>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D103" i="9"/>
  <c r="G20" i="9"/>
  <c r="C103" i="9"/>
  <c r="B13" i="70"/>
  <c r="C36" i="68"/>
  <c r="D9" i="69"/>
  <c r="C36" i="69"/>
  <c r="D9" i="68"/>
  <c r="M9" i="15"/>
  <c r="F40" i="15"/>
  <c r="M29" i="15"/>
  <c r="F38" i="15"/>
  <c r="F13" i="67"/>
  <c r="M24" i="67"/>
  <c r="L48" i="67"/>
  <c r="M8" i="67"/>
  <c r="F40" i="67"/>
  <c r="M26" i="67"/>
  <c r="F37" i="15"/>
  <c r="F26" i="15"/>
  <c r="D3" i="73"/>
  <c r="M24" i="15"/>
  <c r="F36" i="15"/>
  <c r="M26" i="15"/>
  <c r="M28" i="15"/>
  <c r="M8" i="15"/>
  <c r="F38" i="67"/>
  <c r="F42" i="67"/>
  <c r="M22" i="67"/>
  <c r="J15" i="67"/>
  <c r="F26" i="67"/>
  <c r="M28" i="67"/>
  <c r="L48" i="15"/>
  <c r="F43" i="15"/>
  <c r="J15" i="15"/>
  <c r="D5" i="73"/>
  <c r="F8" i="15"/>
  <c r="F7" i="15"/>
  <c r="M6" i="15"/>
  <c r="F6" i="15"/>
  <c r="F42" i="15"/>
  <c r="F13" i="15"/>
  <c r="M23" i="15"/>
  <c r="L47" i="15"/>
  <c r="F9" i="15"/>
  <c r="F6" i="67"/>
  <c r="M23" i="67"/>
  <c r="F37" i="67"/>
  <c r="M9" i="67"/>
  <c r="F36" i="67"/>
  <c r="F43" i="67"/>
  <c r="D4" i="73"/>
  <c r="F8" i="67"/>
  <c r="C76" i="15"/>
  <c r="M6" i="67"/>
  <c r="F9" i="67"/>
  <c r="C76" i="67"/>
  <c r="M29" i="67"/>
  <c r="L47" i="67"/>
  <c r="F16" i="67"/>
  <c r="D6" i="73"/>
  <c r="F16" i="15"/>
  <c r="F7" i="67"/>
  <c r="M22" i="15"/>
  <c r="D7" i="73"/>
  <c r="F68" i="67" l="1"/>
  <c r="F64" i="67"/>
  <c r="C27" i="67"/>
  <c r="N59" i="67"/>
  <c r="M59" i="67"/>
  <c r="L59" i="67"/>
  <c r="Q74" i="67" s="1"/>
  <c r="L58" i="67"/>
  <c r="Q60" i="67" s="1"/>
  <c r="J57" i="67"/>
  <c r="J55" i="67" s="1"/>
  <c r="J58" i="67" s="1"/>
  <c r="Q50" i="67" s="1"/>
  <c r="J53" i="67"/>
  <c r="L56" i="67"/>
  <c r="I54" i="67"/>
  <c r="F65" i="67"/>
  <c r="Q71" i="67"/>
  <c r="F66" i="67"/>
  <c r="F66" i="15"/>
  <c r="M59" i="15"/>
  <c r="N59" i="15"/>
  <c r="L59" i="15"/>
  <c r="Q61" i="15" s="1"/>
  <c r="F68" i="15"/>
  <c r="F50" i="15"/>
  <c r="M7" i="15"/>
  <c r="J6" i="15" s="1"/>
  <c r="F64" i="15"/>
  <c r="E28" i="6"/>
  <c r="K14" i="1" s="1"/>
  <c r="K16" i="1" s="1"/>
  <c r="AZ15" i="3"/>
  <c r="F30" i="6"/>
  <c r="P6" i="1"/>
  <c r="C13" i="12" s="1"/>
  <c r="E59" i="40"/>
  <c r="N94" i="46"/>
  <c r="G26" i="43"/>
  <c r="J26" i="43"/>
  <c r="N370" i="46"/>
  <c r="F26" i="43"/>
  <c r="D26" i="43" s="1"/>
  <c r="C25" i="43" s="1"/>
  <c r="E26" i="43"/>
  <c r="K46" i="36"/>
  <c r="L46" i="36" s="1"/>
  <c r="M46" i="36" s="1"/>
  <c r="N46" i="36" s="1"/>
  <c r="O46" i="36" s="1"/>
  <c r="J7" i="36"/>
  <c r="F31" i="15"/>
  <c r="C6" i="15"/>
  <c r="F51" i="15"/>
  <c r="Q71" i="15"/>
  <c r="C27" i="15"/>
  <c r="C6" i="67"/>
  <c r="F51" i="67"/>
  <c r="F31" i="67"/>
  <c r="M7" i="67"/>
  <c r="J6" i="67" s="1"/>
  <c r="J18" i="67" s="1"/>
  <c r="F50" i="67"/>
  <c r="F71" i="15"/>
  <c r="F65" i="15"/>
  <c r="L58" i="15"/>
  <c r="Q73" i="15" s="1"/>
  <c r="J53" i="15"/>
  <c r="L56" i="15" s="1"/>
  <c r="J57" i="15"/>
  <c r="J55" i="15" s="1"/>
  <c r="J58" i="15" s="1"/>
  <c r="Q50" i="15" s="1"/>
  <c r="I54" i="15"/>
  <c r="F71" i="67"/>
  <c r="D75" i="71"/>
  <c r="C74" i="71"/>
  <c r="D74" i="71" s="1"/>
  <c r="AZ59" i="3"/>
  <c r="AZ190" i="3"/>
  <c r="AZ118" i="3"/>
  <c r="AZ271" i="3"/>
  <c r="AZ243" i="3"/>
  <c r="AZ432" i="3"/>
  <c r="AZ332" i="3"/>
  <c r="AZ459" i="3"/>
  <c r="AZ401" i="3"/>
  <c r="S26" i="33"/>
  <c r="AA26" i="33"/>
  <c r="U44" i="39"/>
  <c r="AB44" i="39"/>
  <c r="AA32" i="36"/>
  <c r="S32" i="36"/>
  <c r="AC39" i="37"/>
  <c r="W39" i="37"/>
  <c r="AA13" i="34"/>
  <c r="S13" i="34"/>
  <c r="AA14" i="33"/>
  <c r="S14" i="33"/>
  <c r="AC12" i="36"/>
  <c r="W12" i="36"/>
  <c r="U14" i="21"/>
  <c r="AB14" i="21"/>
  <c r="AZ565" i="3"/>
  <c r="AC37" i="39"/>
  <c r="W37" i="39"/>
  <c r="G5" i="3"/>
  <c r="B3" i="3" s="1"/>
  <c r="E499" i="3" s="1"/>
  <c r="AZ71" i="3"/>
  <c r="D79" i="71"/>
  <c r="C78" i="71"/>
  <c r="D78" i="71" s="1"/>
  <c r="AZ49" i="3"/>
  <c r="C36" i="71"/>
  <c r="D35" i="71"/>
  <c r="AZ64" i="3"/>
  <c r="AZ27" i="3"/>
  <c r="T52" i="71"/>
  <c r="D52" i="71"/>
  <c r="D44" i="71"/>
  <c r="T44" i="71"/>
  <c r="AZ45" i="3"/>
  <c r="AZ251" i="3"/>
  <c r="AZ247" i="3"/>
  <c r="AZ238" i="3"/>
  <c r="AZ422" i="3"/>
  <c r="AZ483" i="3"/>
  <c r="AZ398" i="3"/>
  <c r="AA27" i="21"/>
  <c r="S27" i="21"/>
  <c r="W12" i="35"/>
  <c r="AC12" i="35"/>
  <c r="W13" i="34"/>
  <c r="AC13" i="34"/>
  <c r="U14" i="33"/>
  <c r="AB14" i="33"/>
  <c r="AZ585" i="3"/>
  <c r="D121" i="9"/>
  <c r="D7" i="52" s="1"/>
  <c r="D6" i="52"/>
  <c r="S34" i="36"/>
  <c r="AA34" i="36"/>
  <c r="U12" i="36"/>
  <c r="AB12" i="36"/>
  <c r="AC14" i="21"/>
  <c r="W14" i="21"/>
  <c r="AZ557" i="3"/>
  <c r="G16" i="1"/>
  <c r="F10" i="39" s="1"/>
  <c r="AZ66" i="3"/>
  <c r="C40" i="71"/>
  <c r="D39" i="71"/>
  <c r="D83" i="71"/>
  <c r="C82" i="71"/>
  <c r="D82" i="71" s="1"/>
  <c r="O65" i="71"/>
  <c r="D66" i="71"/>
  <c r="O66" i="71"/>
  <c r="D60" i="71"/>
  <c r="T60" i="71"/>
  <c r="AZ61" i="3"/>
  <c r="AA25" i="37"/>
  <c r="S25" i="37"/>
  <c r="U12" i="34"/>
  <c r="AB12" i="34"/>
  <c r="W27" i="21"/>
  <c r="AC27" i="21"/>
  <c r="S14" i="37"/>
  <c r="AA14" i="37"/>
  <c r="W31" i="34"/>
  <c r="AC31" i="34"/>
  <c r="AC44" i="33"/>
  <c r="W44" i="33"/>
  <c r="AC14" i="33"/>
  <c r="W14" i="33"/>
  <c r="AC31" i="39"/>
  <c r="W31" i="39"/>
  <c r="AB34" i="36"/>
  <c r="U34" i="36"/>
  <c r="AZ496" i="3"/>
  <c r="AZ500" i="3"/>
  <c r="AZ513" i="3"/>
  <c r="AZ518" i="3"/>
  <c r="AZ536" i="3"/>
  <c r="AZ548" i="3"/>
  <c r="F66" i="71"/>
  <c r="Q67" i="71"/>
  <c r="C70" i="71"/>
  <c r="D70" i="71" s="1"/>
  <c r="D71" i="71"/>
  <c r="N67" i="71"/>
  <c r="B66" i="71"/>
  <c r="C26" i="71"/>
  <c r="D26" i="71" s="1"/>
  <c r="D27" i="71"/>
  <c r="AZ31" i="3"/>
  <c r="C56" i="71"/>
  <c r="D55" i="71"/>
  <c r="U25" i="37"/>
  <c r="AB25" i="37"/>
  <c r="U26" i="33"/>
  <c r="AB26" i="33"/>
  <c r="W44" i="39"/>
  <c r="AC44" i="39"/>
  <c r="AB32" i="36"/>
  <c r="U32" i="36"/>
  <c r="S44" i="33"/>
  <c r="AA44" i="33"/>
  <c r="S14" i="21"/>
  <c r="AA14" i="21"/>
  <c r="AA31" i="39"/>
  <c r="S31" i="39"/>
  <c r="AB31" i="39"/>
  <c r="U31" i="39"/>
  <c r="AA12" i="36"/>
  <c r="S12" i="36"/>
  <c r="AA37" i="39"/>
  <c r="S37" i="39"/>
  <c r="J7" i="37"/>
  <c r="K1" i="73"/>
  <c r="E59" i="3"/>
  <c r="E494" i="3"/>
  <c r="E497" i="3"/>
  <c r="E35" i="3"/>
  <c r="E419" i="3"/>
  <c r="E25" i="3"/>
  <c r="E36" i="3"/>
  <c r="E62" i="3"/>
  <c r="E222" i="3"/>
  <c r="E446" i="3"/>
  <c r="E462" i="3"/>
  <c r="E163" i="3"/>
  <c r="E157" i="3"/>
  <c r="W6" i="3"/>
  <c r="E367" i="3"/>
  <c r="E53" i="3"/>
  <c r="E237" i="3"/>
  <c r="E565" i="3"/>
  <c r="AA6" i="3"/>
  <c r="E128" i="3"/>
  <c r="E429" i="3"/>
  <c r="E256" i="3"/>
  <c r="E448" i="3"/>
  <c r="P6" i="3"/>
  <c r="E334" i="3"/>
  <c r="E366" i="3"/>
  <c r="E559" i="3"/>
  <c r="E294" i="3"/>
  <c r="E245" i="3"/>
  <c r="E382" i="3"/>
  <c r="E99" i="3"/>
  <c r="E573" i="3"/>
  <c r="E150" i="3"/>
  <c r="E549" i="3"/>
  <c r="AS6" i="3"/>
  <c r="E447" i="3"/>
  <c r="E530" i="3"/>
  <c r="E388" i="3"/>
  <c r="E380" i="3"/>
  <c r="E528" i="3"/>
  <c r="E124" i="3"/>
  <c r="E399" i="3"/>
  <c r="K6" i="3"/>
  <c r="E406" i="3"/>
  <c r="E171" i="3"/>
  <c r="E74" i="3"/>
  <c r="E485" i="3"/>
  <c r="E400" i="3"/>
  <c r="E211" i="3"/>
  <c r="E572" i="3"/>
  <c r="E579" i="3"/>
  <c r="E311" i="3"/>
  <c r="E189" i="3"/>
  <c r="E69" i="3"/>
  <c r="E191" i="3"/>
  <c r="AI6" i="3"/>
  <c r="E13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H7" i="36"/>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15"/>
  <c r="P28" i="43"/>
  <c r="B66" i="40" s="1"/>
  <c r="P25" i="43"/>
  <c r="P29" i="43"/>
  <c r="P27" i="43"/>
  <c r="B70" i="39" s="1"/>
  <c r="J18" i="15"/>
  <c r="C32" i="67"/>
  <c r="C32" i="9"/>
  <c r="M11" i="67"/>
  <c r="J10" i="67" s="1"/>
  <c r="F11" i="15"/>
  <c r="M11" i="15"/>
  <c r="J10" i="15" s="1"/>
  <c r="J5" i="15" s="1"/>
  <c r="J24" i="15" s="1"/>
  <c r="F11" i="67"/>
  <c r="C32" i="15"/>
  <c r="F1" i="67"/>
  <c r="Q52" i="67"/>
  <c r="AE11" i="1"/>
  <c r="AE6" i="1"/>
  <c r="AE9" i="1"/>
  <c r="F27" i="68"/>
  <c r="AE7" i="1"/>
  <c r="AE8" i="1"/>
  <c r="AE12" i="1"/>
  <c r="AE10" i="1"/>
  <c r="C16" i="67"/>
  <c r="C16" i="15"/>
  <c r="F41" i="67"/>
  <c r="G1" i="73"/>
  <c r="Q73" i="67" l="1"/>
  <c r="Q61" i="67"/>
  <c r="Q74" i="15"/>
  <c r="C49" i="15"/>
  <c r="Q52" i="15"/>
  <c r="E142" i="3"/>
  <c r="E200" i="3"/>
  <c r="E135" i="3"/>
  <c r="AB6" i="3"/>
  <c r="E322" i="3"/>
  <c r="E182" i="3"/>
  <c r="E204" i="3"/>
  <c r="E454" i="3"/>
  <c r="E133" i="3"/>
  <c r="E134" i="3"/>
  <c r="AR6" i="3"/>
  <c r="E175" i="3"/>
  <c r="E515" i="3"/>
  <c r="E450" i="3"/>
  <c r="E314" i="3"/>
  <c r="E395" i="3"/>
  <c r="E396" i="3"/>
  <c r="E316" i="3"/>
  <c r="E236" i="3"/>
  <c r="E481" i="3"/>
  <c r="E280" i="3"/>
  <c r="E285" i="3"/>
  <c r="E196" i="3"/>
  <c r="E461" i="3"/>
  <c r="E436" i="3"/>
  <c r="E348" i="3"/>
  <c r="E325" i="3"/>
  <c r="E105" i="3"/>
  <c r="E197" i="3"/>
  <c r="E479" i="3"/>
  <c r="E131" i="3"/>
  <c r="E487" i="3"/>
  <c r="E100" i="3"/>
  <c r="E172" i="3"/>
  <c r="E514" i="3"/>
  <c r="E268" i="3"/>
  <c r="E531" i="3"/>
  <c r="E227" i="3"/>
  <c r="E468" i="3"/>
  <c r="E181" i="3"/>
  <c r="E361" i="3"/>
  <c r="E533" i="3"/>
  <c r="E210" i="3"/>
  <c r="E269" i="3"/>
  <c r="E571" i="3"/>
  <c r="E336" i="3"/>
  <c r="E230" i="3"/>
  <c r="E516" i="3"/>
  <c r="E444" i="3"/>
  <c r="E394" i="3"/>
  <c r="E437" i="3"/>
  <c r="E159" i="3"/>
  <c r="E319" i="3"/>
  <c r="E14" i="3"/>
  <c r="E87" i="3"/>
  <c r="E354" i="3"/>
  <c r="E566" i="3"/>
  <c r="E540" i="3"/>
  <c r="E80" i="3"/>
  <c r="AF6" i="3"/>
  <c r="E296" i="3"/>
  <c r="E385" i="3"/>
  <c r="E445" i="3"/>
  <c r="E387" i="3"/>
  <c r="E431" i="3"/>
  <c r="E109" i="3"/>
  <c r="E489" i="3"/>
  <c r="E327" i="3"/>
  <c r="E214" i="3"/>
  <c r="E465" i="3"/>
  <c r="AK6" i="3"/>
  <c r="E301" i="3"/>
  <c r="E231" i="3"/>
  <c r="E410" i="3"/>
  <c r="E331" i="3"/>
  <c r="E478" i="3"/>
  <c r="E351" i="3"/>
  <c r="E458" i="3"/>
  <c r="E583" i="3"/>
  <c r="E550" i="3"/>
  <c r="E551" i="3"/>
  <c r="E553" i="3"/>
  <c r="E88" i="3"/>
  <c r="E252" i="3"/>
  <c r="E496" i="3"/>
  <c r="E120" i="3"/>
  <c r="E303" i="3"/>
  <c r="S6" i="3"/>
  <c r="E71" i="3"/>
  <c r="E537" i="3"/>
  <c r="E413" i="3"/>
  <c r="E266" i="3"/>
  <c r="E244" i="3"/>
  <c r="E265" i="3"/>
  <c r="E473" i="3"/>
  <c r="E564" i="3"/>
  <c r="E115" i="3"/>
  <c r="E482" i="3"/>
  <c r="Q60" i="15"/>
  <c r="M17" i="67"/>
  <c r="E242" i="3"/>
  <c r="E119" i="3"/>
  <c r="X6" i="3"/>
  <c r="E423" i="3"/>
  <c r="E161" i="3"/>
  <c r="E563" i="3"/>
  <c r="E215" i="3"/>
  <c r="M6" i="3"/>
  <c r="E201" i="3"/>
  <c r="E509" i="3"/>
  <c r="E526" i="3"/>
  <c r="E377" i="3"/>
  <c r="E70" i="3"/>
  <c r="E557" i="3"/>
  <c r="AO6" i="3"/>
  <c r="E89" i="3"/>
  <c r="E362" i="3"/>
  <c r="E146" i="3"/>
  <c r="E577" i="3"/>
  <c r="E472"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302" i="3"/>
  <c r="E321" i="3"/>
  <c r="E359" i="3"/>
  <c r="E291" i="3"/>
  <c r="E411" i="3"/>
  <c r="E357" i="3"/>
  <c r="E529" i="3"/>
  <c r="E127" i="3"/>
  <c r="E195" i="3"/>
  <c r="E542" i="3"/>
  <c r="E149" i="3"/>
  <c r="E110" i="3"/>
  <c r="E386" i="3"/>
  <c r="E141" i="3"/>
  <c r="E20" i="3"/>
  <c r="E234" i="3"/>
  <c r="E276" i="3"/>
  <c r="E376" i="3"/>
  <c r="E116" i="3"/>
  <c r="E190" i="3"/>
  <c r="E556" i="3"/>
  <c r="E34" i="3"/>
  <c r="E184" i="3"/>
  <c r="E212" i="3"/>
  <c r="J5" i="67"/>
  <c r="J24" i="67" s="1"/>
  <c r="E139" i="3"/>
  <c r="E369" i="3"/>
  <c r="E94" i="3"/>
  <c r="E219" i="3"/>
  <c r="E275" i="3"/>
  <c r="E148" i="3"/>
  <c r="E246" i="3"/>
  <c r="E263" i="3"/>
  <c r="E535" i="3"/>
  <c r="E278" i="3"/>
  <c r="E335" i="3"/>
  <c r="E570" i="3"/>
  <c r="E247" i="3"/>
  <c r="AJ6" i="3"/>
  <c r="E217" i="3"/>
  <c r="E273" i="3"/>
  <c r="E28" i="3"/>
  <c r="E345" i="3"/>
  <c r="Z6" i="3"/>
  <c r="E368" i="3"/>
  <c r="E315" i="3"/>
  <c r="E106" i="3"/>
  <c r="E587" i="3"/>
  <c r="E560" i="3"/>
  <c r="E228" i="3"/>
  <c r="E77" i="3"/>
  <c r="E350" i="3"/>
  <c r="E503" i="3"/>
  <c r="E185" i="3"/>
  <c r="E561" i="3"/>
  <c r="E337" i="3"/>
  <c r="E305" i="3"/>
  <c r="E384" i="3"/>
  <c r="E27" i="3"/>
  <c r="E477" i="3"/>
  <c r="E271" i="3"/>
  <c r="E318" i="3"/>
  <c r="E72" i="3"/>
  <c r="E527" i="3"/>
  <c r="E45" i="3"/>
  <c r="E453" i="3"/>
  <c r="E578" i="3"/>
  <c r="E117" i="3"/>
  <c r="E114" i="3"/>
  <c r="V6" i="3"/>
  <c r="E229" i="3"/>
  <c r="N6" i="3"/>
  <c r="E30" i="3"/>
  <c r="E121" i="3"/>
  <c r="E558" i="3"/>
  <c r="E164" i="3"/>
  <c r="E580" i="3"/>
  <c r="E73" i="3"/>
  <c r="E424" i="3"/>
  <c r="E177" i="3"/>
  <c r="E238" i="3"/>
  <c r="E402" i="3"/>
  <c r="E17" i="3"/>
  <c r="E338" i="3"/>
  <c r="E426" i="3"/>
  <c r="E92" i="3"/>
  <c r="U6" i="3"/>
  <c r="E54" i="3"/>
  <c r="E224" i="3"/>
  <c r="E307" i="3"/>
  <c r="E179" i="3"/>
  <c r="E584" i="3"/>
  <c r="E323" i="3"/>
  <c r="E416" i="3"/>
  <c r="E58" i="3"/>
  <c r="E165" i="3"/>
  <c r="E289" i="3"/>
  <c r="E79" i="3"/>
  <c r="E226" i="3"/>
  <c r="E422" i="3"/>
  <c r="E158" i="3"/>
  <c r="E356" i="3"/>
  <c r="T6" i="3"/>
  <c r="E18" i="3"/>
  <c r="E267" i="3"/>
  <c r="E283" i="3"/>
  <c r="E67" i="3"/>
  <c r="E160" i="3"/>
  <c r="E349" i="3"/>
  <c r="E554" i="3"/>
  <c r="E536" i="3"/>
  <c r="E112" i="3"/>
  <c r="E194" i="3"/>
  <c r="E372" i="3"/>
  <c r="E401" i="3"/>
  <c r="E507" i="3"/>
  <c r="E329" i="3"/>
  <c r="E220" i="3"/>
  <c r="E41" i="3"/>
  <c r="E512" i="3"/>
  <c r="E22" i="3"/>
  <c r="E86" i="3"/>
  <c r="E391" i="3"/>
  <c r="E63" i="3"/>
  <c r="E84" i="3"/>
  <c r="E467" i="3"/>
  <c r="E241" i="3"/>
  <c r="E449" i="3"/>
  <c r="E470" i="3"/>
  <c r="E405" i="3"/>
  <c r="E308" i="3"/>
  <c r="E174" i="3"/>
  <c r="E198" i="3"/>
  <c r="E68" i="3"/>
  <c r="E371" i="3"/>
  <c r="E409" i="3"/>
  <c r="E258" i="3"/>
  <c r="E430" i="3"/>
  <c r="E37"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221"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3" i="6"/>
  <c r="D3" i="21" s="1"/>
  <c r="E510" i="3"/>
  <c r="E286" i="3"/>
  <c r="E442" i="3"/>
  <c r="E255" i="3"/>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39" i="3"/>
  <c r="E575" i="3"/>
  <c r="E466" i="3"/>
  <c r="AP6" i="3"/>
  <c r="E417" i="3"/>
  <c r="E15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517" i="3"/>
  <c r="E502" i="3"/>
  <c r="C49" i="67"/>
  <c r="F1" i="15"/>
  <c r="F59" i="67"/>
  <c r="F59" i="15"/>
  <c r="Q66" i="71"/>
  <c r="Q65" i="71"/>
  <c r="D36" i="71"/>
  <c r="T36" i="71"/>
  <c r="T40" i="71"/>
  <c r="D40" i="71"/>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C35" i="9"/>
  <c r="M27" i="67"/>
  <c r="F41" i="15"/>
  <c r="M27" i="15"/>
  <c r="C48" i="15" l="1"/>
  <c r="C66" i="15" s="1"/>
  <c r="C48" i="67"/>
  <c r="S8" i="1"/>
  <c r="E8" i="70" s="1"/>
  <c r="L18" i="9"/>
  <c r="F24" i="15"/>
  <c r="C24" i="15" s="1"/>
  <c r="F22" i="69"/>
  <c r="F41" i="69" s="1"/>
  <c r="D14" i="12"/>
  <c r="D17" i="12" s="1"/>
  <c r="C17" i="12" s="1"/>
  <c r="F22" i="68"/>
  <c r="C44" i="68" s="1"/>
  <c r="D41" i="68" s="1"/>
  <c r="F25" i="12"/>
  <c r="C26" i="12" s="1"/>
  <c r="D25" i="12" s="1"/>
  <c r="D3" i="37"/>
  <c r="D19" i="11"/>
  <c r="C19" i="11" s="1"/>
  <c r="C20" i="11" s="1"/>
  <c r="D37" i="11"/>
  <c r="AC6" i="3"/>
  <c r="F22" i="11"/>
  <c r="C23" i="11" s="1"/>
  <c r="D3" i="34"/>
  <c r="D3" i="33"/>
  <c r="E6" i="6"/>
  <c r="F24" i="67"/>
  <c r="C24" i="67" s="1"/>
  <c r="C17" i="4"/>
  <c r="B4" i="52" s="1"/>
  <c r="B43" i="72" s="1"/>
  <c r="M18" i="9"/>
  <c r="B118" i="9" s="1"/>
  <c r="B1" i="74" s="1"/>
  <c r="D116" i="43"/>
  <c r="H6" i="3"/>
  <c r="E6" i="3"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T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34" i="9"/>
  <c r="C66" i="67"/>
  <c r="C60" i="67"/>
  <c r="D10" i="69"/>
  <c r="C34" i="69"/>
  <c r="D10" i="68"/>
  <c r="C17" i="67"/>
  <c r="C17" i="15"/>
  <c r="C14" i="67"/>
  <c r="C23" i="68" l="1"/>
  <c r="C26" i="68"/>
  <c r="D22" i="68" s="1"/>
  <c r="F41" i="68"/>
  <c r="AQ8" i="1"/>
  <c r="H22" i="6"/>
  <c r="AR8" i="1"/>
  <c r="C26" i="11"/>
  <c r="D22" i="11" s="1"/>
  <c r="C44" i="11"/>
  <c r="D41" i="11" s="1"/>
  <c r="C44" i="69"/>
  <c r="D41" i="69" s="1"/>
  <c r="H24" i="6"/>
  <c r="C28" i="11"/>
  <c r="C27" i="11" s="1"/>
  <c r="C25" i="11"/>
  <c r="C24" i="11"/>
  <c r="C16" i="71"/>
  <c r="D17" i="71"/>
  <c r="C18" i="67"/>
  <c r="C15" i="67"/>
  <c r="H23" i="6"/>
  <c r="R23" i="6" s="1"/>
  <c r="R10" i="1" s="1"/>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C15" i="12"/>
  <c r="C12" i="12"/>
  <c r="D27" i="6"/>
  <c r="D31" i="6" s="1"/>
  <c r="D8" i="74"/>
  <c r="D7" i="74"/>
  <c r="R21" i="6"/>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9" i="1" l="1"/>
  <c r="R7" i="1"/>
  <c r="R8" i="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6" i="1"/>
  <c r="AO9" i="1"/>
  <c r="AO12" i="1"/>
  <c r="AO7"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1" i="72"/>
  <c r="F4" i="52"/>
  <c r="P57" i="9"/>
  <c r="D55" i="9"/>
  <c r="M53" i="9"/>
  <c r="N57" i="9"/>
  <c r="N58" i="9"/>
  <c r="B47" i="72"/>
  <c r="D4" i="52"/>
  <c r="C73" i="9"/>
  <c r="C78" i="9"/>
  <c r="D54" i="9"/>
  <c r="C68" i="9"/>
  <c r="H5" i="52"/>
  <c r="H119" i="9"/>
  <c r="M65" i="9"/>
  <c r="L65" i="9"/>
  <c r="C86" i="9"/>
  <c r="C93" i="9"/>
  <c r="B22" i="72"/>
  <c r="D6" i="53"/>
  <c r="D8" i="52"/>
  <c r="D122" i="9"/>
  <c r="D123" i="9"/>
  <c r="D9" i="52"/>
  <c r="N69" i="9"/>
  <c r="M69" i="9"/>
  <c r="M63" i="9"/>
  <c r="L63" i="9"/>
  <c r="M66" i="9"/>
  <c r="L66" i="9"/>
  <c r="C6" i="74"/>
  <c r="M67" i="9"/>
  <c r="L67" i="9"/>
  <c r="B52" i="72"/>
  <c r="G4" i="52"/>
  <c r="C81" i="9"/>
  <c r="B48" i="72"/>
  <c r="E4" i="52"/>
  <c r="N60" i="9"/>
  <c r="N59" i="9"/>
  <c r="N61" i="9"/>
  <c r="D5" i="53"/>
  <c r="B20" i="72"/>
  <c r="H108" i="9"/>
  <c r="D15" i="53"/>
  <c r="B31" i="72"/>
  <c r="C97" i="9"/>
  <c r="D58" i="9"/>
  <c r="D56" i="9"/>
  <c r="M54" i="9"/>
  <c r="B30" i="72"/>
  <c r="C72" i="9"/>
  <c r="C79" i="9"/>
  <c r="C80" i="9"/>
  <c r="E80" i="9"/>
  <c r="E81" i="9"/>
  <c r="E118" i="9"/>
  <c r="D118" i="9"/>
  <c r="D119" i="9"/>
  <c r="D5" i="52"/>
  <c r="B49" i="72"/>
  <c r="C5" i="74"/>
  <c r="H102" i="9"/>
  <c r="D7" i="53"/>
  <c r="B21" i="72"/>
  <c r="M64" i="9"/>
  <c r="L64" i="9"/>
  <c r="C105" i="9"/>
  <c r="I4" i="52"/>
  <c r="M68" i="9"/>
  <c r="M49" i="9"/>
  <c r="L68" i="9"/>
  <c r="M48" i="9"/>
  <c r="H4" i="52"/>
  <c r="C104" i="9"/>
  <c r="C64" i="9"/>
  <c r="C63" i="9"/>
  <c r="C67" i="9"/>
  <c r="D59" i="9"/>
  <c r="M55" i="9"/>
  <c r="G118" i="9"/>
  <c r="F118" i="9"/>
  <c r="F119" i="9"/>
  <c r="F5" i="52"/>
  <c r="B53" i="72"/>
  <c r="D52" i="9"/>
  <c r="D53" i="9"/>
  <c r="D45" i="9"/>
  <c r="C85" i="9"/>
  <c r="C95" i="9"/>
  <c r="C96" i="9"/>
  <c r="E96" i="9"/>
  <c r="E97" i="9"/>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<sst xmlns="http://schemas.openxmlformats.org/spreadsheetml/2006/main" count="7822" uniqueCount="3433">
  <si>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</si>
  <si>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</si>
  <si>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</si>
  <si>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</si>
  <si>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</si>
  <si>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</si>
  <si>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</si>
  <si>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</si>
  <si>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</si>
  <si>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</si>
  <si>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</si>
  <si>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</si>
  <si>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</si>
  <si>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</si>
  <si>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</si>
  <si>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</si>
  <si>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</si>
  <si>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</si>
  <si>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</si>
  <si>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</si>
  <si>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</si>
  <si>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</si>
  <si>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</si>
  <si>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</si>
  <si>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</si>
  <si>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</si>
  <si>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</si>
  <si>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</si>
  <si>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</si>
  <si>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</si>
  <si>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</si>
  <si>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</si>
  <si>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</si>
  <si>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</si>
  <si>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</si>
  <si>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</si>
  <si>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</si>
  <si>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</si>
  <si>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</si>
  <si>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</si>
  <si>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</si>
  <si>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</si>
  <si>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</si>
  <si>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</si>
  <si>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</si>
  <si>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</si>
  <si>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</si>
  <si>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</si>
  <si>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</si>
  <si>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</si>
  <si>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</si>
  <si>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</si>
  <si>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</si>
  <si>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</si>
  <si>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</si>
  <si>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</si>
  <si>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</si>
  <si>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</si>
  <si>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</si>
  <si>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</si>
  <si>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</si>
  <si>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</si>
  <si>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</si>
  <si>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</si>
  <si>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</si>
  <si>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</si>
  <si>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</si>
  <si>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</si>
  <si>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</si>
  <si>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</si>
  <si>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</si>
  <si>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</si>
  <si>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</si>
  <si>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</si>
  <si>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</si>
  <si>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</si>
  <si>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</si>
  <si>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</si>
  <si>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</si>
  <si>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</si>
  <si>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</si>
  <si>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</si>
  <si>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</si>
  <si>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</si>
  <si>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</si>
  <si>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</si>
  <si>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</si>
  <si>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</si>
  <si>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</si>
  <si>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</si>
  <si>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</si>
  <si>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</si>
  <si>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</si>
  <si>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</si>
  <si>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</si>
  <si>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</si>
  <si>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</si>
  <si>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</si>
  <si>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</si>
  <si>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</si>
  <si>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</si>
  <si>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</si>
  <si>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</si>
  <si>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</si>
  <si>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</si>
  <si>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</si>
  <si>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</si>
  <si>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</si>
  <si>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</si>
  <si>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</si>
  <si>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</si>
  <si>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</si>
  <si>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</si>
  <si>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</si>
  <si>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</si>
  <si>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</si>
  <si>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</si>
  <si>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</si>
  <si>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</si>
  <si>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</si>
  <si>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</si>
  <si>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</si>
  <si>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</si>
  <si>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</si>
  <si>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</si>
  <si>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</si>
  <si>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</si>
  <si>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</si>
  <si>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</si>
  <si>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</si>
  <si>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</si>
  <si>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</si>
  <si>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</si>
  <si>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</si>
  <si>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</si>
  <si>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</si>
  <si>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</si>
  <si>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</si>
  <si>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</si>
  <si>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</si>
  <si>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</si>
  <si>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</si>
  <si>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</si>
  <si>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</si>
  <si>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</si>
  <si>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</si>
  <si>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</si>
  <si>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</si>
  <si>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</si>
  <si>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</si>
  <si>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</si>
  <si>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</si>
  <si>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</si>
  <si>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</si>
  <si>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</si>
  <si>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</si>
  <si>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</si>
  <si>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</si>
  <si>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</si>
  <si>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</si>
  <si>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</si>
  <si>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</si>
  <si>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</si>
  <si>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</si>
  <si>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</si>
  <si>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</si>
  <si>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</si>
  <si>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</si>
  <si>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</si>
  <si>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</si>
  <si>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</si>
  <si>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</si>
  <si>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</si>
  <si>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</si>
  <si>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</si>
  <si>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</si>
  <si>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</si>
  <si>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</si>
  <si>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</si>
  <si>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</si>
  <si>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</si>
  <si>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</si>
  <si>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</si>
  <si>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</si>
  <si>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</si>
  <si>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</si>
  <si>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</si>
  <si>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</si>
  <si>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</si>
  <si>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</si>
  <si>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</si>
  <si>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</si>
  <si>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</si>
  <si>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</si>
  <si>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</si>
  <si>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</si>
  <si>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</si>
  <si>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</si>
  <si>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</si>
  <si>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</si>
  <si>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</si>
  <si>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</si>
  <si>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</si>
  <si>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</si>
  <si>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</si>
  <si>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</si>
  <si>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</si>
  <si>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</si>
  <si>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</si>
  <si>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</si>
  <si>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</si>
  <si>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</si>
  <si>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</si>
  <si>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</si>
  <si>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</si>
  <si>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</si>
  <si>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</si>
  <si>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</si>
  <si>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</si>
  <si>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</si>
  <si>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</si>
  <si>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</si>
  <si>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</si>
  <si>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</si>
  <si>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</si>
  <si>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</si>
  <si>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</si>
  <si>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</si>
  <si>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</si>
  <si>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</si>
  <si>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</si>
  <si>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</si>
  <si>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</si>
  <si>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</si>
  <si>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</si>
  <si>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</si>
  <si>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</si>
  <si>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</si>
  <si>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</si>
  <si>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</si>
  <si>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</si>
  <si>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</si>
  <si>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</si>
  <si>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</si>
  <si>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</si>
  <si>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</si>
  <si>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</si>
  <si>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</si>
  <si>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</si>
  <si>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</si>
  <si>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</si>
  <si>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</si>
  <si>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</si>
  <si>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</si>
  <si>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</si>
  <si>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</si>
  <si>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</si>
  <si>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</si>
  <si>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</si>
  <si>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</si>
  <si>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</si>
  <si>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</si>
  <si>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</si>
  <si>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</si>
  <si>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</si>
  <si>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</si>
  <si>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</si>
  <si>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</si>
  <si>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</si>
  <si>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</si>
  <si>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</si>
  <si>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</si>
  <si>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</si>
  <si>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</si>
  <si>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</si>
  <si>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</si>
  <si>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</si>
  <si>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</si>
  <si>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</si>
  <si>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</si>
  <si>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</si>
  <si>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</si>
  <si>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</si>
  <si>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</si>
  <si>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</si>
  <si>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</si>
  <si>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</si>
  <si>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</si>
  <si>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</si>
  <si>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</si>
  <si>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</si>
  <si>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</si>
  <si>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</si>
  <si>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</si>
  <si>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</si>
  <si>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</si>
  <si>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</si>
  <si>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</si>
  <si>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</si>
  <si>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</si>
  <si>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</si>
  <si>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</si>
  <si>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</si>
  <si>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</si>
  <si>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</si>
  <si>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</si>
  <si>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</si>
  <si>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</si>
  <si>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</si>
  <si>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</si>
  <si>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</si>
  <si>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</si>
  <si>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</si>
  <si>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</si>
  <si>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</si>
  <si>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</si>
  <si>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</si>
  <si>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</si>
  <si>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</si>
  <si>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</si>
  <si>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</si>
  <si>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</si>
  <si>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</si>
  <si>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</si>
  <si>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</si>
  <si>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</si>
  <si>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</si>
  <si>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</si>
  <si>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</si>
  <si>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</si>
  <si>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</si>
  <si>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</si>
  <si>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</si>
  <si>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</si>
  <si>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</si>
  <si>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</si>
  <si>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</si>
  <si>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</si>
  <si>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</si>
  <si>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</si>
  <si>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</si>
  <si>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</si>
  <si>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</si>
  <si>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</si>
  <si>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</si>
  <si>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</si>
  <si>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</si>
  <si>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</si>
  <si>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</si>
  <si>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</si>
  <si>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</si>
  <si>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</si>
  <si>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</si>
  <si>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</si>
  <si>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</si>
  <si>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</si>
  <si>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</si>
  <si>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</si>
  <si>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</si>
  <si>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</si>
  <si>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</si>
  <si>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</si>
  <si>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</si>
  <si>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</si>
  <si>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</si>
  <si>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</si>
  <si>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</si>
  <si>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</si>
  <si>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</si>
  <si>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</si>
  <si>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</si>
  <si>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</si>
  <si>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</si>
  <si>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</si>
  <si>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</si>
  <si>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</si>
  <si>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</si>
  <si>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</si>
  <si>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</si>
  <si>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</si>
  <si>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</si>
  <si>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</si>
  <si>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</si>
  <si>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</si>
  <si>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</si>
  <si>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</si>
  <si>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</si>
  <si>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</si>
  <si>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</si>
  <si>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</si>
  <si>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</si>
  <si>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</si>
  <si>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</si>
  <si>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</si>
  <si>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</si>
  <si>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</si>
  <si>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</si>
  <si>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</si>
  <si>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</si>
  <si>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</si>
  <si>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</si>
  <si>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</si>
  <si>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</si>
  <si>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</si>
  <si>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</si>
  <si>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</si>
  <si>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</si>
  <si>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</si>
  <si>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</si>
  <si>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</si>
  <si>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</si>
  <si>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</si>
  <si>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</si>
  <si>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</si>
  <si>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</si>
  <si>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</si>
  <si>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</si>
  <si>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</si>
  <si>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</si>
  <si>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</si>
  <si>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</si>
  <si>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</si>
  <si>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</si>
  <si>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</si>
  <si>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</si>
  <si>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</si>
  <si>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</si>
  <si>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</si>
  <si>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</si>
  <si>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</si>
  <si>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</si>
  <si>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</si>
  <si>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</si>
  <si>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</si>
  <si>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</si>
  <si>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</si>
  <si>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</si>
  <si>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</si>
  <si>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</si>
  <si>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</si>
  <si>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</si>
  <si>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</si>
  <si>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</si>
  <si>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</si>
  <si>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</si>
  <si>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</si>
  <si>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</si>
  <si>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</si>
  <si>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</si>
  <si>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</si>
  <si>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</si>
  <si>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</si>
  <si>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</si>
  <si>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</si>
  <si>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</si>
  <si>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</si>
  <si>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</si>
  <si>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</si>
  <si>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</si>
  <si>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</si>
  <si>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</si>
  <si>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</si>
  <si>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</si>
  <si>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</si>
  <si>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</si>
  <si>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</si>
  <si>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</si>
  <si>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</si>
  <si>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</si>
  <si>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</si>
  <si>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</si>
  <si>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</si>
  <si>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</si>
  <si>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</si>
  <si>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</si>
  <si>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</si>
  <si>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</si>
  <si>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</si>
  <si>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</si>
  <si>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</si>
  <si>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</si>
  <si>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</si>
  <si>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</si>
  <si>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</si>
  <si>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</si>
  <si>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</si>
  <si>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</si>
  <si>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</si>
  <si>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</si>
  <si>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</si>
  <si>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</si>
  <si>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</si>
  <si>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</si>
  <si>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</si>
  <si>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</si>
  <si>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</si>
  <si>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</si>
  <si>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</si>
  <si>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</si>
  <si>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</si>
  <si>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</si>
  <si>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</si>
  <si>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</si>
  <si>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</si>
  <si>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</si>
  <si>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</si>
  <si>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</si>
  <si>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</si>
  <si>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</si>
  <si>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</si>
  <si>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</si>
  <si>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</si>
  <si>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</si>
  <si>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</si>
  <si>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</si>
  <si>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</si>
  <si>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</si>
  <si>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</si>
  <si>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</si>
  <si>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</si>
  <si>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</si>
  <si>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</si>
  <si>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</si>
  <si>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</si>
  <si>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</si>
  <si>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</si>
  <si>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</si>
  <si>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</si>
  <si>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</si>
  <si>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</si>
  <si>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</si>
  <si>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</si>
  <si>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</si>
  <si>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</si>
  <si>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</si>
  <si>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</si>
  <si>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</si>
  <si>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</si>
  <si>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</si>
  <si>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</si>
  <si>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</si>
  <si>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</si>
  <si>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</si>
  <si>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</si>
  <si>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</si>
  <si>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</si>
  <si>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</si>
  <si>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</si>
  <si>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</si>
  <si>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</si>
  <si>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</si>
  <si>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</si>
  <si>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</si>
  <si>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</si>
  <si>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</si>
  <si>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</si>
  <si>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</si>
  <si>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</si>
  <si>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</si>
  <si>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</si>
  <si>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</si>
  <si>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</si>
  <si>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</si>
  <si>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</si>
  <si>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</si>
  <si>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</si>
  <si>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</si>
  <si>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</si>
  <si>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</si>
  <si>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</si>
  <si>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</si>
  <si>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</si>
  <si>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</si>
  <si>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</si>
  <si>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</si>
  <si>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</si>
  <si>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</si>
  <si>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</si>
  <si>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</si>
  <si>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</si>
  <si>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</si>
  <si>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</si>
  <si>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</si>
  <si>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</si>
  <si>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</si>
  <si>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</si>
  <si>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</si>
  <si>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</si>
  <si>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</si>
  <si>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</si>
  <si>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</si>
  <si>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</si>
  <si>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</si>
  <si>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</si>
  <si>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</si>
  <si>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</si>
  <si>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</si>
  <si>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</si>
  <si>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</si>
  <si>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</si>
  <si>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</si>
  <si>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</si>
  <si>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</si>
  <si>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</si>
  <si>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</si>
  <si>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</si>
  <si>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</si>
  <si>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</si>
  <si>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</si>
  <si>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</si>
  <si>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</si>
  <si>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</si>
  <si>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</si>
  <si>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</si>
  <si>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</si>
  <si>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</si>
  <si>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</si>
  <si>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</si>
  <si>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</si>
  <si>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</si>
  <si>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</si>
  <si>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</si>
  <si>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</si>
  <si>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</si>
  <si>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</si>
  <si>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</si>
  <si>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</si>
  <si>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</si>
  <si>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</si>
  <si>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</si>
  <si>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</si>
  <si>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</si>
  <si>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</si>
  <si>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</si>
  <si>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</si>
  <si>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</si>
  <si>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</si>
  <si>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</si>
  <si>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</si>
  <si>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</si>
  <si>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</si>
  <si>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</si>
  <si>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</si>
  <si>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</si>
  <si>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</si>
  <si>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</si>
  <si>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</si>
  <si>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</si>
  <si>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</si>
  <si>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</si>
  <si>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</si>
  <si>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</si>
  <si>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</si>
  <si>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</si>
  <si>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</si>
  <si>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</si>
  <si>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</si>
  <si>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</si>
  <si>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</si>
  <si>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</si>
  <si>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</si>
  <si>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</si>
  <si>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</si>
  <si>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</si>
  <si>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</si>
  <si>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</si>
  <si>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</si>
  <si>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</si>
  <si>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</si>
  <si>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</si>
  <si>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</si>
  <si>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</si>
  <si>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</si>
  <si>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</si>
  <si>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</si>
  <si>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</si>
  <si>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</si>
  <si>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</si>
  <si>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</si>
  <si>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</si>
  <si>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</si>
  <si>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</si>
  <si>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</si>
  <si>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</si>
  <si>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</si>
  <si>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</si>
  <si>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</si>
  <si>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</si>
  <si>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</si>
  <si>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</si>
  <si>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</si>
  <si>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</si>
  <si>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</si>
  <si>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</si>
  <si>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</si>
  <si>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</si>
  <si>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</si>
  <si>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</si>
  <si>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</si>
  <si>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</si>
  <si>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</si>
  <si>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</si>
  <si>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</si>
  <si>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</si>
  <si>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</si>
  <si>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</si>
  <si>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</si>
  <si>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</si>
  <si>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</si>
  <si>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</si>
  <si>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</si>
  <si>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</si>
  <si>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</si>
  <si>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</si>
  <si>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</si>
  <si>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</si>
  <si>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</si>
  <si>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</si>
  <si>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</si>
  <si>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</si>
  <si>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</si>
  <si>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</si>
  <si>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</si>
  <si>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</si>
  <si>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</si>
  <si>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</si>
  <si>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</si>
  <si>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</si>
  <si>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</si>
  <si>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</si>
  <si>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</si>
  <si>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</si>
  <si>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</si>
  <si>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</si>
  <si>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</si>
  <si>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</si>
  <si>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</si>
  <si>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</si>
  <si>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</si>
  <si>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</si>
  <si>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</si>
  <si>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</si>
  <si>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</si>
  <si>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</si>
  <si>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</si>
  <si>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</si>
  <si>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</si>
  <si>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</si>
  <si>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</si>
  <si>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</si>
  <si>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</si>
  <si>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</si>
  <si>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</si>
  <si>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</si>
  <si>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</si>
  <si>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</si>
  <si>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</si>
  <si>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</si>
  <si>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</si>
  <si>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</si>
  <si>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</si>
  <si>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</si>
  <si>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</si>
  <si>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</si>
  <si>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</si>
  <si>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</si>
  <si>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</si>
  <si>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</si>
  <si>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</si>
  <si>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</si>
  <si>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</si>
  <si>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</si>
  <si>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</si>
  <si>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</si>
  <si>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</si>
  <si>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</si>
  <si>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</si>
  <si>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</si>
  <si>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</si>
  <si>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</si>
  <si>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</si>
  <si>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</si>
  <si>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</si>
  <si>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</si>
  <si>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</si>
  <si>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</si>
  <si>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</si>
  <si>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</si>
  <si>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</si>
  <si>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</si>
  <si>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</si>
  <si>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</si>
  <si>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</si>
  <si>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</si>
  <si>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</si>
  <si>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</si>
  <si>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</si>
  <si>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</si>
  <si>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</si>
  <si>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</si>
  <si>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</si>
  <si>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</si>
  <si>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</si>
  <si>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</si>
  <si>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</si>
  <si>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</si>
  <si>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</si>
  <si>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</si>
  <si>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</si>
  <si>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</si>
  <si>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</si>
  <si>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</si>
  <si>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</si>
  <si>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</si>
  <si>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</si>
  <si>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</si>
  <si>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</si>
  <si>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</si>
  <si>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</si>
  <si>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</si>
  <si>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</si>
  <si>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</si>
  <si>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</si>
  <si>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</si>
  <si>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</si>
  <si>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</si>
  <si>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</si>
  <si>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</si>
  <si>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</si>
  <si>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</si>
  <si>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</si>
  <si>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</si>
  <si>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</si>
  <si>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</si>
  <si>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</si>
  <si>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</si>
  <si>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</si>
  <si>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</si>
  <si>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</si>
  <si>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</si>
  <si>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</si>
  <si>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</si>
  <si>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</si>
  <si>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</si>
  <si>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</si>
  <si>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</si>
  <si>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</si>
  <si>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</si>
  <si>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</si>
  <si>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</si>
  <si>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</si>
  <si>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</si>
  <si>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</si>
  <si>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</si>
  <si>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</si>
  <si>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</si>
  <si>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</si>
  <si>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</si>
  <si>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</si>
  <si>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</si>
  <si>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</si>
  <si>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</si>
  <si>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</si>
  <si>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</si>
  <si>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</si>
  <si>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</si>
  <si>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</si>
  <si>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</si>
  <si>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</si>
  <si>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</si>
  <si>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</si>
  <si>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</si>
  <si>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</si>
  <si>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</si>
  <si>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</si>
  <si>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</si>
  <si>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</si>
  <si>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</si>
  <si>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</si>
  <si>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</si>
  <si>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</si>
  <si>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</si>
  <si>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</si>
  <si>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</si>
  <si>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</si>
  <si>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</si>
  <si>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</si>
  <si>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</si>
  <si>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</si>
  <si>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</si>
  <si>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</si>
  <si>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</si>
  <si>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</si>
  <si>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</si>
  <si>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</si>
  <si>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</si>
  <si>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</si>
  <si>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</si>
  <si>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</si>
  <si>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</si>
  <si>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</si>
  <si>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</si>
  <si>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</si>
  <si>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</si>
  <si>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</si>
  <si>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</si>
  <si>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</si>
  <si>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</si>
  <si>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</si>
  <si>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</si>
  <si>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</si>
  <si>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</si>
  <si>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</si>
  <si>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</si>
  <si>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</si>
  <si>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</si>
  <si>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</si>
  <si>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</si>
  <si>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</si>
  <si>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</si>
  <si>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</si>
  <si>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</si>
  <si>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</si>
  <si>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</si>
  <si>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</si>
  <si>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</si>
  <si>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</si>
  <si>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</si>
  <si>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</si>
  <si>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</si>
  <si>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</si>
  <si>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</si>
  <si>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</si>
  <si>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</si>
  <si>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</si>
  <si>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</si>
  <si>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</si>
  <si>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</si>
  <si>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</si>
  <si>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</si>
  <si>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</si>
  <si>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</si>
  <si>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</si>
  <si>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</si>
  <si>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</si>
  <si>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</si>
  <si>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</si>
  <si>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</si>
  <si>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</si>
  <si>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</si>
  <si>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</si>
  <si>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</si>
  <si>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</si>
  <si>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</si>
  <si>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</si>
  <si>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</si>
  <si>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</si>
  <si>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</si>
  <si>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</si>
  <si>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</si>
  <si>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</si>
  <si>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</si>
  <si>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</si>
  <si>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</si>
  <si>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</si>
  <si>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</si>
  <si>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</si>
  <si>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</si>
  <si>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</si>
  <si>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</si>
  <si>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</si>
  <si>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</si>
  <si>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</si>
  <si>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</si>
  <si>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</si>
  <si>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</si>
  <si>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</si>
  <si>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</si>
  <si>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</si>
  <si>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</si>
  <si>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</si>
  <si>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</si>
  <si>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</si>
  <si>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</si>
  <si>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</si>
  <si>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</si>
  <si>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</si>
  <si>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</si>
  <si>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</si>
  <si>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</si>
  <si>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</si>
  <si>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</si>
  <si>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</si>
  <si>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</si>
  <si>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</si>
  <si>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</si>
  <si>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</si>
  <si>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</si>
  <si>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</si>
  <si>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</si>
  <si>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</si>
  <si>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</si>
  <si>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</si>
  <si>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</si>
  <si>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</si>
  <si>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</si>
  <si>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</si>
  <si>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</si>
  <si>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</si>
  <si>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</si>
  <si>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</si>
  <si>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</si>
  <si>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</si>
  <si>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</si>
  <si>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</si>
  <si>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</si>
  <si>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</si>
  <si>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</si>
  <si>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</si>
  <si>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</si>
  <si>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</si>
  <si>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</si>
  <si>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</si>
  <si>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</si>
  <si>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</si>
  <si>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</si>
  <si>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</si>
  <si>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</si>
  <si>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</si>
  <si>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</si>
  <si>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</si>
  <si>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</si>
  <si>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</si>
  <si>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</si>
  <si>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</si>
  <si>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</si>
  <si>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</si>
  <si>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</si>
  <si>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</si>
  <si>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</si>
  <si>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</si>
  <si>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</si>
  <si>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</si>
  <si>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</si>
  <si>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</si>
  <si>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</si>
  <si>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</si>
  <si>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</si>
  <si>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</si>
  <si>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</si>
  <si>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</si>
  <si>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</si>
  <si>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</si>
  <si>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</si>
  <si>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</si>
  <si>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</si>
  <si>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</si>
  <si>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</si>
  <si>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</si>
  <si>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</si>
  <si>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</si>
  <si>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</si>
  <si>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</si>
  <si>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</si>
  <si>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</si>
  <si>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</si>
  <si>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</si>
  <si>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</si>
  <si>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</si>
  <si>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</si>
  <si>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</si>
  <si>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</si>
  <si>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</si>
  <si>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</si>
  <si>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</si>
  <si>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</si>
  <si>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</si>
  <si>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</si>
  <si>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</si>
  <si>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</si>
  <si>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</si>
  <si>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</si>
  <si>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</si>
  <si>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</si>
  <si>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</si>
  <si>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</si>
  <si>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</si>
  <si>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</si>
  <si>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</si>
  <si>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</si>
  <si>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</si>
  <si>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</si>
  <si>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</si>
  <si>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</si>
  <si>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</si>
  <si>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</si>
  <si>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</si>
  <si>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</si>
  <si>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</si>
  <si>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</si>
  <si>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</si>
  <si>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</si>
  <si>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</si>
  <si>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</si>
  <si>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</si>
  <si>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</si>
  <si>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</si>
  <si>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</si>
  <si>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</si>
  <si>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</si>
  <si>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</si>
  <si>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</si>
  <si>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</si>
  <si>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</si>
  <si>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</si>
  <si>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</si>
  <si>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</si>
  <si>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</si>
  <si>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</si>
  <si>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</si>
  <si>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</si>
  <si>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</si>
  <si>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</si>
  <si>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</si>
  <si>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</si>
  <si>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</si>
  <si>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</si>
  <si>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</si>
  <si>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</si>
  <si>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</si>
  <si>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</si>
  <si>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</si>
  <si>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</si>
  <si>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</si>
  <si>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</si>
  <si>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</si>
  <si>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</si>
  <si>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</si>
  <si>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</si>
  <si>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</si>
  <si>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</si>
  <si>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</si>
  <si>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</si>
  <si>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</si>
  <si>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</si>
  <si>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</si>
  <si>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</si>
  <si>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</si>
  <si>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</si>
  <si>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</si>
  <si>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</si>
  <si>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</si>
  <si>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</si>
  <si>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</si>
  <si>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</si>
  <si>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</si>
  <si>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</si>
  <si>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</si>
  <si>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</si>
  <si>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</si>
  <si>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</si>
  <si>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</si>
  <si>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</si>
  <si>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</si>
  <si>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</si>
  <si>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</si>
  <si>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</si>
  <si>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</si>
  <si>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</si>
  <si>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</si>
  <si>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</si>
  <si>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</si>
  <si>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</si>
  <si>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</si>
  <si>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</si>
  <si>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</si>
  <si>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</si>
  <si>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</si>
  <si>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</si>
  <si>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</si>
  <si>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</si>
  <si>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</si>
  <si>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</si>
  <si>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</si>
  <si>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</si>
  <si>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</si>
  <si>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</si>
  <si>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</si>
  <si>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</si>
  <si>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</si>
  <si>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</si>
  <si>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</si>
  <si>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</si>
  <si>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</si>
  <si>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</si>
  <si>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</si>
  <si>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</si>
  <si>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</si>
  <si>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</si>
  <si>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</si>
  <si>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</si>
  <si>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</si>
  <si>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</si>
  <si>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</si>
  <si>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</si>
  <si>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</si>
  <si>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</si>
  <si>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</si>
  <si>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</si>
  <si>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</si>
  <si>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</si>
  <si>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</si>
  <si>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</si>
  <si>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</si>
  <si>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</si>
  <si>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</si>
  <si>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</si>
  <si>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</si>
  <si>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</si>
  <si>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</si>
  <si>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</si>
  <si>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</si>
  <si>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</si>
  <si>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</si>
  <si>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</si>
  <si>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</si>
  <si>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</si>
  <si>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</si>
  <si>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</si>
  <si>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</si>
  <si>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</si>
  <si>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</si>
  <si>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</si>
  <si>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</si>
  <si>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</si>
  <si>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</si>
  <si>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</si>
  <si>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</si>
  <si>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</si>
  <si>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</si>
  <si>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</si>
  <si>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</si>
  <si>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</si>
  <si>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</si>
  <si>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</si>
  <si>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</si>
  <si>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</si>
  <si>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</si>
  <si>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</si>
  <si>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</si>
  <si>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</si>
  <si>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</si>
  <si>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</si>
  <si>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</si>
  <si>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</si>
  <si>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</si>
  <si>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</si>
  <si>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</si>
  <si>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</si>
  <si>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</si>
  <si>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</si>
  <si>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</si>
  <si>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</si>
  <si>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</si>
  <si>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</si>
  <si>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</si>
  <si>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</si>
  <si>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</si>
  <si>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</si>
  <si>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</si>
  <si>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</si>
  <si>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</si>
  <si>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</si>
  <si>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</si>
  <si>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</si>
  <si>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</si>
  <si>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</si>
  <si>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</si>
  <si>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</si>
  <si>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</si>
  <si>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</si>
  <si>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</si>
  <si>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</si>
  <si>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</si>
  <si>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</si>
  <si>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</si>
  <si>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</si>
  <si>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</si>
  <si>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</si>
  <si>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</si>
  <si>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</si>
  <si>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</si>
  <si>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</si>
  <si>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</si>
  <si>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</si>
  <si>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</si>
  <si>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</si>
  <si>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</si>
  <si>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</si>
  <si>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</si>
  <si>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</si>
  <si>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</si>
  <si>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</si>
  <si>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</si>
  <si>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</si>
  <si>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</si>
  <si>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</si>
  <si>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</si>
  <si>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</si>
  <si>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</si>
  <si>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</si>
  <si>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</si>
  <si>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</si>
  <si>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</si>
  <si>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</si>
  <si>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</si>
  <si>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</si>
  <si>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</si>
  <si>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</si>
  <si>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</si>
  <si>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</si>
  <si>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</si>
  <si>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</si>
  <si>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</si>
  <si>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</si>
  <si>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</si>
  <si>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</si>
  <si>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</si>
  <si>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</si>
  <si>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</si>
  <si>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</si>
  <si>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</si>
  <si>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</si>
  <si>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</si>
  <si>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</si>
  <si>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</si>
  <si>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</si>
  <si>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</si>
  <si>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</si>
  <si>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</si>
  <si>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</si>
  <si>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</si>
  <si>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</si>
  <si>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</si>
  <si>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</si>
  <si>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</si>
  <si>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</si>
  <si>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</si>
  <si>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</si>
  <si>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</si>
  <si>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</si>
  <si>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</si>
  <si>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</si>
  <si>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</si>
  <si>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</si>
  <si>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</si>
  <si>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</si>
  <si>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</si>
  <si>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</si>
  <si>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</si>
  <si>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</si>
  <si>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</si>
  <si>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</si>
  <si>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</si>
  <si>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</si>
  <si>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</si>
  <si>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</si>
  <si>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</si>
  <si>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</si>
  <si>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</si>
  <si>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</si>
  <si>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</si>
  <si>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</si>
  <si>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</si>
  <si>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</si>
  <si>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</si>
  <si>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</si>
  <si>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</si>
  <si>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</si>
  <si>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</si>
  <si>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</si>
  <si>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</si>
  <si>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</si>
  <si>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</si>
  <si>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</si>
  <si>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</si>
  <si>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</si>
  <si>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</si>
  <si>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</si>
  <si>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</si>
  <si>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</si>
  <si>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</si>
  <si>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</si>
  <si>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</si>
  <si>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</si>
  <si>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</si>
  <si>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</si>
  <si>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</si>
  <si>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</si>
  <si>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</si>
  <si>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</si>
  <si>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</si>
  <si>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</si>
  <si>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</si>
  <si>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</si>
  <si>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</si>
  <si>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</si>
  <si>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</si>
  <si>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</si>
  <si>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</si>
  <si>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</si>
  <si>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</si>
  <si>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</si>
  <si>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</si>
  <si>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</si>
  <si>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</si>
  <si>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</si>
  <si>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</si>
  <si>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</si>
  <si>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</si>
  <si>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</si>
  <si>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</si>
  <si>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</si>
  <si>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</si>
  <si>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</si>
  <si>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</si>
  <si>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</si>
  <si>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</si>
  <si>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</si>
  <si>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</si>
  <si>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</si>
  <si>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</si>
  <si>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</si>
  <si>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</si>
  <si>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</si>
  <si>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</si>
  <si>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</si>
  <si>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</si>
  <si>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</si>
  <si>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</si>
  <si>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</si>
  <si>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</si>
  <si>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</si>
  <si>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</si>
  <si>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</si>
  <si>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</si>
  <si>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</si>
  <si>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</si>
  <si>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</si>
  <si>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</si>
  <si>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</si>
  <si>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</si>
  <si>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</si>
  <si>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</si>
  <si>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</si>
  <si>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</si>
  <si>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</si>
  <si>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</si>
  <si>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</si>
  <si>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</si>
  <si>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</si>
  <si>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</si>
  <si>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</si>
  <si>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</si>
  <si>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</si>
  <si>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</si>
  <si>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</si>
  <si>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</si>
  <si>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</si>
  <si>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</si>
  <si>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</si>
  <si>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</si>
  <si>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</si>
  <si>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</si>
  <si>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</si>
  <si>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</si>
  <si>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</si>
  <si>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</si>
  <si>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</si>
  <si>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</si>
  <si>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</si>
  <si>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</si>
  <si>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</si>
  <si>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</si>
  <si>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</si>
  <si>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</si>
  <si>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</si>
  <si>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</si>
  <si>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</si>
  <si>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</si>
  <si>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</si>
  <si>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</si>
  <si>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</si>
  <si>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</si>
  <si>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</si>
  <si>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</si>
  <si>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</si>
  <si>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</si>
  <si>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</si>
  <si>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</si>
  <si>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</si>
  <si>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</si>
  <si>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</si>
  <si>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</si>
  <si>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</si>
  <si>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</si>
  <si>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</si>
  <si>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</si>
  <si>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</si>
  <si>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</si>
  <si>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</si>
  <si>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</si>
  <si>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</si>
  <si>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</si>
  <si>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</si>
  <si>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</si>
  <si>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</si>
  <si>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</si>
  <si>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</si>
  <si>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</si>
  <si>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</si>
  <si>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</si>
  <si>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</si>
  <si>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</si>
  <si>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</si>
  <si>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</si>
  <si>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</si>
  <si>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</si>
  <si>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</si>
  <si>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</si>
  <si>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</si>
  <si>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</si>
  <si>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</si>
  <si>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</si>
  <si>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</si>
  <si>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</si>
  <si>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</si>
  <si>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</si>
  <si>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</si>
  <si>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</si>
  <si>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</si>
  <si>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</si>
  <si>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</si>
  <si>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</si>
  <si>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</si>
  <si>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</si>
  <si>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</si>
  <si>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</si>
  <si>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</si>
  <si>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</si>
  <si>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</si>
  <si>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</si>
  <si>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</si>
  <si>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</si>
  <si>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</si>
  <si>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</si>
  <si>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</si>
  <si>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</si>
  <si>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</si>
  <si>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</si>
  <si>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</si>
  <si>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</si>
  <si>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</si>
  <si>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</si>
  <si>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</si>
  <si>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</si>
  <si>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</si>
  <si>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</si>
  <si>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</si>
  <si>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</si>
  <si>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</si>
  <si>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</si>
  <si>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</si>
  <si>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</si>
  <si>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</si>
  <si>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</si>
  <si>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</si>
  <si>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</si>
  <si>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</si>
  <si>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</si>
  <si>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</si>
  <si>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</si>
  <si>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</si>
  <si>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</si>
  <si>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</si>
  <si>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</si>
  <si>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</si>
  <si>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</si>
  <si>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</si>
  <si>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</si>
  <si>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</si>
  <si>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</si>
  <si>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</si>
  <si>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</si>
  <si>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</si>
  <si>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</si>
  <si>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</si>
  <si>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</si>
  <si>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</si>
  <si>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</si>
  <si>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</si>
  <si>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</si>
  <si>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</si>
  <si>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</si>
  <si>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</si>
  <si>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</si>
  <si>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</si>
  <si>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</si>
  <si>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</si>
  <si>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</si>
  <si>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</si>
  <si>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</si>
  <si>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</si>
  <si>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</si>
  <si>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</si>
  <si>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</si>
  <si>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</si>
  <si>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</si>
  <si>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</si>
  <si>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</si>
  <si>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</si>
  <si>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</si>
  <si>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</si>
  <si>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</si>
  <si>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</si>
  <si>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</si>
  <si>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</si>
  <si>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</si>
  <si>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</si>
  <si>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</si>
  <si>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</si>
  <si>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</si>
  <si>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</si>
  <si>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</si>
  <si>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</si>
  <si>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</si>
  <si>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</si>
  <si>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</si>
  <si>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</si>
  <si>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</si>
  <si>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</si>
  <si>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</si>
  <si>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</si>
  <si>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</si>
  <si>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</si>
  <si>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</si>
  <si>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</si>
  <si>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</si>
  <si>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</si>
  <si>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</si>
  <si>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</si>
  <si>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</si>
  <si>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</si>
  <si>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</si>
  <si>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</si>
  <si>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</si>
  <si>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</si>
  <si>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</si>
  <si>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</si>
  <si>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</si>
  <si>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</si>
  <si>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</si>
  <si>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</si>
  <si>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</si>
  <si>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</si>
  <si>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</si>
  <si>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</si>
  <si>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</si>
  <si>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</si>
  <si>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</si>
  <si>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</si>
  <si>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</si>
  <si>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</si>
  <si>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</si>
  <si>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</si>
  <si>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</si>
  <si>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</si>
  <si>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</si>
  <si>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</si>
  <si>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</si>
  <si>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</si>
  <si>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</si>
  <si>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</si>
  <si>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</si>
  <si>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</si>
  <si>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</si>
  <si>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</si>
  <si>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</si>
  <si>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</si>
  <si>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</si>
  <si>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</si>
  <si>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</si>
  <si>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</si>
  <si>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</si>
  <si>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</si>
  <si>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</si>
  <si>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</si>
  <si>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</si>
  <si>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</si>
  <si>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</si>
  <si>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</si>
  <si>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</si>
  <si>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</si>
  <si>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</si>
  <si>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</si>
  <si>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</si>
  <si>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</si>
  <si>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</si>
  <si>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</si>
  <si>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</si>
  <si>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</si>
  <si>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</si>
  <si>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</si>
  <si>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</si>
  <si>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</si>
  <si>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</si>
  <si>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</si>
  <si>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</si>
  <si>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</si>
  <si>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</si>
  <si>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</si>
  <si>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</si>
  <si>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</si>
  <si>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</si>
  <si>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</si>
  <si>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</si>
  <si>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</si>
  <si>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</si>
  <si>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</si>
  <si>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</si>
  <si>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</si>
  <si>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</si>
  <si>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</si>
  <si>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</si>
  <si>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</si>
  <si>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</si>
  <si>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</si>
  <si>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</si>
  <si>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</si>
  <si>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</si>
  <si>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</si>
  <si>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</si>
  <si>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</si>
  <si>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</si>
  <si>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</si>
  <si>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</si>
  <si>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</si>
  <si>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</si>
  <si>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</si>
  <si>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</si>
  <si>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</si>
  <si>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</si>
  <si>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</si>
  <si>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</si>
  <si>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</si>
  <si>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</si>
  <si>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</si>
  <si>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</si>
  <si>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</si>
  <si>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</si>
  <si>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</si>
  <si>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</si>
  <si>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</si>
  <si>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</si>
  <si>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</si>
  <si>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</si>
  <si>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</si>
  <si>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</si>
  <si>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</si>
  <si>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</si>
  <si>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</si>
  <si>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</si>
  <si>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</si>
  <si>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</si>
  <si>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</si>
  <si>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</si>
  <si>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</si>
  <si>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</si>
  <si>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</si>
  <si>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</si>
  <si>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</si>
  <si>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</si>
  <si>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</si>
  <si>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</si>
  <si>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</si>
  <si>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</si>
  <si>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</si>
  <si>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</si>
  <si>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</si>
  <si>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</si>
  <si>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</si>
  <si>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</si>
  <si>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</si>
  <si>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</si>
  <si>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</si>
  <si>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</si>
  <si>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</si>
  <si>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</si>
  <si>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</si>
  <si>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</si>
  <si>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</si>
  <si>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</si>
  <si>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</si>
  <si>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</si>
  <si>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</si>
  <si>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</si>
  <si>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</si>
  <si>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</si>
  <si>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</si>
  <si>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</si>
  <si>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</si>
  <si>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</si>
  <si>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</si>
  <si>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</si>
  <si>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</si>
  <si>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</si>
  <si>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</si>
  <si>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</si>
  <si>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</si>
  <si>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</si>
  <si>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</si>
  <si>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</si>
  <si>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</si>
  <si>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</si>
  <si>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</si>
  <si>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</si>
  <si>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</si>
  <si>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</si>
  <si>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</si>
  <si>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</si>
  <si>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</si>
  <si>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</si>
  <si>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</si>
  <si>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</si>
  <si>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</si>
  <si>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</si>
  <si>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</si>
  <si>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</si>
  <si>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</si>
  <si>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</si>
  <si>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</si>
  <si>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</si>
  <si>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</si>
  <si>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</si>
  <si>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</si>
  <si>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</si>
  <si>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</si>
  <si>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</si>
  <si>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</si>
  <si>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</si>
  <si>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</si>
  <si>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</si>
  <si>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</si>
  <si>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</si>
  <si>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</si>
  <si>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</si>
  <si>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</si>
  <si>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</si>
  <si>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</si>
  <si>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</si>
  <si>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</si>
  <si>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</si>
  <si>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</si>
  <si>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</si>
  <si>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</si>
  <si>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</si>
  <si>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</si>
  <si>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</si>
  <si>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</si>
  <si>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</si>
  <si>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</si>
  <si>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</si>
  <si>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</si>
  <si>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</si>
  <si>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</si>
  <si>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</si>
  <si>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</si>
  <si>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</si>
  <si>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</si>
  <si>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</si>
  <si>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</si>
  <si>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</si>
  <si>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</si>
  <si>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</si>
  <si>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</si>
  <si>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</si>
  <si>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</si>
  <si>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</si>
  <si>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</si>
  <si>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</si>
  <si>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</si>
  <si>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</si>
  <si>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</si>
  <si>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</si>
  <si>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</si>
  <si>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</si>
  <si>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</si>
  <si>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</si>
  <si>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</si>
  <si>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</si>
  <si>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</si>
  <si>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</si>
  <si>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</si>
  <si>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</si>
  <si>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</si>
  <si>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</si>
  <si>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</si>
  <si>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</si>
  <si>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</si>
  <si>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</si>
  <si>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</si>
  <si>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</si>
  <si>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</si>
  <si>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</si>
  <si>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</si>
  <si>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</si>
  <si>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</si>
  <si>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</si>
  <si>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</si>
  <si>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</si>
  <si>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</si>
  <si>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</si>
  <si>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</si>
  <si>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</si>
  <si>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</si>
  <si>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</si>
  <si>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</si>
  <si>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</si>
  <si>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</si>
  <si>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</si>
  <si>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</si>
  <si>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</si>
  <si>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</si>
  <si>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</si>
  <si>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</si>
  <si>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</si>
  <si>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</si>
  <si>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</si>
  <si>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</si>
  <si>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</si>
  <si>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</si>
  <si>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</si>
  <si>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</si>
  <si>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</si>
  <si>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</si>
  <si>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</si>
  <si>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</si>
  <si>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</si>
  <si>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</si>
  <si>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</si>
  <si>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</si>
  <si>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</si>
  <si>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</si>
  <si>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</si>
  <si>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</si>
  <si>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</si>
  <si>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</si>
  <si>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</si>
  <si>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</si>
  <si>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</si>
  <si>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</si>
  <si>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</si>
  <si>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</si>
  <si>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</si>
  <si>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</si>
  <si>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</si>
  <si>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</si>
  <si>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</si>
  <si>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</si>
  <si>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</si>
  <si>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</si>
  <si>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</si>
  <si>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</si>
  <si>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</si>
  <si>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</si>
  <si>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</si>
  <si>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</si>
  <si>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</si>
  <si>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</si>
  <si>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</si>
  <si>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</si>
  <si>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</si>
  <si>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</si>
  <si>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</si>
  <si>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</si>
  <si>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</si>
  <si>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</si>
  <si>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</si>
  <si>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</si>
  <si>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</si>
  <si>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</si>
  <si>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</si>
  <si>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</si>
  <si>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</si>
  <si>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</si>
  <si>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</si>
  <si>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</si>
  <si>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</si>
  <si>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</si>
  <si>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</si>
  <si>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</si>
  <si>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</si>
  <si>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</si>
  <si>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</si>
  <si>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</si>
  <si>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</si>
  <si>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</si>
  <si>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</si>
  <si>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</si>
  <si>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</si>
  <si>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</si>
  <si>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</si>
  <si>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</si>
  <si>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</si>
  <si>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</si>
  <si>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</si>
  <si>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</si>
  <si>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</si>
  <si>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</si>
  <si>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</si>
  <si>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</si>
  <si>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</si>
  <si>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</si>
  <si>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</si>
  <si>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</si>
  <si>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</si>
  <si>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</si>
  <si>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</si>
  <si>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</si>
  <si>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</si>
  <si>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</si>
  <si>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</si>
  <si>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</si>
  <si>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</si>
  <si>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</si>
  <si>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</si>
  <si>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</si>
  <si>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</si>
  <si>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</si>
  <si>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</si>
  <si>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</si>
  <si>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</si>
  <si>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</si>
  <si>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</si>
  <si>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</si>
  <si>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</si>
  <si>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</si>
  <si>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</si>
  <si>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</si>
  <si>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</si>
  <si>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</si>
  <si>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</si>
  <si>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</si>
  <si>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</si>
  <si>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</si>
  <si>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</si>
  <si>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</si>
  <si>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</si>
  <si>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</si>
  <si>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</si>
  <si>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</si>
  <si>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</si>
  <si>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</si>
  <si>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</si>
  <si>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</si>
  <si>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</si>
  <si>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</si>
  <si>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</si>
  <si>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</si>
  <si>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</si>
  <si>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</si>
  <si>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</si>
  <si>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</si>
  <si>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</si>
  <si>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</si>
  <si>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</si>
  <si>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</si>
  <si>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</si>
  <si>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</si>
  <si>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</si>
  <si>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</si>
  <si>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</si>
  <si>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</si>
  <si>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</si>
  <si>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</si>
  <si>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</si>
  <si>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</si>
  <si>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</si>
  <si>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</si>
  <si>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</si>
  <si>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</si>
  <si>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</si>
  <si>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</si>
  <si>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</si>
  <si>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</si>
  <si>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</si>
  <si>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</si>
  <si>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</si>
  <si>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</si>
  <si>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</si>
  <si>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</si>
  <si>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</si>
  <si>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</si>
  <si>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</si>
  <si>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</si>
  <si>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</si>
  <si>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</si>
  <si>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</si>
  <si>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</si>
  <si>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</si>
  <si>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</si>
  <si>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</si>
  <si>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</si>
  <si>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</si>
  <si>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</si>
  <si>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</si>
  <si>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</si>
  <si>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</si>
  <si>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</si>
  <si>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</si>
  <si>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</si>
  <si>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</si>
  <si>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</si>
  <si>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</si>
  <si>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</si>
  <si>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</si>
  <si>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</si>
  <si>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</si>
  <si>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</si>
  <si>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</si>
  <si>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</si>
  <si>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</si>
  <si>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</si>
  <si>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</si>
  <si>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</si>
  <si>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</si>
  <si>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</si>
  <si>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</si>
  <si>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</si>
  <si>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</si>
  <si>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</si>
  <si>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</si>
  <si>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</si>
  <si>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</si>
  <si>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</si>
  <si>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</si>
  <si>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</si>
  <si>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</si>
  <si>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</si>
  <si>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</si>
  <si>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</si>
  <si>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</si>
  <si>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</si>
  <si>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</si>
  <si>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</si>
  <si>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</si>
  <si>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</si>
  <si>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</si>
  <si>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</si>
  <si>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</si>
  <si>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</si>
  <si>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</si>
  <si>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</si>
  <si>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</si>
  <si>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</si>
  <si>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</si>
  <si>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</si>
  <si>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</si>
  <si>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</si>
  <si>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</si>
  <si>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</si>
  <si>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</si>
  <si>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</si>
  <si>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</si>
  <si>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</si>
  <si>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</si>
  <si>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</si>
  <si>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</si>
  <si>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</si>
  <si>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</si>
  <si>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</si>
  <si>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</si>
  <si>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</si>
  <si>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</si>
  <si>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</si>
  <si>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</si>
  <si>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</si>
  <si>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</si>
  <si>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</si>
  <si>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</si>
  <si>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</si>
  <si>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</si>
  <si>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</si>
  <si>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</si>
  <si>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</si>
  <si>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</si>
  <si>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</si>
  <si>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</si>
  <si>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</si>
  <si>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</si>
  <si>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</si>
  <si>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</si>
  <si>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</si>
  <si>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</si>
  <si>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</si>
  <si>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</si>
  <si>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</si>
  <si>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</si>
  <si>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</si>
  <si>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</si>
  <si>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</si>
  <si>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</si>
  <si>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</si>
  <si>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</si>
  <si>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</si>
  <si>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</si>
  <si>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</si>
  <si>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</si>
  <si>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</si>
  <si>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</si>
  <si>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</si>
  <si>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</si>
  <si>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</si>
  <si>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</si>
  <si>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</si>
  <si>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</si>
  <si>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</si>
  <si>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</si>
  <si>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</si>
  <si>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</si>
  <si>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</si>
  <si>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</si>
  <si>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</si>
  <si>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</si>
  <si>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</si>
  <si>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</si>
  <si>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</si>
  <si>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</si>
  <si>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</si>
  <si>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</si>
  <si>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</si>
  <si>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</si>
  <si>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</si>
  <si>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</si>
  <si>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</si>
  <si>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</si>
  <si>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</si>
  <si>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</si>
  <si>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</si>
  <si>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</si>
  <si>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</si>
  <si>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</si>
  <si>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</si>
  <si>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</si>
  <si>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</si>
  <si>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</si>
  <si>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</si>
  <si>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</si>
  <si>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</si>
  <si>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</si>
  <si>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</si>
  <si>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</si>
  <si>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</si>
  <si>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</si>
  <si>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</si>
  <si>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</si>
  <si>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</si>
  <si>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</si>
  <si>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</si>
  <si>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</si>
  <si>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</si>
  <si>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</si>
  <si>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</si>
  <si>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</si>
  <si>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</si>
  <si>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</si>
  <si>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</si>
  <si>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</si>
  <si>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</si>
  <si>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</si>
  <si>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</si>
  <si>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</si>
  <si>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</si>
  <si>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</si>
  <si>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</si>
  <si>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</si>
  <si>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</si>
  <si>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</si>
  <si>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</si>
  <si>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</si>
  <si>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</si>
  <si>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</si>
  <si>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</si>
  <si>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</si>
  <si>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</si>
  <si>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</si>
  <si>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</si>
  <si>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</si>
  <si>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</si>
  <si>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</si>
  <si>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</si>
  <si>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</si>
  <si>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</si>
  <si>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</si>
  <si>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</si>
  <si>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</si>
  <si>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</si>
  <si>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</si>
  <si>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</si>
  <si>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</si>
  <si>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</si>
  <si>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</si>
  <si>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</si>
  <si>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</si>
  <si>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</si>
  <si>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</si>
  <si>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</si>
  <si>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</si>
  <si>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</si>
  <si>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</si>
  <si>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</si>
  <si>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</si>
  <si>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</si>
  <si>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</si>
  <si>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</si>
  <si>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</si>
  <si>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</si>
  <si>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</si>
  <si>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</si>
  <si>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</si>
  <si>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</si>
  <si>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</si>
  <si>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</si>
  <si>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</si>
  <si>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</si>
  <si>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</si>
  <si>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</si>
  <si>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</si>
  <si>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</si>
  <si>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</si>
  <si>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</si>
  <si>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</si>
  <si>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</si>
  <si>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</si>
  <si>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</si>
  <si>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</si>
  <si>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</si>
  <si>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</si>
  <si>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</si>
  <si>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</si>
  <si>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</si>
  <si>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</si>
  <si>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</si>
  <si>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</si>
  <si>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</si>
  <si>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</si>
  <si>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</si>
  <si>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</si>
  <si>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</si>
  <si>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</si>
  <si>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</si>
  <si>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</si>
  <si>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</si>
  <si>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</si>
  <si>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</si>
  <si>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</si>
  <si>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</si>
  <si>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</si>
  <si>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</si>
  <si>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</si>
  <si>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</si>
  <si>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</si>
  <si>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</si>
  <si>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</si>
  <si>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</si>
  <si>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</si>
  <si>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</si>
  <si>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</si>
  <si>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</si>
  <si>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</si>
  <si>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</si>
  <si>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</si>
  <si>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</si>
  <si>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</si>
  <si>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</si>
  <si>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</si>
  <si>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</si>
  <si>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</si>
  <si>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</si>
  <si>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</si>
  <si>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</si>
  <si>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</si>
  <si>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</si>
  <si>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</si>
  <si>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</si>
  <si>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</si>
  <si>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</si>
  <si>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</si>
  <si>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</si>
  <si>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</si>
  <si>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</si>
  <si>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</si>
  <si>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</si>
  <si>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</si>
  <si>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</si>
  <si>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</si>
  <si>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</si>
  <si>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</si>
  <si>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</si>
  <si>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</si>
  <si>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</si>
  <si>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</si>
  <si>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</si>
  <si>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</si>
  <si>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</si>
  <si>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</si>
  <si>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</si>
  <si>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</si>
  <si>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</si>
  <si>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</si>
  <si>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</si>
  <si>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</si>
  <si>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</si>
  <si>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</si>
  <si>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</si>
  <si>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</si>
  <si>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</si>
  <si>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</si>
  <si>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</si>
  <si>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</si>
  <si>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</si>
  <si>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</si>
  <si>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</si>
  <si>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</si>
  <si>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</si>
  <si>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</si>
  <si>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</si>
  <si>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</si>
  <si>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</si>
  <si>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</si>
  <si>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</si>
  <si>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</si>
  <si>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</si>
  <si>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</si>
  <si>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</si>
  <si>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</si>
  <si>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</si>
  <si>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</si>
  <si>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</si>
  <si>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</si>
  <si>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</si>
  <si>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</si>
  <si>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</si>
  <si>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</si>
  <si>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</si>
  <si>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</si>
  <si>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</si>
  <si>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</si>
  <si>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</si>
  <si>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</si>
  <si>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</si>
  <si>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</si>
  <si>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</si>
  <si>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</si>
  <si>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</si>
  <si>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</si>
  <si>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</si>
  <si>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</si>
  <si>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</si>
  <si>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</si>
  <si>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</si>
  <si>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</si>
  <si>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</si>
  <si>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</si>
  <si>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</si>
  <si>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</si>
  <si>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</si>
  <si>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</si>
  <si>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</si>
  <si>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</si>
  <si>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</si>
  <si>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</si>
  <si>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</si>
  <si>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</si>
  <si>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</si>
  <si>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</si>
  <si>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</si>
  <si>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</si>
  <si>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</si>
  <si>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</si>
  <si>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</si>
  <si>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</si>
  <si>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</si>
  <si>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</si>
  <si>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</si>
  <si>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</si>
  <si>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</si>
  <si>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</si>
  <si>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</si>
  <si>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</si>
  <si>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</si>
  <si>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</si>
  <si>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</si>
  <si>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</si>
  <si>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</si>
  <si>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</si>
  <si>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</si>
  <si>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</si>
  <si>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</si>
  <si>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</si>
  <si>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</si>
  <si>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</si>
  <si>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</si>
  <si>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</si>
  <si>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</si>
  <si>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</si>
  <si>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</si>
  <si>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</si>
  <si>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</si>
  <si>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</si>
  <si>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</si>
  <si>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</si>
  <si>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</si>
  <si>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</si>
  <si>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</si>
  <si>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</si>
  <si>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</si>
  <si>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</si>
  <si>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</si>
  <si>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</si>
  <si>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</si>
  <si>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</si>
  <si>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</si>
  <si>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</si>
  <si>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</si>
  <si>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</si>
  <si>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</si>
  <si>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</si>
  <si>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</si>
  <si>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</si>
  <si>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</si>
  <si>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</si>
  <si>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</si>
  <si>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</si>
  <si>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</si>
  <si>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</si>
  <si>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</si>
  <si>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</si>
  <si>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</si>
  <si>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</si>
  <si>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</si>
  <si>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</si>
  <si>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</si>
  <si>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</si>
  <si>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</si>
  <si>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</si>
  <si>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</si>
  <si>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</si>
  <si>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</si>
  <si>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</si>
  <si>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</si>
  <si>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</si>
  <si>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</si>
  <si>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</si>
  <si>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</si>
  <si>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</si>
  <si>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</si>
  <si>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</si>
  <si>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</si>
  <si>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</si>
  <si>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</si>
  <si>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</si>
  <si>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</si>
  <si>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</si>
  <si>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</si>
  <si>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</si>
  <si>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</si>
  <si>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</si>
  <si>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</si>
  <si>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</si>
  <si>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</si>
  <si>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</si>
  <si>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</si>
  <si>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</si>
  <si>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</si>
  <si>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</si>
  <si>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</si>
  <si>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</si>
  <si>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</si>
  <si>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</si>
  <si>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</si>
  <si>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</si>
  <si>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</si>
  <si>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</si>
  <si>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</si>
  <si>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</si>
  <si>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</si>
  <si>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</si>
  <si>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</si>
  <si>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</si>
  <si>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</si>
  <si>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</si>
  <si>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</si>
  <si>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</si>
  <si>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</si>
  <si>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</si>
  <si>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</si>
  <si>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</si>
  <si>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</si>
  <si>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</si>
  <si>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</si>
  <si>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</si>
  <si>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</si>
  <si>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</si>
  <si>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</si>
  <si>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</si>
  <si>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</si>
  <si>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</si>
  <si>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</si>
  <si>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</si>
  <si>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</si>
  <si>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</si>
  <si>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</si>
  <si>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</si>
  <si>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</si>
  <si>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</si>
  <si>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</si>
  <si>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</si>
  <si>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</si>
  <si>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</si>
  <si>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</si>
  <si>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</si>
  <si>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</si>
  <si>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</si>
  <si>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</si>
  <si>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</si>
  <si>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</si>
  <si>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</si>
  <si>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</si>
  <si>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</si>
  <si>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</si>
  <si>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</si>
  <si>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</si>
  <si>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</si>
  <si>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</si>
  <si>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</si>
  <si>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</si>
  <si>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</si>
  <si>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</si>
  <si>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</si>
  <si>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</si>
  <si>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</si>
  <si>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</si>
  <si>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</si>
  <si>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</si>
  <si>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</si>
  <si>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</si>
  <si>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</si>
  <si>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</si>
  <si>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</si>
  <si>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</si>
  <si>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</si>
  <si>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</si>
  <si>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</si>
  <si>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</si>
  <si>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</si>
  <si>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</si>
  <si>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</si>
  <si>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</si>
  <si>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</si>
  <si>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</si>
  <si>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</si>
  <si>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</si>
  <si>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</si>
  <si>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</si>
  <si>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</si>
  <si>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</si>
  <si>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</si>
  <si>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</si>
  <si>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</si>
  <si>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</si>
  <si>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</si>
  <si>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</si>
  <si>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</si>
  <si>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</si>
  <si>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</si>
  <si>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</si>
  <si>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</si>
  <si>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</si>
  <si>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</si>
  <si>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</si>
  <si>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</si>
  <si>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</si>
  <si>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</si>
  <si>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</si>
  <si>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</si>
  <si>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</si>
  <si>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</si>
  <si>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</si>
  <si>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</si>
  <si>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</si>
  <si>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</si>
  <si>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</si>
  <si>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</si>
  <si>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</si>
  <si>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</si>
  <si>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</si>
  <si>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</si>
  <si>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</si>
  <si>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</si>
  <si>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</si>
  <si>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</si>
  <si>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</si>
  <si>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</si>
  <si>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</si>
  <si>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</si>
  <si>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</si>
  <si>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</si>
  <si>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</si>
  <si>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</si>
  <si>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</si>
  <si>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</si>
  <si>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</si>
  <si>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</si>
  <si>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</si>
  <si>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</si>
  <si>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</si>
  <si>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</si>
  <si>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</si>
  <si>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</si>
  <si>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</si>
  <si>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</si>
  <si>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</si>
  <si>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</si>
  <si>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</si>
  <si>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</si>
  <si>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</si>
  <si>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</si>
  <si>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</si>
  <si>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</si>
  <si>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</si>
  <si>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</si>
  <si>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</si>
  <si>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</si>
  <si>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</si>
  <si>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</si>
  <si>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</si>
  <si>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</si>
  <si>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</si>
  <si>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</si>
  <si>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</si>
  <si>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</si>
  <si>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</si>
  <si>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</si>
  <si>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</si>
  <si>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</si>
  <si>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</si>
  <si>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</si>
  <si>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</si>
  <si>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</si>
  <si>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</si>
  <si>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</si>
  <si>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</si>
  <si>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</si>
  <si>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</si>
  <si>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</si>
  <si>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</si>
  <si>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</si>
  <si>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</si>
  <si>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</si>
  <si>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</si>
  <si>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</si>
  <si>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</si>
  <si>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</si>
  <si>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</si>
  <si>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</si>
  <si>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</si>
  <si>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</si>
  <si>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</si>
  <si>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</si>
  <si>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</si>
  <si>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</si>
  <si>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</si>
  <si>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</si>
  <si>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</si>
  <si>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</si>
  <si>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</si>
  <si>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</si>
  <si>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</si>
  <si>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</si>
  <si>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</si>
  <si>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</si>
  <si>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</si>
  <si>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</si>
  <si>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</si>
  <si>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</si>
  <si>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</si>
  <si>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</si>
  <si>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</si>
  <si>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</si>
  <si>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</si>
  <si>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</si>
  <si>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</si>
  <si>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</si>
  <si>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</si>
  <si>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</si>
  <si>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</si>
  <si>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</si>
  <si>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</si>
  <si>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</si>
  <si>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</si>
  <si>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</si>
  <si>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</si>
  <si>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</si>
  <si>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</si>
  <si>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</si>
  <si>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</si>
  <si>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</si>
  <si>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</si>
  <si>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</si>
  <si>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</si>
  <si>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</si>
  <si>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</si>
  <si>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</si>
  <si>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</si>
  <si>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</si>
  <si>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</si>
  <si>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</si>
  <si>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</si>
  <si>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</si>
  <si>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</si>
  <si>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</si>
  <si>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</si>
  <si>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</si>
  <si>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</si>
  <si>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</si>
  <si>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</si>
  <si>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</si>
  <si>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</si>
  <si>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</si>
  <si>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</si>
  <si>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</si>
  <si>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</si>
  <si>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</si>
  <si>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</si>
  <si>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</si>
  <si>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</si>
  <si>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</si>
  <si>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</si>
  <si>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</si>
  <si>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</si>
  <si>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</si>
  <si>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</si>
  <si>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</si>
  <si>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</si>
  <si>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</si>
  <si>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</si>
  <si>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</si>
  <si>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</si>
  <si>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</si>
  <si>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</si>
  <si>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</si>
  <si>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</si>
  <si>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</si>
  <si>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</si>
  <si>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</si>
  <si>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</si>
  <si>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</si>
  <si>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</si>
  <si>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</si>
  <si>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</si>
  <si>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</si>
  <si>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</si>
  <si>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</si>
  <si>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</si>
  <si>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</si>
  <si>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</si>
  <si>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</si>
  <si>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</si>
  <si>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</si>
  <si>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</si>
  <si>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</si>
  <si>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</si>
  <si>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</si>
  <si>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</si>
  <si>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</si>
  <si>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</si>
  <si>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</si>
  <si>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</si>
  <si>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</si>
  <si>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</si>
  <si>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</si>
  <si>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</si>
  <si>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</si>
  <si>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</si>
  <si>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</si>
  <si>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</si>
  <si>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</si>
  <si>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</si>
  <si>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</si>
  <si>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</si>
  <si>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</si>
  <si>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</si>
  <si>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</si>
  <si>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</si>
  <si>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</si>
  <si>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</si>
  <si>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</si>
  <si>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</si>
  <si>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</si>
  <si>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</si>
  <si>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</si>
  <si>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</si>
  <si>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</si>
  <si>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</si>
  <si>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</si>
  <si>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</si>
  <si>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</si>
  <si>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</si>
  <si>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</si>
  <si>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</si>
  <si>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</si>
  <si>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</si>
  <si>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</si>
  <si>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</si>
  <si>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</si>
  <si>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</si>
  <si>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</si>
  <si>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</si>
  <si>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</si>
  <si>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</si>
  <si>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</si>
  <si>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</si>
  <si>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</si>
  <si>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</si>
  <si>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</si>
  <si>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</si>
  <si>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</si>
  <si>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</si>
  <si>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</si>
  <si>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</si>
  <si>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</si>
  <si>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</si>
  <si>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</si>
  <si>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</si>
  <si>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</si>
  <si>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</si>
  <si>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</si>
  <si>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</si>
  <si>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</si>
  <si>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</si>
  <si>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</si>
  <si>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</si>
  <si>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</si>
  <si>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</si>
  <si>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</si>
  <si>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</si>
  <si>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</si>
  <si>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</si>
  <si>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</si>
  <si>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</si>
  <si>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</si>
  <si>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</si>
  <si>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</si>
  <si>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</si>
  <si>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</si>
  <si>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</si>
  <si>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</si>
  <si>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</si>
  <si>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</si>
  <si>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</si>
  <si>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</si>
  <si>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</si>
  <si>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</si>
  <si>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</si>
  <si>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</si>
  <si>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</si>
  <si>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</si>
  <si>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</si>
  <si>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</si>
  <si>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</si>
  <si>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</si>
  <si>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</si>
  <si>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</si>
  <si>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</si>
  <si>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</si>
  <si>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</si>
  <si>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</si>
  <si>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</si>
  <si>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</si>
  <si>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</si>
  <si>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</si>
  <si>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</si>
  <si>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</si>
  <si>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</si>
  <si>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</si>
  <si>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</si>
  <si>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</si>
  <si>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</si>
  <si>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</si>
  <si>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</si>
  <si>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</si>
  <si>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</si>
  <si>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</si>
  <si>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</si>
  <si>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</si>
  <si>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</si>
  <si>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</si>
  <si>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</si>
  <si>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</si>
  <si>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</si>
  <si>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</si>
  <si>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</si>
  <si>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</si>
  <si>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</si>
  <si>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</si>
  <si>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</si>
  <si>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</si>
  <si>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</si>
  <si>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</si>
  <si>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</si>
  <si>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</si>
  <si>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</si>
  <si>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</si>
  <si>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</si>
  <si>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</si>
  <si>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</si>
  <si>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</si>
  <si>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</si>
  <si>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</si>
  <si>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</si>
  <si>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</si>
  <si>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</si>
  <si>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</si>
  <si>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</si>
  <si>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</si>
  <si>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</si>
  <si>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</si>
  <si>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</si>
  <si>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</si>
  <si>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</si>
  <si>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</si>
  <si>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</si>
  <si>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</si>
  <si>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</si>
  <si>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</si>
  <si>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</si>
  <si>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</si>
  <si>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</si>
  <si>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</si>
  <si>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</si>
  <si>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</si>
  <si>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</si>
  <si>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</si>
  <si>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</si>
  <si>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</si>
  <si>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</si>
  <si>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</si>
  <si>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</si>
  <si>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</si>
  <si>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</si>
  <si>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</si>
  <si>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</si>
  <si>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</si>
  <si>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</si>
  <si>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</si>
  <si>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</si>
  <si>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</si>
  <si>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</si>
  <si>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</si>
  <si>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</si>
  <si>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</si>
  <si>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</si>
  <si>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</si>
  <si>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</si>
  <si>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</si>
  <si>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</si>
  <si>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</si>
  <si>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</si>
  <si>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</si>
  <si>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</si>
  <si>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</si>
  <si>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</si>
  <si>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</si>
  <si>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</si>
  <si>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</si>
  <si>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</si>
  <si>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</si>
  <si>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</si>
  <si>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</si>
  <si>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</si>
  <si>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</si>
  <si>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</si>
  <si>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</si>
  <si>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</si>
  <si>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</si>
  <si>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</si>
  <si>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</si>
  <si>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</si>
  <si>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</si>
  <si>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</si>
  <si>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</si>
  <si>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</si>
  <si>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</si>
  <si>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</si>
  <si>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</si>
  <si>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</si>
  <si>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</si>
  <si>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</si>
  <si>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</si>
  <si>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</si>
  <si>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</si>
  <si>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</si>
  <si>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</si>
  <si>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</si>
  <si>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</si>
  <si>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</si>
  <si>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</si>
  <si>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</si>
  <si>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</si>
  <si>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</si>
  <si>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</si>
  <si>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</si>
  <si>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</si>
  <si>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</si>
  <si>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</si>
  <si>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</si>
  <si>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</si>
  <si>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</si>
  <si>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</si>
  <si>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</si>
  <si>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</si>
  <si>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</si>
  <si>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</si>
  <si>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</si>
  <si>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</si>
  <si>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</si>
  <si>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</si>
  <si>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</si>
  <si>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</si>
  <si>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</si>
  <si>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</si>
  <si>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</si>
  <si>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</si>
  <si>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</si>
  <si>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</si>
  <si>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</si>
  <si>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</si>
  <si>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</si>
  <si>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</si>
  <si>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</si>
  <si>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</si>
  <si>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</si>
  <si>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</si>
  <si>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</si>
  <si>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</si>
  <si>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</si>
  <si>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</si>
  <si>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</si>
  <si>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</si>
  <si>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</si>
  <si>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</si>
  <si>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</si>
  <si>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</si>
  <si>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</si>
  <si>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</si>
  <si>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</si>
  <si>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</si>
  <si>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</si>
  <si>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</si>
  <si>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</si>
  <si>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</si>
  <si>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</si>
  <si>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</si>
  <si>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</si>
  <si>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</si>
  <si>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</si>
  <si>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</si>
  <si>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</si>
  <si>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</si>
  <si>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</si>
  <si>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</si>
  <si>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</si>
  <si>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</si>
  <si>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</si>
  <si>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</si>
  <si>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</si>
  <si>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</si>
  <si>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</si>
  <si>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</si>
  <si>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</si>
  <si>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</si>
  <si>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</si>
  <si>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</si>
  <si>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</si>
  <si>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</si>
  <si>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</si>
  <si>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</si>
  <si>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</si>
  <si>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</si>
  <si>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</si>
  <si>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</si>
  <si>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</si>
  <si>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</si>
  <si>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</si>
  <si>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</si>
  <si>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</si>
  <si>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</si>
  <si>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</si>
  <si>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</si>
  <si>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</si>
  <si>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</si>
  <si>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</si>
  <si>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</si>
  <si>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</si>
  <si>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</si>
  <si>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</si>
  <si>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</si>
  <si>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</si>
  <si>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</si>
  <si>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</si>
  <si>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</si>
  <si>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</si>
  <si>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</si>
  <si>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</si>
  <si>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</si>
  <si>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</si>
  <si>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</si>
  <si>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</si>
  <si>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</si>
  <si>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</si>
  <si>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</si>
  <si>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</si>
  <si>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</si>
  <si>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</si>
  <si>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</si>
  <si>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</si>
  <si>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</si>
  <si>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</si>
  <si>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</si>
  <si>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</si>
  <si>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</si>
  <si>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</si>
  <si>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</si>
  <si>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</si>
  <si>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</si>
  <si>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</si>
  <si>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</si>
  <si>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</si>
  <si>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</si>
  <si>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</si>
  <si>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</si>
  <si>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</si>
  <si>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</si>
  <si>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</si>
  <si>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</si>
  <si>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</si>
  <si>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</si>
  <si>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</si>
  <si>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</si>
  <si>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</si>
  <si>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</si>
  <si>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</si>
  <si>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</si>
  <si>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</si>
  <si>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</si>
  <si>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</si>
  <si>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</si>
  <si>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</si>
  <si>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</si>
  <si>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</si>
  <si>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</si>
  <si>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</si>
  <si>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</si>
  <si>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</si>
  <si>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</si>
  <si>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</si>
  <si>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</si>
  <si>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</si>
  <si>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</si>
  <si>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</si>
  <si>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</si>
  <si>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</si>
  <si>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</si>
  <si>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</si>
  <si>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</si>
  <si>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</si>
  <si>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</si>
  <si>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</si>
  <si>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</si>
  <si>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</si>
  <si>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</si>
  <si>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</si>
  <si>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</si>
  <si>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</si>
  <si>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</si>
  <si>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</si>
  <si>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</si>
  <si>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</si>
  <si>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</si>
  <si>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</si>
  <si>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</si>
  <si>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</si>
  <si>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</si>
  <si>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</si>
  <si>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</si>
  <si>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</si>
  <si>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</si>
  <si>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</si>
  <si>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</si>
  <si>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</si>
  <si>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</si>
  <si>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</si>
  <si>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</si>
  <si>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</si>
  <si>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</si>
  <si>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</si>
  <si>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</si>
  <si>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</si>
  <si>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</si>
  <si>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</si>
  <si>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</si>
  <si>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</si>
  <si>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</si>
  <si>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</si>
  <si>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</si>
  <si>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</si>
  <si>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</si>
  <si>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</si>
  <si>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</si>
  <si>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</si>
  <si>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</si>
  <si>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</si>
  <si>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</si>
  <si>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</si>
  <si>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</si>
  <si>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</si>
  <si>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</si>
  <si>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</si>
  <si>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</si>
  <si>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</si>
  <si>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</si>
  <si>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</si>
  <si>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</si>
  <si>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</si>
  <si>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</si>
  <si>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</si>
  <si>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</si>
  <si>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</si>
  <si>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</si>
  <si>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</si>
  <si>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</si>
  <si>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</si>
  <si>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</si>
  <si>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</si>
  <si>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</si>
  <si>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</si>
  <si>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</si>
  <si>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</si>
  <si>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</si>
  <si>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</si>
  <si>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</si>
  <si>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</si>
  <si>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</si>
  <si>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</si>
  <si>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</si>
  <si>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</si>
  <si>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</si>
  <si>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</si>
  <si>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</si>
  <si>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</si>
  <si>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</si>
  <si>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</si>
  <si>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</si>
  <si>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</si>
  <si>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</si>
  <si>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</si>
  <si>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</si>
  <si>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</si>
  <si>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</si>
  <si>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</si>
  <si>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</si>
  <si>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</si>
  <si>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</si>
  <si>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</si>
  <si>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</si>
  <si>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</si>
  <si>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</si>
  <si>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</si>
  <si>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</si>
  <si>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</si>
  <si>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</si>
  <si>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</si>
  <si>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</si>
  <si>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</si>
  <si>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</si>
  <si>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</si>
  <si>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</si>
  <si>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</si>
  <si>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</si>
  <si>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</si>
  <si>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</si>
  <si>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</si>
  <si>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</si>
  <si>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</si>
  <si>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</si>
  <si>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</si>
  <si>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其他：</t>
  </si>
  <si>
    <t>自然人</t>
  </si>
  <si>
    <t>高进</t>
    <phoneticPr fontId="6" type="noConversion"/>
  </si>
  <si>
    <t>武汉市</t>
    <phoneticPr fontId="6" type="noConversion"/>
  </si>
  <si>
    <r>
      <rPr>
        <sz val="10"/>
        <color theme="9" tint="-0.249977111117893"/>
        <rFont val="宋体"/>
        <family val="3"/>
        <charset val="134"/>
      </rPr>
      <t>湖北省武汉市江汉区新华路</t>
    </r>
    <r>
      <rPr>
        <sz val="10"/>
        <color theme="9" tint="-0.249977111117893"/>
        <rFont val="Arial"/>
        <family val="2"/>
      </rPr>
      <t>468</t>
    </r>
    <r>
      <rPr>
        <sz val="10"/>
        <color theme="9" tint="-0.249977111117893"/>
        <rFont val="宋体"/>
        <family val="3"/>
        <charset val="134"/>
      </rPr>
      <t>号</t>
    </r>
    <r>
      <rPr>
        <sz val="10"/>
        <color theme="9" tint="-0.249977111117893"/>
        <rFont val="Arial"/>
        <family val="2"/>
      </rPr>
      <t>CFD</t>
    </r>
    <r>
      <rPr>
        <sz val="10"/>
        <color theme="9" tint="-0.249977111117893"/>
        <rFont val="宋体"/>
        <family val="3"/>
        <charset val="134"/>
      </rPr>
      <t>时代财富中心</t>
    </r>
    <r>
      <rPr>
        <sz val="10"/>
        <color theme="9" tint="-0.249977111117893"/>
        <rFont val="Arial"/>
        <family val="2"/>
      </rPr>
      <t>/</t>
    </r>
    <r>
      <rPr>
        <sz val="10"/>
        <color theme="9" tint="-0.249977111117893"/>
        <rFont val="宋体"/>
        <family val="3"/>
        <charset val="134"/>
      </rPr>
      <t>栋</t>
    </r>
    <r>
      <rPr>
        <sz val="10"/>
        <color theme="9" tint="-0.249977111117893"/>
        <rFont val="Arial"/>
        <family val="2"/>
      </rPr>
      <t>/</t>
    </r>
    <r>
      <rPr>
        <sz val="10"/>
        <color theme="9" tint="-0.249977111117893"/>
        <rFont val="宋体"/>
        <family val="3"/>
        <charset val="134"/>
      </rPr>
      <t>单元</t>
    </r>
    <r>
      <rPr>
        <sz val="10"/>
        <color theme="9" tint="-0.249977111117893"/>
        <rFont val="Arial"/>
        <family val="2"/>
      </rPr>
      <t>19</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）办号</t>
    </r>
    <phoneticPr fontId="6" type="noConversion"/>
  </si>
  <si>
    <t>中行</t>
    <phoneticPr fontId="6" type="noConversion"/>
  </si>
  <si>
    <r>
      <rPr>
        <sz val="10"/>
        <color indexed="8"/>
        <rFont val="宋体"/>
        <family val="3"/>
        <charset val="134"/>
      </rPr>
      <t>（</t>
    </r>
    <r>
      <rPr>
        <sz val="10"/>
        <color indexed="8"/>
        <rFont val="Arial"/>
        <family val="2"/>
      </rPr>
      <t>1</t>
    </r>
    <r>
      <rPr>
        <sz val="10"/>
        <color indexed="8"/>
        <rFont val="宋体"/>
        <family val="3"/>
        <charset val="134"/>
      </rPr>
      <t>）办号</t>
    </r>
    <phoneticPr fontId="3" type="noConversion"/>
  </si>
  <si>
    <r>
      <rPr>
        <sz val="10"/>
        <color indexed="8"/>
        <rFont val="宋体"/>
        <family val="3"/>
        <charset val="134"/>
      </rPr>
      <t>（</t>
    </r>
    <r>
      <rPr>
        <sz val="10"/>
        <color indexed="8"/>
        <rFont val="Arial"/>
        <family val="2"/>
      </rPr>
      <t>2）办号</t>
    </r>
    <r>
      <rPr>
        <sz val="10"/>
        <color indexed="8"/>
        <rFont val="宋体"/>
        <family val="3"/>
        <charset val="134"/>
      </rPr>
      <t/>
    </r>
  </si>
  <si>
    <r>
      <rPr>
        <sz val="10"/>
        <color indexed="8"/>
        <rFont val="宋体"/>
        <family val="3"/>
        <charset val="134"/>
      </rPr>
      <t>（</t>
    </r>
    <r>
      <rPr>
        <sz val="10"/>
        <color indexed="8"/>
        <rFont val="Arial"/>
        <family val="2"/>
      </rPr>
      <t>3）办号</t>
    </r>
    <r>
      <rPr>
        <sz val="10"/>
        <color indexed="8"/>
        <rFont val="宋体"/>
        <family val="3"/>
        <charset val="134"/>
      </rPr>
      <t/>
    </r>
  </si>
  <si>
    <r>
      <rPr>
        <sz val="10"/>
        <color indexed="8"/>
        <rFont val="宋体"/>
        <family val="3"/>
        <charset val="134"/>
      </rPr>
      <t>（</t>
    </r>
    <r>
      <rPr>
        <sz val="10"/>
        <color indexed="8"/>
        <rFont val="Arial"/>
        <family val="2"/>
      </rPr>
      <t>4）办号</t>
    </r>
    <r>
      <rPr>
        <sz val="10"/>
        <color indexed="8"/>
        <rFont val="宋体"/>
        <family val="3"/>
        <charset val="134"/>
      </rPr>
      <t/>
    </r>
  </si>
  <si>
    <t>地上</t>
  </si>
  <si>
    <t>是</t>
  </si>
  <si>
    <t>现房</t>
  </si>
  <si>
    <t>办公项目</t>
  </si>
  <si>
    <t>房号</t>
    <phoneticPr fontId="134" type="noConversion"/>
  </si>
  <si>
    <t>总价（万元）</t>
    <phoneticPr fontId="134" type="noConversion"/>
  </si>
  <si>
    <t>坐落</t>
    <phoneticPr fontId="134" type="noConversion"/>
  </si>
  <si>
    <r>
      <t>江汉区新华路4</t>
    </r>
    <r>
      <rPr>
        <sz val="11"/>
        <color theme="1"/>
        <rFont val="宋体"/>
        <family val="3"/>
        <charset val="134"/>
        <scheme val="minor"/>
      </rPr>
      <t>68号CFD时代财富中心/动/单元19层（1）办号</t>
    </r>
    <phoneticPr fontId="134" type="noConversion"/>
  </si>
  <si>
    <t>江汉区新华路468号CFD时代财富中心/动/单元19层（2）办号</t>
    <phoneticPr fontId="134" type="noConversion"/>
  </si>
  <si>
    <t>江汉区新华路468号CFD时代财富中心/动/单元19层（3）办号</t>
    <phoneticPr fontId="134" type="noConversion"/>
  </si>
  <si>
    <t>江汉区新华路468号CFD时代财富中心/动/单元19层（4）办号</t>
    <phoneticPr fontId="134" type="noConversion"/>
  </si>
  <si>
    <t>鄂（2022）武汉市江汉不动产权第0012746号</t>
    <phoneticPr fontId="134" type="noConversion"/>
  </si>
  <si>
    <t>鄂（2022）武汉市江汉不动产权第0012748号</t>
    <phoneticPr fontId="134" type="noConversion"/>
  </si>
  <si>
    <t>鄂（2022）武汉市江汉不动产权第0012752号</t>
    <phoneticPr fontId="134" type="noConversion"/>
  </si>
  <si>
    <t>鄂（2022）武汉市江汉不动产权第0012747号</t>
    <phoneticPr fontId="134" type="noConversion"/>
  </si>
  <si>
    <r>
      <t>租金市调1</t>
    </r>
    <r>
      <rPr>
        <sz val="11"/>
        <color theme="1"/>
        <rFont val="宋体"/>
        <family val="3"/>
        <charset val="134"/>
        <scheme val="minor"/>
      </rPr>
      <t>.5，不含物业费</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</si>
</sst>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7" borderId="5" xfId="0" applyFont="1" applyFill="1" applyBorder="1" applyProtection="1">
      <alignment vertical="center"/>
      <protection locked="0"/>
    </xf>
    <xf numFmtId="0" fontId="273"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武汉市湖北省武汉市江汉区新华路468号CFD时代财富中心/栋/单元19层（1）、（2）、（3）、（4）办号房地产抵押价值预评估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受贵公司委托，我公司对武汉市湖北省武汉市江汉区新华路468号CFD时代财富中心/栋/单元19层（1）、（2）、（3）、（4）办号房地产抵押价值进行了预评估。</v>
      </c>
    </row>
    <row r="7" spans="1:2">
      <c r="A7" s="1119" t="s">
        <v>566</v>
      </c>
      <c r="B7" s="1120" t="str">
        <f>'预评函-1'!A7</f>
        <v>估价对象为武汉市湖北省武汉市江汉区新华路468号CFD时代财富中心/栋/单元19层（1）、（2）、（3）、（4）办号房地产，为高进所有。根据《国有土地使用证》[]，估价对象（分摊）出让国有建设用地使用权面积为0平方米，建筑面积为772.54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武汉市湖北省武汉市江汉区新华路468号CFD时代财富中心/栋/单元19层（1）、（2）、（3）、（4）办号房地产,属高进开发建设的办公项目，该项目尚在开发建设中。根据《国有土地使用证》[]，估价对象（分摊）出让国有建设用地使用权面积为0平方米，规划建筑面积为772.54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为估价委托人在向中行办理贷款手续过程中，确定房地产抵押贷款额度提供参考依据而评估房地产抵押价值。</v>
      </c>
    </row>
    <row r="12" spans="1:2">
      <c r="A12" s="1119" t="s">
        <v>528</v>
      </c>
      <c r="B12" s="1120" t="str">
        <f>'预评函-1'!A15</f>
        <v>2025年3月31日</v>
      </c>
    </row>
    <row r="13" spans="1:2">
      <c r="A13" s="1119" t="s">
        <v>529</v>
      </c>
      <c r="B13" s="1120"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武汉市湖北省武汉市江汉区新华路468号CFD时代财富中心/栋/单元19层（1）、（2）、（3）、（4）办号房地产</v>
      </c>
    </row>
    <row r="42" spans="1:2" ht="31.2">
      <c r="A42" s="1119" t="s">
        <v>590</v>
      </c>
      <c r="B42" s="1120" t="str">
        <f>'预评函-3'!B2</f>
        <v>建筑面积</v>
      </c>
    </row>
    <row r="43" spans="1:2">
      <c r="A43" s="1119" t="s">
        <v>591</v>
      </c>
      <c r="B43" s="1120">
        <f>'预评函-3'!B4</f>
        <v>772.54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为估价委托人在向中行办理贷款手续过程中，确定房地产抵押贷款额度提供参考依据而评估房地产抵押价值。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武汉市湖北省武汉市江汉区新华路468号CFD时代财富中心/栋/单元19层（1）、（2）、（3）、（4）办号房地产作为抵押担保物，向中行办理贷款手续。中行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196" t="s">
        <v>2580</v>
      </c>
      <c r="J2" s="3196"/>
      <c r="K2" s="3196"/>
      <c r="L2" s="3196"/>
      <c r="M2" s="3196"/>
      <c r="N2" s="3196"/>
      <c r="O2" s="3196"/>
      <c r="P2" s="3196"/>
      <c r="Q2" s="3196"/>
      <c r="R2" s="3196"/>
    </row>
    <row r="3" spans="1:18">
      <c r="A3" s="2759" t="s">
        <v>2501</v>
      </c>
      <c r="B3" s="2760">
        <f>项目基本情况!D3</f>
        <v>45747</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1.72</v>
      </c>
      <c r="D5" s="2764">
        <f>IF(ISERROR(ROUND(POWER(1+E5,A5-C5)*(POWER(1+E5,C5)-1)/(POWER(1+E5,A5)-1),3)),0,ROUND(POWER(1+E5,A5-C5)*(POWER(1+E5,C5)-1)/(POWER(1+E5,A5)-1),4))</f>
        <v>8.2400000000000001E-2</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11.72</v>
      </c>
      <c r="D6" s="2764">
        <f>IF(ISERROR(ROUND(POWER(1+E6,A6-C6)*(POWER(1+E6,C6)-1)/(POWER(1+E6,A6)-1),3)),0,ROUND(POWER(1+E6,A6-C6)*(POWER(1+E6,C6)-1)/(POWER(1+E6,A6)-1),4))</f>
        <v>0.4289</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31.74</v>
      </c>
      <c r="D7" s="2764">
        <f>IF(ISERROR(ROUND(POWER(1+E7,A7-C7)*(POWER(1+E7,C7)-1)/(POWER(1+E7,A7)-1),3)),0,ROUND(POWER(1+E7,A7-C7)*(POWER(1+E7,C7)-1)/(POWER(1+E7,A7)-1),4))</f>
        <v>0.76090000000000002</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4">
      <c r="A17" s="2759" t="s">
        <v>2517</v>
      </c>
      <c r="B17" s="2767">
        <v>4810</v>
      </c>
      <c r="C17" s="2761"/>
      <c r="D17" s="2757"/>
      <c r="E17" s="2757"/>
      <c r="F17" s="2758"/>
    </row>
    <row r="18" spans="1:14" ht="15" thickBot="1">
      <c r="A18" s="2769" t="s">
        <v>2516</v>
      </c>
      <c r="B18" s="2770">
        <f>ROUND(B17*F11/F12,2)</f>
        <v>5541.87</v>
      </c>
      <c r="C18" s="2770">
        <f>ROUND(F11/F12,4)</f>
        <v>1.1521999999999999</v>
      </c>
      <c r="D18" s="2771"/>
      <c r="E18" s="2771"/>
      <c r="F18" s="2772"/>
    </row>
    <row r="19" spans="1:14" ht="15" thickBot="1"/>
    <row r="20" spans="1:14" s="2805" customFormat="1" ht="15" thickTop="1">
      <c r="A20" s="2802" t="s">
        <v>2519</v>
      </c>
      <c r="B20" s="2803"/>
      <c r="C20" s="2803"/>
      <c r="D20" s="2803"/>
      <c r="E20" s="2803"/>
      <c r="F20" s="2803"/>
      <c r="G20" s="2804"/>
      <c r="I20" s="2806" t="s">
        <v>2564</v>
      </c>
      <c r="J20" s="2806" t="s">
        <v>2569</v>
      </c>
      <c r="K20" s="2806"/>
      <c r="L20" s="2806"/>
      <c r="M20" s="2806"/>
    </row>
    <row r="21" spans="1:14">
      <c r="A21" s="2773"/>
      <c r="B21" s="2774" t="s">
        <v>2520</v>
      </c>
      <c r="C21" s="2774" t="s">
        <v>2521</v>
      </c>
      <c r="D21" s="2774" t="s">
        <v>2522</v>
      </c>
      <c r="E21" s="2774" t="s">
        <v>2523</v>
      </c>
      <c r="F21" s="2774" t="s">
        <v>2524</v>
      </c>
      <c r="G21" s="2775" t="s">
        <v>2525</v>
      </c>
      <c r="I21" s="2796">
        <v>5</v>
      </c>
      <c r="J21" s="2796">
        <v>54.2</v>
      </c>
    </row>
    <row r="22" spans="1:14">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N23" s="3149" t="s">
        <v>2568</v>
      </c>
    </row>
    <row r="24" spans="1:14">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N24" s="3149">
        <v>10</v>
      </c>
    </row>
    <row r="25" spans="1:14">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N25" s="3149">
        <v>8</v>
      </c>
    </row>
    <row r="26" spans="1:14">
      <c r="A26" s="2778"/>
      <c r="B26" s="2779"/>
      <c r="C26" s="2779"/>
      <c r="D26" s="2779"/>
      <c r="E26" s="2779"/>
      <c r="F26" s="2779"/>
      <c r="G26" s="2780"/>
      <c r="I26" s="2796">
        <v>30</v>
      </c>
      <c r="J26" s="2796">
        <v>90.5</v>
      </c>
      <c r="K26" s="2796">
        <f t="shared" si="2"/>
        <v>4.2000000000000028</v>
      </c>
      <c r="L26" s="2796" t="s">
        <v>2571</v>
      </c>
      <c r="N26" s="3149">
        <v>5</v>
      </c>
    </row>
    <row r="27" spans="1:14">
      <c r="A27" s="2778" t="s">
        <v>2530</v>
      </c>
      <c r="B27" s="2779"/>
      <c r="C27" s="2779"/>
      <c r="D27" s="2779"/>
      <c r="E27" s="2779"/>
      <c r="F27" s="2779"/>
      <c r="G27" s="2780"/>
      <c r="I27" s="2796">
        <v>35</v>
      </c>
      <c r="J27" s="2796">
        <v>93.8</v>
      </c>
      <c r="K27" s="2796">
        <f t="shared" si="2"/>
        <v>3.2999999999999972</v>
      </c>
      <c r="L27" s="2796" t="s">
        <v>2572</v>
      </c>
      <c r="N27" s="3149">
        <v>3</v>
      </c>
    </row>
    <row r="28" spans="1:14">
      <c r="A28" s="2778" t="s">
        <v>2531</v>
      </c>
      <c r="B28" s="2779"/>
      <c r="C28" s="2779"/>
      <c r="D28" s="2779"/>
      <c r="E28" s="2779"/>
      <c r="F28" s="2779"/>
      <c r="G28" s="2780"/>
      <c r="I28" s="2796">
        <v>40</v>
      </c>
      <c r="J28" s="2796">
        <v>96.4</v>
      </c>
      <c r="K28" s="2796">
        <f t="shared" si="2"/>
        <v>2.6000000000000085</v>
      </c>
      <c r="L28" s="2796" t="s">
        <v>2573</v>
      </c>
      <c r="N28" s="3149">
        <v>2</v>
      </c>
    </row>
    <row r="29" spans="1:14">
      <c r="A29" s="2778" t="s">
        <v>2532</v>
      </c>
      <c r="B29" s="2779"/>
      <c r="C29" s="2779"/>
      <c r="D29" s="2779"/>
      <c r="E29" s="2779"/>
      <c r="F29" s="2779"/>
      <c r="G29" s="2780"/>
      <c r="I29" s="2796">
        <v>45</v>
      </c>
      <c r="J29" s="2796">
        <v>98.4</v>
      </c>
      <c r="K29" s="2796">
        <f t="shared" si="2"/>
        <v>2</v>
      </c>
    </row>
    <row r="30" spans="1:14">
      <c r="A30" s="2778" t="s">
        <v>2533</v>
      </c>
      <c r="B30" s="2779"/>
      <c r="C30" s="2779"/>
      <c r="D30" s="2779"/>
      <c r="E30" s="2779"/>
      <c r="F30" s="2779"/>
      <c r="G30" s="2780"/>
      <c r="I30" s="2796">
        <v>50</v>
      </c>
      <c r="J30" s="2796">
        <v>100</v>
      </c>
      <c r="K30" s="2796">
        <f t="shared" si="2"/>
        <v>1.5999999999999943</v>
      </c>
    </row>
    <row r="31" spans="1:14">
      <c r="A31" s="2778" t="s">
        <v>2534</v>
      </c>
      <c r="B31" s="2779"/>
      <c r="C31" s="2779"/>
      <c r="D31" s="2779"/>
      <c r="E31" s="2779"/>
      <c r="F31" s="2779"/>
      <c r="G31" s="2780"/>
      <c r="I31" s="2796" t="s">
        <v>2565</v>
      </c>
    </row>
    <row r="32" spans="1:14">
      <c r="A32" s="2778" t="s">
        <v>2535</v>
      </c>
      <c r="B32" s="2779"/>
      <c r="C32" s="2779"/>
      <c r="D32" s="2779"/>
      <c r="E32" s="2779"/>
      <c r="F32" s="2779"/>
      <c r="G32" s="2780"/>
    </row>
    <row r="33" spans="1:14">
      <c r="A33" s="2778" t="s">
        <v>2536</v>
      </c>
      <c r="B33" s="2779"/>
      <c r="C33" s="2779"/>
      <c r="D33" s="2779"/>
      <c r="E33" s="2779"/>
      <c r="F33" s="2779"/>
      <c r="G33" s="2780"/>
      <c r="I33" s="2796" t="s">
        <v>2564</v>
      </c>
      <c r="J33" s="2796" t="s">
        <v>2574</v>
      </c>
    </row>
    <row r="34" spans="1:14">
      <c r="A34" s="2778" t="s">
        <v>2537</v>
      </c>
      <c r="B34" s="2779"/>
      <c r="C34" s="2779"/>
      <c r="D34" s="2779"/>
      <c r="E34" s="2779"/>
      <c r="F34" s="2779"/>
      <c r="G34" s="2780"/>
      <c r="I34" s="2796">
        <v>5</v>
      </c>
      <c r="J34" s="2796">
        <v>55.1</v>
      </c>
    </row>
    <row r="35" spans="1:14">
      <c r="A35" s="2778" t="s">
        <v>2538</v>
      </c>
      <c r="B35" s="2779"/>
      <c r="C35" s="2779"/>
      <c r="D35" s="2779"/>
      <c r="E35" s="2779"/>
      <c r="F35" s="2779"/>
      <c r="G35" s="2780"/>
      <c r="I35" s="2796">
        <v>10</v>
      </c>
      <c r="J35" s="2796">
        <v>67</v>
      </c>
      <c r="K35" s="2796">
        <f>J35-J34</f>
        <v>11.899999999999999</v>
      </c>
    </row>
    <row r="36" spans="1:14">
      <c r="A36" s="2778" t="s">
        <v>2539</v>
      </c>
      <c r="B36" s="2779"/>
      <c r="C36" s="2779"/>
      <c r="D36" s="2779"/>
      <c r="E36" s="2779"/>
      <c r="F36" s="2779"/>
      <c r="G36" s="2780"/>
      <c r="I36" s="2796">
        <v>15</v>
      </c>
      <c r="J36" s="2796">
        <v>76.3</v>
      </c>
      <c r="K36" s="2796">
        <f t="shared" ref="K36:K41" si="3">J36-J35</f>
        <v>9.2999999999999972</v>
      </c>
      <c r="L36" s="2796" t="s">
        <v>2567</v>
      </c>
      <c r="N36" s="3149" t="s">
        <v>2568</v>
      </c>
    </row>
    <row r="37" spans="1:14">
      <c r="A37" s="2778" t="s">
        <v>2540</v>
      </c>
      <c r="B37" s="2779"/>
      <c r="C37" s="2779"/>
      <c r="D37" s="2779"/>
      <c r="E37" s="2779"/>
      <c r="F37" s="2779"/>
      <c r="G37" s="2780"/>
      <c r="I37" s="2796">
        <v>20</v>
      </c>
      <c r="J37" s="2796">
        <v>83.6</v>
      </c>
      <c r="K37" s="2796">
        <f t="shared" si="3"/>
        <v>7.2999999999999972</v>
      </c>
      <c r="L37" s="2796" t="s">
        <v>2566</v>
      </c>
      <c r="N37" s="3149">
        <v>10</v>
      </c>
    </row>
    <row r="38" spans="1:14">
      <c r="A38" s="2778" t="s">
        <v>2541</v>
      </c>
      <c r="B38" s="2779"/>
      <c r="C38" s="2779"/>
      <c r="D38" s="2779"/>
      <c r="E38" s="2779"/>
      <c r="F38" s="2779"/>
      <c r="G38" s="2780"/>
      <c r="I38" s="2796">
        <v>25</v>
      </c>
      <c r="J38" s="2796">
        <v>89.3</v>
      </c>
      <c r="K38" s="2796">
        <f t="shared" si="3"/>
        <v>5.7000000000000028</v>
      </c>
      <c r="L38" s="2796" t="s">
        <v>2570</v>
      </c>
      <c r="N38" s="3149">
        <v>8</v>
      </c>
    </row>
    <row r="39" spans="1:14">
      <c r="A39" s="2778"/>
      <c r="B39" s="2779"/>
      <c r="C39" s="2779"/>
      <c r="D39" s="2779"/>
      <c r="E39" s="2779"/>
      <c r="F39" s="2779"/>
      <c r="G39" s="2780"/>
      <c r="I39" s="2796">
        <v>30</v>
      </c>
      <c r="J39" s="2796">
        <v>93.8</v>
      </c>
      <c r="K39" s="2796">
        <f t="shared" si="3"/>
        <v>4.5</v>
      </c>
      <c r="L39" s="2796" t="s">
        <v>2571</v>
      </c>
      <c r="N39" s="3149">
        <v>6</v>
      </c>
    </row>
    <row r="40" spans="1:14">
      <c r="A40" s="2781" t="s">
        <v>2542</v>
      </c>
      <c r="B40" s="2782"/>
      <c r="C40" s="2782"/>
      <c r="D40" s="2782"/>
      <c r="E40" s="2782"/>
      <c r="F40" s="2782"/>
      <c r="G40" s="2783"/>
      <c r="I40" s="2796">
        <v>35</v>
      </c>
      <c r="J40" s="2796">
        <v>97.2</v>
      </c>
      <c r="K40" s="2796">
        <f t="shared" si="3"/>
        <v>3.4000000000000057</v>
      </c>
      <c r="L40" s="2796" t="s">
        <v>2572</v>
      </c>
      <c r="N40" s="3149">
        <v>3</v>
      </c>
    </row>
    <row r="41" spans="1:14">
      <c r="A41" s="2784" t="s">
        <v>2543</v>
      </c>
      <c r="B41" s="2785" t="s">
        <v>2544</v>
      </c>
      <c r="C41" s="2786" t="s">
        <v>2545</v>
      </c>
      <c r="D41" s="2786" t="s">
        <v>2546</v>
      </c>
      <c r="E41" s="2787"/>
      <c r="F41" s="2788"/>
      <c r="G41" s="2789"/>
      <c r="I41" s="2796">
        <v>40</v>
      </c>
      <c r="J41" s="2796">
        <v>100</v>
      </c>
      <c r="K41" s="2796">
        <f t="shared" si="3"/>
        <v>2.7999999999999972</v>
      </c>
    </row>
    <row r="42" spans="1:14">
      <c r="A42" s="2784" t="s">
        <v>2547</v>
      </c>
      <c r="B42" s="2785" t="s">
        <v>2548</v>
      </c>
      <c r="C42" s="2786" t="s">
        <v>2549</v>
      </c>
      <c r="D42" s="2790" t="s">
        <v>2550</v>
      </c>
      <c r="E42" s="2782" t="s">
        <v>2551</v>
      </c>
      <c r="F42" s="2782"/>
      <c r="G42" s="2783"/>
    </row>
    <row r="43" spans="1:14">
      <c r="A43" s="2784" t="s">
        <v>2552</v>
      </c>
      <c r="B43" s="2785" t="s">
        <v>2553</v>
      </c>
      <c r="C43" s="2786" t="s">
        <v>2554</v>
      </c>
      <c r="D43" s="2786" t="s">
        <v>2555</v>
      </c>
      <c r="E43" s="2787" t="s">
        <v>2556</v>
      </c>
      <c r="F43" s="2788"/>
      <c r="G43" s="2789"/>
      <c r="I43" s="2796" t="s">
        <v>2564</v>
      </c>
      <c r="J43" s="2796" t="s">
        <v>2575</v>
      </c>
    </row>
    <row r="44" spans="1:14">
      <c r="A44" s="2784" t="s">
        <v>2557</v>
      </c>
      <c r="B44" s="2785" t="s">
        <v>2558</v>
      </c>
      <c r="C44" s="2786" t="s">
        <v>2559</v>
      </c>
      <c r="D44" s="2790">
        <v>0.5</v>
      </c>
      <c r="E44" s="2787" t="s">
        <v>2560</v>
      </c>
      <c r="F44" s="2788"/>
      <c r="G44" s="2789"/>
      <c r="I44" s="2796">
        <v>30</v>
      </c>
      <c r="J44" s="2796">
        <v>81.7</v>
      </c>
    </row>
    <row r="45" spans="1:14" ht="15" thickBot="1">
      <c r="A45" s="2791" t="s">
        <v>2561</v>
      </c>
      <c r="B45" s="2792" t="s">
        <v>2548</v>
      </c>
      <c r="C45" s="2793" t="s">
        <v>2548</v>
      </c>
      <c r="D45" s="2793" t="s">
        <v>2562</v>
      </c>
      <c r="E45" s="2794" t="s">
        <v>2563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3390</v>
      </c>
    </row>
    <row r="50" spans="1:4">
      <c r="A50" s="3141" t="s">
        <v>3391</v>
      </c>
      <c r="B50" s="3141" t="s">
        <v>3392</v>
      </c>
      <c r="C50" s="3141" t="s">
        <v>3393</v>
      </c>
      <c r="D50" s="3141" t="s">
        <v>3394</v>
      </c>
    </row>
    <row r="51" spans="1:4">
      <c r="A51" s="3141" t="s">
        <v>3395</v>
      </c>
      <c r="B51" s="2761">
        <f>B52+B53</f>
        <v>15000</v>
      </c>
      <c r="C51" s="3142">
        <f>D51/B51</f>
        <v>2666.6666666666665</v>
      </c>
      <c r="D51" s="2761">
        <f>D52+D53</f>
        <v>40000000</v>
      </c>
    </row>
    <row r="52" spans="1:4">
      <c r="A52" s="3143" t="s">
        <v>3396</v>
      </c>
      <c r="B52" s="3144">
        <v>10000</v>
      </c>
      <c r="C52" s="3144">
        <v>1500</v>
      </c>
      <c r="D52" s="3145">
        <f>C52*B52</f>
        <v>15000000</v>
      </c>
    </row>
    <row r="53" spans="1:4">
      <c r="A53" s="3143" t="s">
        <v>3397</v>
      </c>
      <c r="B53" s="3144">
        <v>5000</v>
      </c>
      <c r="C53" s="3144">
        <v>5000</v>
      </c>
      <c r="D53" s="3145">
        <f>C53*B53</f>
        <v>25000000</v>
      </c>
    </row>
    <row r="54" spans="1:4">
      <c r="A54" s="3141" t="s">
        <v>3398</v>
      </c>
      <c r="B54" s="2761">
        <f>B51</f>
        <v>15000</v>
      </c>
      <c r="C54" s="2767">
        <v>700</v>
      </c>
      <c r="D54" s="2761">
        <f t="shared" ref="D54:D55" si="5">C54*B54</f>
        <v>10500000</v>
      </c>
    </row>
    <row r="55" spans="1:4">
      <c r="A55" s="3141" t="s">
        <v>3399</v>
      </c>
      <c r="B55" s="2761">
        <f>B51</f>
        <v>15000</v>
      </c>
      <c r="C55" s="2767">
        <v>1500</v>
      </c>
      <c r="D55" s="2761">
        <f t="shared" si="5"/>
        <v>22500000</v>
      </c>
    </row>
    <row r="56" spans="1:4">
      <c r="A56" s="3141" t="s">
        <v>3400</v>
      </c>
      <c r="B56" s="2761">
        <f>B51</f>
        <v>15000</v>
      </c>
      <c r="C56" s="3146">
        <f>C51+C54+C55</f>
        <v>4866.6666666666661</v>
      </c>
      <c r="D56" s="2761">
        <f>D51+D54+D55</f>
        <v>73000000</v>
      </c>
    </row>
    <row r="58" spans="1:4">
      <c r="A58" s="3141" t="s">
        <v>3401</v>
      </c>
      <c r="B58" s="3147">
        <v>0.05</v>
      </c>
      <c r="C58" s="2761">
        <f>C56*(1+B58)</f>
        <v>5110</v>
      </c>
      <c r="D58" s="2761">
        <f>D56*B58</f>
        <v>3650000</v>
      </c>
    </row>
    <row r="60" spans="1:4">
      <c r="A60" s="3141" t="s">
        <v>3402</v>
      </c>
      <c r="B60" s="2767">
        <v>3500</v>
      </c>
      <c r="C60" s="2767">
        <f>C53</f>
        <v>5000</v>
      </c>
      <c r="D60" s="2761">
        <f>C60*B60</f>
        <v>17500000</v>
      </c>
    </row>
    <row r="62" spans="1:4">
      <c r="A62" s="3141" t="s">
        <v>3403</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29" sqref="E2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7" t="str">
        <f>IF(B10="北京市","北京市",C10)&amp;F10&amp;IF(结果表!G1="在建","出让国有建设用地使用权及在建建筑物",IF(结果表!G1="土地","出让国有建设用地使用权",))&amp;B9&amp;"预评估"</f>
        <v>武汉市湖北省武汉市江汉区新华路468号CFD时代财富中心/栋/单元19层（1）、（2）、（3）、（4）办号房地产抵押价值预评估</v>
      </c>
      <c r="C1" s="3198"/>
      <c r="D1" s="3198"/>
      <c r="E1" s="3198"/>
      <c r="F1" s="3198"/>
      <c r="G1" s="3198"/>
      <c r="H1" s="3198"/>
      <c r="I1" s="3199"/>
      <c r="J1" s="2242"/>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武汉市湖北省武汉市江汉区新华路468号CFD时代财富中心/栋/单元19层（1）、（2）、（3）、（4）办号房地产抵押价值</v>
      </c>
      <c r="T1" s="1618"/>
      <c r="U1" s="1618"/>
      <c r="V1" s="1618"/>
      <c r="W1" s="1618"/>
      <c r="X1" s="1618"/>
      <c r="Y1" s="1618"/>
      <c r="Z1" s="1618"/>
      <c r="AA1" s="1618"/>
      <c r="AB1" s="1618"/>
    </row>
    <row r="2" spans="1:30">
      <c r="A2" s="2182" t="s">
        <v>2169</v>
      </c>
      <c r="B2" s="122"/>
      <c r="D2" s="2444"/>
      <c r="E2" s="2438"/>
      <c r="F2" s="2438"/>
      <c r="G2" s="2439"/>
      <c r="H2" s="2439"/>
      <c r="I2" s="2439"/>
      <c r="J2" s="2242"/>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武汉市湖北省武汉市江汉区新华路468号CFD时代财富中心/栋/单元19层（1）、（2）、（3）、（4）办号房地产</v>
      </c>
      <c r="T2" s="1618"/>
      <c r="U2" s="1618"/>
      <c r="V2" s="1618"/>
      <c r="W2" s="1618"/>
      <c r="X2" s="1618"/>
      <c r="Y2" s="1618"/>
      <c r="Z2" s="1618"/>
      <c r="AA2" s="1618"/>
      <c r="AB2" s="1618"/>
    </row>
    <row r="3" spans="1:30">
      <c r="A3" s="294" t="s">
        <v>2170</v>
      </c>
      <c r="B3" s="2185"/>
      <c r="C3" s="2186" t="s">
        <v>2171</v>
      </c>
      <c r="D3" s="2185">
        <v>45747</v>
      </c>
      <c r="E3" s="2439"/>
      <c r="F3" s="2439"/>
      <c r="G3" s="2439"/>
      <c r="H3" s="2439"/>
      <c r="I3" s="2439"/>
      <c r="J3" s="2242"/>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2"/>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39"/>
      <c r="F5" s="2439"/>
      <c r="G5" s="2439"/>
      <c r="H5" s="2439"/>
      <c r="I5" s="2439"/>
      <c r="J5" s="2242"/>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3153" t="s">
        <v>3412</v>
      </c>
      <c r="C6" s="2195"/>
      <c r="D6" s="2196"/>
      <c r="E6" s="2438"/>
      <c r="F6" s="2439"/>
      <c r="G6" s="2439"/>
      <c r="H6" s="2439"/>
      <c r="I6" s="2439"/>
      <c r="J6" s="2242"/>
      <c r="K6" s="2398" t="str">
        <f>IF(COUNTIF(B6,"*上海银行*"),"上海银行","")</f>
        <v/>
      </c>
      <c r="L6" s="2396"/>
      <c r="M6" s="2396"/>
      <c r="N6" s="2242"/>
      <c r="O6" s="1670"/>
      <c r="P6" s="2242"/>
      <c r="Q6" s="2242"/>
      <c r="R6" s="2242"/>
    </row>
    <row r="7" spans="1:30">
      <c r="A7" s="2194" t="s">
        <v>2175</v>
      </c>
      <c r="B7" s="2197"/>
      <c r="C7" s="2195"/>
      <c r="D7" s="2196"/>
      <c r="E7" s="2438"/>
      <c r="F7" s="2439"/>
      <c r="G7" s="2439"/>
      <c r="H7" s="2439"/>
      <c r="I7" s="2439"/>
      <c r="J7" s="2242"/>
      <c r="K7" s="2399"/>
      <c r="L7" s="2396"/>
      <c r="M7" s="2396"/>
      <c r="N7" s="2242"/>
      <c r="O7" s="1670"/>
      <c r="P7" s="2242"/>
      <c r="Q7" s="2242"/>
      <c r="R7" s="2242"/>
    </row>
    <row r="8" spans="1:30">
      <c r="A8" s="2198" t="s">
        <v>2176</v>
      </c>
      <c r="B8" s="2199" t="s">
        <v>3405</v>
      </c>
      <c r="C8" s="2200"/>
      <c r="D8" s="3200" t="s">
        <v>2177</v>
      </c>
      <c r="E8" s="2201" t="s">
        <v>3406</v>
      </c>
      <c r="F8" s="2202"/>
      <c r="G8" s="2439"/>
      <c r="H8" s="2439"/>
      <c r="I8" s="2439"/>
      <c r="J8" s="2242"/>
      <c r="K8" s="2397"/>
      <c r="L8" s="2396"/>
      <c r="M8" s="2396"/>
      <c r="N8" s="2242"/>
      <c r="O8" s="1670"/>
      <c r="P8" s="2242"/>
      <c r="Q8" s="2242"/>
      <c r="R8" s="2242"/>
    </row>
    <row r="9" spans="1:30" ht="13.8" thickBot="1">
      <c r="A9" s="2203" t="s">
        <v>2178</v>
      </c>
      <c r="B9" s="2204" t="s">
        <v>3406</v>
      </c>
      <c r="C9" s="2205"/>
      <c r="D9" s="3201"/>
      <c r="E9" s="2204" t="s">
        <v>43</v>
      </c>
      <c r="F9" s="2206"/>
      <c r="G9" s="2440"/>
      <c r="H9" s="2440"/>
      <c r="I9" s="2440"/>
      <c r="J9" s="2242"/>
      <c r="K9" s="2399"/>
      <c r="L9" s="2396"/>
      <c r="M9" s="2396"/>
      <c r="N9" s="2242"/>
      <c r="O9" s="1670"/>
      <c r="P9" s="2242"/>
      <c r="Q9" s="2242"/>
      <c r="R9" s="2242"/>
    </row>
    <row r="10" spans="1:30" ht="13.8" thickTop="1">
      <c r="A10" s="2207" t="s">
        <v>2179</v>
      </c>
      <c r="B10" s="2208" t="s">
        <v>3407</v>
      </c>
      <c r="C10" s="3151" t="s">
        <v>3410</v>
      </c>
      <c r="D10" s="2193"/>
      <c r="E10" s="2209" t="s">
        <v>2180</v>
      </c>
      <c r="F10" s="3152" t="s">
        <v>3411</v>
      </c>
      <c r="G10" s="2441"/>
      <c r="H10" s="2442"/>
      <c r="I10" s="2443"/>
      <c r="J10" s="2242"/>
      <c r="K10" s="2399"/>
      <c r="L10" s="2396"/>
      <c r="M10" s="2396"/>
      <c r="N10" s="2242"/>
      <c r="O10" s="1670"/>
      <c r="P10" s="2242"/>
      <c r="Q10" s="2242"/>
      <c r="R10" s="2242"/>
    </row>
    <row r="11" spans="1:30">
      <c r="A11" s="2210" t="s">
        <v>2181</v>
      </c>
      <c r="B11" s="2211" t="s">
        <v>3408</v>
      </c>
      <c r="C11" s="3150" t="s">
        <v>3409</v>
      </c>
      <c r="D11" s="2212"/>
      <c r="E11" s="2182"/>
      <c r="F11" s="2182"/>
      <c r="G11" s="2182"/>
      <c r="H11" s="2182"/>
      <c r="I11" s="2182"/>
      <c r="J11" s="2798"/>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7" t="s">
        <v>2576</v>
      </c>
      <c r="J12" s="2799"/>
      <c r="K12" s="2396"/>
      <c r="L12" s="2396"/>
      <c r="M12" s="2242"/>
      <c r="N12" s="1670"/>
      <c r="O12" s="2242"/>
      <c r="P12" s="2242"/>
      <c r="Q12" s="2242"/>
      <c r="AD12" s="1618"/>
    </row>
    <row r="13" spans="1:30">
      <c r="A13" s="3118" t="s">
        <v>3332</v>
      </c>
      <c r="B13" s="2215" t="s">
        <v>2190</v>
      </c>
      <c r="C13" s="803"/>
      <c r="D13" s="803"/>
      <c r="E13" s="803"/>
      <c r="F13" s="803"/>
      <c r="G13" s="803"/>
      <c r="H13" s="803"/>
      <c r="I13" s="803"/>
      <c r="J13" s="2799"/>
      <c r="K13" s="2396"/>
      <c r="L13" s="2396"/>
      <c r="M13" s="2242"/>
      <c r="N13" s="1670"/>
      <c r="O13" s="2242"/>
      <c r="P13" s="2242"/>
      <c r="Q13" s="2242"/>
      <c r="AD13" s="1618"/>
    </row>
    <row r="14" spans="1:30">
      <c r="A14" s="1018"/>
      <c r="B14" s="2215" t="s">
        <v>2191</v>
      </c>
      <c r="C14" s="2216"/>
      <c r="D14" s="2216"/>
      <c r="E14" s="2216"/>
      <c r="F14" s="2216"/>
      <c r="G14" s="2216"/>
      <c r="H14" s="2216"/>
      <c r="I14" s="2216"/>
      <c r="J14" s="2800"/>
      <c r="K14" s="2396"/>
      <c r="L14" s="2396"/>
      <c r="M14" s="2242"/>
      <c r="N14" s="1670"/>
      <c r="O14" s="2242"/>
      <c r="P14" s="2242"/>
      <c r="Q14" s="2242"/>
      <c r="AD14" s="1618"/>
    </row>
    <row r="15" spans="1:30">
      <c r="A15" s="312"/>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70"/>
      <c r="L15" s="1670"/>
      <c r="M15" s="2242"/>
      <c r="N15" s="1670"/>
      <c r="O15" s="2242"/>
      <c r="P15" s="2242"/>
      <c r="Q15" s="2242"/>
      <c r="AD15" s="1618"/>
    </row>
    <row r="16" spans="1:30">
      <c r="A16" s="2209" t="s">
        <v>2193</v>
      </c>
      <c r="B16" s="3207"/>
      <c r="C16" s="3208"/>
      <c r="D16" s="3209"/>
      <c r="E16" s="2219" t="s">
        <v>2194</v>
      </c>
      <c r="F16" s="3210"/>
      <c r="G16" s="3211"/>
      <c r="H16" s="3211"/>
      <c r="I16" s="3212"/>
      <c r="J16" s="2242"/>
      <c r="K16" s="2400"/>
      <c r="L16" s="1670"/>
      <c r="M16" s="1670"/>
      <c r="N16" s="2242"/>
      <c r="O16" s="1670"/>
      <c r="P16" s="2242"/>
      <c r="Q16" s="2242"/>
      <c r="R16" s="2242"/>
    </row>
    <row r="17" spans="1:28">
      <c r="A17" s="305" t="s">
        <v>2195</v>
      </c>
      <c r="B17" s="294" t="s">
        <v>2196</v>
      </c>
      <c r="C17" s="8">
        <f>'数据-汇总表'!E3</f>
        <v>772.54</v>
      </c>
      <c r="D17" s="1256" t="s">
        <v>2197</v>
      </c>
      <c r="E17" s="3213" t="s">
        <v>2198</v>
      </c>
      <c r="F17" s="3214"/>
      <c r="G17" s="3214"/>
      <c r="H17" s="3214"/>
      <c r="I17" s="3215"/>
      <c r="J17" s="2242"/>
      <c r="K17" s="2401"/>
      <c r="L17" s="1670"/>
      <c r="M17" s="1670"/>
      <c r="N17" s="2242"/>
      <c r="O17" s="1670"/>
      <c r="P17" s="2242"/>
      <c r="Q17" s="2242"/>
      <c r="R17" s="2242"/>
      <c r="S17" s="2242"/>
      <c r="T17" s="2242"/>
      <c r="U17" s="2242"/>
      <c r="V17" s="2242"/>
    </row>
    <row r="18" spans="1:28" ht="24.6" thickBot="1">
      <c r="A18" s="2220" t="s">
        <v>2199</v>
      </c>
      <c r="B18" s="1027" t="s">
        <v>2200</v>
      </c>
      <c r="C18" s="2221">
        <f>'数据-汇总表'!D3</f>
        <v>0</v>
      </c>
      <c r="D18" s="1029" t="s">
        <v>2201</v>
      </c>
      <c r="E18" s="3216" t="s">
        <v>2202</v>
      </c>
      <c r="F18" s="3217"/>
      <c r="G18" s="3217"/>
      <c r="H18" s="3217"/>
      <c r="I18" s="3218"/>
      <c r="J18" s="2242"/>
      <c r="K18" s="2401"/>
      <c r="L18" s="1670"/>
      <c r="M18" s="1670"/>
      <c r="N18" s="2242"/>
      <c r="O18" s="1670"/>
      <c r="P18" s="2242"/>
      <c r="Q18" s="2242"/>
      <c r="R18" s="2242"/>
      <c r="S18" s="2242"/>
      <c r="T18" s="2242"/>
      <c r="U18" s="2242"/>
      <c r="V18" s="2242"/>
    </row>
    <row r="19" spans="1:28" ht="37.200000000000003"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03" t="s">
        <v>2206</v>
      </c>
      <c r="C20" s="3204"/>
      <c r="D20" s="3205" t="s">
        <v>2207</v>
      </c>
      <c r="E20" s="3206"/>
      <c r="F20" s="2427" t="s">
        <v>1056</v>
      </c>
      <c r="G20" s="2439"/>
      <c r="H20" s="2439"/>
      <c r="I20" s="2439"/>
      <c r="J20" s="2242"/>
      <c r="K20" s="320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4"/>
      <c r="B21" s="2415" t="s">
        <v>2209</v>
      </c>
      <c r="C21" s="2293" t="s">
        <v>1057</v>
      </c>
      <c r="D21" s="1460" t="s">
        <v>2210</v>
      </c>
      <c r="E21" s="2416" t="s">
        <v>1057</v>
      </c>
      <c r="F21" s="2428"/>
      <c r="G21" s="2439"/>
      <c r="H21" s="2439"/>
      <c r="I21" s="2439"/>
      <c r="J21" s="2242"/>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4"/>
      <c r="B22" s="2417" t="s">
        <v>2211</v>
      </c>
      <c r="C22" s="2293" t="s">
        <v>1058</v>
      </c>
      <c r="D22" s="2439"/>
      <c r="E22" s="2439"/>
      <c r="F22" s="2439"/>
      <c r="G22" s="2439"/>
      <c r="H22" s="2439"/>
      <c r="I22" s="2439"/>
      <c r="J22" s="2242"/>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8" thickTop="1">
      <c r="A27" s="3220" t="s">
        <v>2214</v>
      </c>
      <c r="B27" s="312" t="s">
        <v>2215</v>
      </c>
      <c r="C27" s="2222" t="s">
        <v>3420</v>
      </c>
      <c r="D27" s="2223"/>
      <c r="E27" s="2439"/>
      <c r="F27" s="2439"/>
      <c r="G27" s="2439"/>
      <c r="H27" s="2439"/>
      <c r="I27" s="2439"/>
      <c r="J27" s="2242"/>
      <c r="K27" s="2400"/>
      <c r="L27" s="1670"/>
      <c r="M27" s="1670"/>
      <c r="N27" s="2242"/>
      <c r="O27" s="1670"/>
      <c r="P27" s="2242"/>
      <c r="Q27" s="2242"/>
      <c r="R27" s="2242"/>
      <c r="S27" s="2242"/>
      <c r="T27" s="2242"/>
      <c r="U27" s="2242"/>
      <c r="V27" s="2242"/>
    </row>
    <row r="28" spans="1:28">
      <c r="A28" s="3220"/>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20"/>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21"/>
      <c r="B30" s="294" t="s">
        <v>2218</v>
      </c>
      <c r="C30" s="3222"/>
      <c r="D30" s="3223"/>
      <c r="E30" s="2439"/>
      <c r="F30" s="2439"/>
      <c r="G30" s="2439"/>
      <c r="H30" s="2439"/>
      <c r="I30" s="2439"/>
      <c r="J30" s="2242"/>
      <c r="K30" s="2399"/>
      <c r="L30" s="2396"/>
      <c r="M30" s="2396"/>
      <c r="N30" s="2242"/>
      <c r="O30" s="1670"/>
      <c r="P30" s="2242"/>
      <c r="Q30" s="2242"/>
      <c r="R30" s="2242"/>
      <c r="S30" s="2242"/>
      <c r="T30" s="2242"/>
      <c r="U30" s="2242"/>
      <c r="V30" s="2242"/>
    </row>
    <row r="31" spans="1:28">
      <c r="A31" s="3224" t="s">
        <v>2219</v>
      </c>
      <c r="B31" s="2228" t="s">
        <v>3419</v>
      </c>
      <c r="C31" s="12" t="str">
        <f>IF(B31="现房","成新及维护状况正常否",IF(B31="在建","工程状态是否正常",IF(B31="土地","是否闲置","-")))</f>
        <v>成新及维护状况正常否</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25"/>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25"/>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70"/>
      <c r="C34" s="1870"/>
      <c r="D34" s="1870"/>
      <c r="E34" s="1870"/>
      <c r="F34" s="1870"/>
      <c r="G34" s="1870"/>
      <c r="H34" s="1870"/>
      <c r="I34" s="2439"/>
      <c r="J34" s="2242"/>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2"/>
      <c r="V34" s="2242"/>
    </row>
    <row r="35" spans="1:30">
      <c r="A35" s="2233"/>
      <c r="B35" s="3219" t="s">
        <v>2229</v>
      </c>
      <c r="C35" s="3219"/>
      <c r="D35" s="3219"/>
      <c r="E35" s="3219"/>
      <c r="F35" s="8" t="str">
        <f>C10</f>
        <v>武汉市</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2"/>
      <c r="V35" s="2242"/>
    </row>
    <row r="36" spans="1:30">
      <c r="A36" s="2183"/>
      <c r="B36" s="8" t="s">
        <v>2185</v>
      </c>
      <c r="C36" s="8" t="s">
        <v>2186</v>
      </c>
      <c r="D36" s="8" t="s">
        <v>2184</v>
      </c>
      <c r="E36" s="8" t="s">
        <v>2189</v>
      </c>
      <c r="F36" s="2797" t="s">
        <v>2579</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8"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2"/>
      <c r="B40" s="2182"/>
      <c r="C40" s="2182"/>
      <c r="D40" s="2182"/>
      <c r="E40" s="2182"/>
      <c r="F40" s="2182"/>
      <c r="G40" s="2182"/>
      <c r="H40" s="2182"/>
      <c r="I40" s="1466"/>
      <c r="J40" s="2242"/>
      <c r="K40" s="2398"/>
      <c r="L40" s="1670"/>
      <c r="M40" s="1670"/>
      <c r="N40" s="2242"/>
      <c r="O40" s="1670"/>
      <c r="P40" s="2242"/>
      <c r="Q40" s="2242"/>
      <c r="R40" s="2242"/>
      <c r="S40" s="2242"/>
      <c r="T40" s="2242"/>
      <c r="U40" s="2242"/>
      <c r="V40" s="2242"/>
    </row>
    <row r="41" spans="1:30">
      <c r="A41" s="2239" t="s">
        <v>2233</v>
      </c>
      <c r="B41" s="1627"/>
      <c r="C41" s="1281"/>
      <c r="D41" s="2182"/>
      <c r="E41" s="2182"/>
      <c r="F41" s="2182"/>
      <c r="G41" s="2182"/>
      <c r="H41" s="2182"/>
      <c r="I41" s="1466"/>
      <c r="J41" s="2242"/>
      <c r="K41" s="2399"/>
      <c r="L41" s="2396"/>
      <c r="M41" s="2396"/>
      <c r="N41" s="2242"/>
      <c r="O41" s="1670"/>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772.54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772.54</v>
      </c>
      <c r="H5" s="13">
        <f t="shared" ref="H5:AT5" si="0">SUM(H13:H656)</f>
        <v>772.54</v>
      </c>
      <c r="I5" s="13">
        <f t="shared" si="0"/>
        <v>772.54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772.54</v>
      </c>
      <c r="BA5" s="15">
        <f t="shared" si="1"/>
        <v>772.54</v>
      </c>
      <c r="BB5" s="15">
        <f t="shared" si="1"/>
        <v>772.54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54" t="s">
        <v>3413</v>
      </c>
      <c r="D13" s="1513" t="s">
        <v>3418</v>
      </c>
      <c r="E13" s="13">
        <f>IF($C$3="是",ROUND($A$3*G13/$B$3,2),ROUND($A$3*(G13-AT13)/$B$3,2))</f>
        <v>0</v>
      </c>
      <c r="F13" s="29"/>
      <c r="G13" s="30">
        <f>H13+AC13+AT13</f>
        <v>277.76</v>
      </c>
      <c r="H13" s="17">
        <f>SUMIF(I$12:AB$12,"总值",I13:AB13)</f>
        <v>277.76</v>
      </c>
      <c r="I13" s="1514">
        <v>277.76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（1）办号</v>
      </c>
      <c r="AY13" s="1260">
        <f>ROUND($AY$6*AZ13/$AZ$5,2)</f>
        <v>0</v>
      </c>
      <c r="AZ13" s="13">
        <f>BA13+BL13</f>
        <v>277.76</v>
      </c>
      <c r="BA13" s="13">
        <f>SUM(BB13:BK13)</f>
        <v>277.76</v>
      </c>
      <c r="BB13" s="13">
        <f>IF($D13="是",I13-J13,0)</f>
        <v>277.76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154" t="s">
        <v>3414</v>
      </c>
      <c r="D14" s="1513" t="s">
        <v>3418</v>
      </c>
      <c r="E14" s="13">
        <f>IF($C$3="是",ROUND($A$3*G14/$B$3,2),ROUND($A$3*(G14-AT14)/$B$3,2))</f>
        <v>0</v>
      </c>
      <c r="F14" s="29"/>
      <c r="G14" s="30">
        <f>H14+AC14+AT14</f>
        <v>277.76</v>
      </c>
      <c r="H14" s="17">
        <f>SUMIF(I$12:AB$12,"总值",I14:AB14)</f>
        <v>277.76</v>
      </c>
      <c r="I14" s="1514">
        <v>277.76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（2）办号</v>
      </c>
      <c r="AY14" s="1260">
        <f>ROUND($AY$6*AZ14/$AZ$5,2)</f>
        <v>0</v>
      </c>
      <c r="AZ14" s="13">
        <f>BA14+BL14</f>
        <v>277.76</v>
      </c>
      <c r="BA14" s="13">
        <f>SUM(BB14:BK14)</f>
        <v>277.76</v>
      </c>
      <c r="BB14" s="13">
        <f>IF($D14="是",I14-J14,0)</f>
        <v>277.76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3154" t="s">
        <v>3415</v>
      </c>
      <c r="D15" s="1513" t="s">
        <v>3418</v>
      </c>
      <c r="E15" s="13">
        <f>IF($C$3="是",ROUND($A$3*G15/$B$3,2),ROUND($A$3*(G15-AT15)/$B$3,2))</f>
        <v>0</v>
      </c>
      <c r="F15" s="29"/>
      <c r="G15" s="30">
        <f>H15+AC15+AT15</f>
        <v>108.51</v>
      </c>
      <c r="H15" s="17">
        <f>SUMIF(I$12:AB$12,"总值",I15:AB15)</f>
        <v>108.51</v>
      </c>
      <c r="I15" s="1514">
        <v>108.51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（3）办号</v>
      </c>
      <c r="AY15" s="1260">
        <f>ROUND($AY$6*AZ15/$AZ$5,2)</f>
        <v>0</v>
      </c>
      <c r="AZ15" s="13">
        <f>BA15+BL15</f>
        <v>108.51</v>
      </c>
      <c r="BA15" s="13">
        <f>SUM(BB15:BK15)</f>
        <v>108.51</v>
      </c>
      <c r="BB15" s="13">
        <f>IF($D15="是",I15-J15,0)</f>
        <v>108.51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3154" t="s">
        <v>3416</v>
      </c>
      <c r="D16" s="1513" t="s">
        <v>3418</v>
      </c>
      <c r="E16" s="13">
        <f>IF($C$3="是",ROUND($A$3*G16/$B$3,2),ROUND($A$3*(G16-AT16)/$B$3,2))</f>
        <v>0</v>
      </c>
      <c r="F16" s="29"/>
      <c r="G16" s="30">
        <f>H16+AC16+AT16</f>
        <v>108.51</v>
      </c>
      <c r="H16" s="17">
        <f>SUMIF(I$12:AB$12,"总值",I16:AB16)</f>
        <v>108.51</v>
      </c>
      <c r="I16" s="1514">
        <v>108.51</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（4）办号</v>
      </c>
      <c r="AY16" s="1260">
        <f>ROUND($AY$6*AZ16/$AZ$5,2)</f>
        <v>0</v>
      </c>
      <c r="AZ16" s="13">
        <f>BA16+BL16</f>
        <v>108.51</v>
      </c>
      <c r="BA16" s="13">
        <f>SUM(BB16:BK16)</f>
        <v>108.51</v>
      </c>
      <c r="BB16" s="13">
        <f>IF($D16="是",I16-J16,0)</f>
        <v>108.51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3" sqref="C2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5" t="s">
        <v>1131</v>
      </c>
      <c r="B2" s="3235"/>
      <c r="C2" s="3235"/>
      <c r="D2" s="748" t="s">
        <v>1107</v>
      </c>
      <c r="E2" s="1523" t="s">
        <v>1108</v>
      </c>
      <c r="F2" s="2436"/>
      <c r="G2" s="2429"/>
      <c r="H2" s="2430"/>
      <c r="I2" s="2146" t="s">
        <v>1132</v>
      </c>
      <c r="J2" s="2436"/>
      <c r="K2" s="2436"/>
      <c r="L2" s="2436"/>
      <c r="M2" s="2436"/>
      <c r="N2" s="2437"/>
      <c r="O2" s="2436"/>
      <c r="P2" s="2436"/>
    </row>
    <row r="3" spans="1:16" ht="15" thickBot="1">
      <c r="A3" s="3236" t="s">
        <v>1105</v>
      </c>
      <c r="B3" s="3236"/>
      <c r="C3" s="3236"/>
      <c r="D3" s="41">
        <f>'数据-基础表'!AY6</f>
        <v>0</v>
      </c>
      <c r="E3" s="41">
        <f>'数据-基础表'!AZ5</f>
        <v>772.54</v>
      </c>
      <c r="F3" s="2436"/>
      <c r="G3" s="42"/>
      <c r="H3" s="43" t="s">
        <v>1106</v>
      </c>
      <c r="I3" s="802" t="e">
        <f>ROUND('数据-基础表'!B3/'数据-基础表'!A3,2)</f>
        <v>#DIV/0!</v>
      </c>
      <c r="J3" s="2436"/>
      <c r="K3" s="2436"/>
      <c r="L3" s="2436"/>
      <c r="M3" s="2436"/>
      <c r="N3" s="2437"/>
      <c r="O3" s="2436"/>
      <c r="P3" s="2436"/>
    </row>
    <row r="4" spans="1:16" ht="14.4">
      <c r="A4" s="3237"/>
      <c r="B4" s="3238"/>
      <c r="C4" s="3239"/>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40" t="s">
        <v>1110</v>
      </c>
      <c r="C5" s="3240"/>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7"/>
      <c r="B6" s="3240" t="s">
        <v>1111</v>
      </c>
      <c r="C6" s="3240"/>
      <c r="D6" s="43">
        <f>ROUND($D$3*E6/$E$3,2)</f>
        <v>0</v>
      </c>
      <c r="E6" s="44">
        <f>E3-E5</f>
        <v>772.54</v>
      </c>
      <c r="F6" s="2436"/>
      <c r="G6" s="1529" t="s">
        <v>1112</v>
      </c>
      <c r="H6" s="45" t="s">
        <v>1113</v>
      </c>
      <c r="I6" s="2432" t="e">
        <f>ROUND(F31/D31,2)</f>
        <v>#DIV/0!</v>
      </c>
      <c r="J6" s="2436"/>
      <c r="K6" s="2436"/>
      <c r="L6" s="2436"/>
      <c r="M6" s="2436"/>
      <c r="N6" s="2436"/>
      <c r="O6" s="2436"/>
      <c r="P6" s="2436"/>
    </row>
    <row r="7" spans="1:16" ht="15" thickBot="1">
      <c r="A7" s="3232"/>
      <c r="B7" s="3233"/>
      <c r="C7" s="3234"/>
      <c r="D7" s="1524" t="s">
        <v>1107</v>
      </c>
      <c r="E7" s="1528"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772.54</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772.54</v>
      </c>
      <c r="F16" s="2436"/>
      <c r="G16" s="2436"/>
      <c r="H16" s="1531" t="s">
        <v>1135</v>
      </c>
      <c r="I16" s="1532"/>
      <c r="J16" s="1071"/>
      <c r="K16" s="3229" t="s">
        <v>1135</v>
      </c>
      <c r="L16" s="3230"/>
      <c r="M16" s="3230"/>
      <c r="N16" s="3230"/>
      <c r="O16" s="3230"/>
      <c r="P16" s="3231"/>
    </row>
    <row r="17" spans="1:19" ht="14.4">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tr">
        <f>'数据-基础表'!C13</f>
        <v>（1）办号</v>
      </c>
      <c r="D19" s="43">
        <f>ROUND($D$3*E19/$E$3,2)</f>
        <v>0</v>
      </c>
      <c r="E19" s="51">
        <f t="shared" ref="E19:E26" si="1">SUM(F19:G19)</f>
        <v>277.76</v>
      </c>
      <c r="F19" s="2554">
        <f>'数据-基础表'!H13</f>
        <v>277.76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277.76</v>
      </c>
    </row>
    <row r="20" spans="1:19" ht="14.4">
      <c r="A20" s="1549"/>
      <c r="B20" s="45" t="s">
        <v>1153</v>
      </c>
      <c r="C20" s="3112" t="str">
        <f>'数据-基础表'!C14</f>
        <v>（2）办号</v>
      </c>
      <c r="D20" s="43">
        <f t="shared" ref="D20:D26" si="6">ROUND($D$3*E20/$E$3,2)</f>
        <v>0</v>
      </c>
      <c r="E20" s="51">
        <f t="shared" si="1"/>
        <v>277.76</v>
      </c>
      <c r="F20" s="2554">
        <f>'数据-基础表'!H14</f>
        <v>277.76</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277.76</v>
      </c>
    </row>
    <row r="21" spans="1:19" ht="14.4">
      <c r="A21" s="1549"/>
      <c r="B21" s="45" t="s">
        <v>1153</v>
      </c>
      <c r="C21" s="3112" t="str">
        <f>'数据-基础表'!C15</f>
        <v>（3）办号</v>
      </c>
      <c r="D21" s="43">
        <f t="shared" si="6"/>
        <v>0</v>
      </c>
      <c r="E21" s="51">
        <f t="shared" si="1"/>
        <v>108.51</v>
      </c>
      <c r="F21" s="2554">
        <f>'数据-基础表'!H15</f>
        <v>108.51</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108.51</v>
      </c>
    </row>
    <row r="22" spans="1:19" ht="14.4">
      <c r="A22" s="1549"/>
      <c r="B22" s="45" t="s">
        <v>1153</v>
      </c>
      <c r="C22" s="3112" t="str">
        <f>'数据-基础表'!C16</f>
        <v>（4）办号</v>
      </c>
      <c r="D22" s="43">
        <f t="shared" si="6"/>
        <v>0</v>
      </c>
      <c r="E22" s="51">
        <f t="shared" si="1"/>
        <v>108.51</v>
      </c>
      <c r="F22" s="2554">
        <f>'数据-基础表'!H16</f>
        <v>108.51</v>
      </c>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108.51</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772.54</v>
      </c>
      <c r="F27" s="1072">
        <f>IF(SUM(F19:F26)=E8,SUM(F19:F26),"地上面积有误")</f>
        <v>772.54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772.54</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772.54</v>
      </c>
      <c r="F31" s="644">
        <f>F27+F30</f>
        <v>772.54</v>
      </c>
      <c r="G31" s="645">
        <f>G27+G30</f>
        <v>0</v>
      </c>
      <c r="H31" s="2436"/>
      <c r="I31" s="2436"/>
      <c r="J31" s="2436"/>
      <c r="K31" s="2436"/>
      <c r="L31" s="2436"/>
      <c r="M31" s="2436"/>
      <c r="N31" s="2436"/>
      <c r="O31" s="2436"/>
      <c r="P31" s="2436"/>
    </row>
    <row r="32" spans="1:19" ht="14.4">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45747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（1）办号</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277.76</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3"/>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（2）办号</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277.76</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（3）办号</v>
      </c>
      <c r="B8" s="1587" t="str">
        <f t="shared" si="1"/>
        <v>经营性</v>
      </c>
      <c r="C8" s="1588"/>
      <c r="D8" s="805">
        <f>SUMIF(项目基本情况!C$12:I$12,C8,项目基本情况!C$14:I$14)</f>
        <v>0</v>
      </c>
      <c r="E8" s="804">
        <f>IF(B8="","",SUMIF(项目基本情况!C$12:I$12,C8,项目基本情况!C$13:I$13))</f>
        <v>0</v>
      </c>
      <c r="F8" s="61">
        <f>SUMIF(项目基本情况!C$12:I$12,C8,项目基本情况!C$15:I$15)</f>
        <v>0</v>
      </c>
      <c r="G8" s="62">
        <f t="shared" si="2"/>
        <v>0</v>
      </c>
      <c r="H8" s="691"/>
      <c r="I8" s="691"/>
      <c r="J8" s="63"/>
      <c r="K8" s="970">
        <f>SUMIF('数据-汇总表'!C$19:C$33,A8,'数据-汇总表'!E$19:E$33)</f>
        <v>108.51</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t="str">
        <f>'数据-汇总表'!C22</f>
        <v>（4）办号</v>
      </c>
      <c r="B9" s="1587" t="str">
        <f t="shared" si="1"/>
        <v>经营性</v>
      </c>
      <c r="C9" s="1588"/>
      <c r="D9" s="805">
        <f>SUMIF(项目基本情况!C$12:I$12,C9,项目基本情况!C$14:I$14)</f>
        <v>0</v>
      </c>
      <c r="E9" s="804">
        <f>IF(B9="","",SUMIF(项目基本情况!C$12:I$12,C9,项目基本情况!C$13:I$13))</f>
        <v>0</v>
      </c>
      <c r="F9" s="61">
        <f>SUMIF(项目基本情况!C$12:I$12,C9,项目基本情况!C$15:I$15)</f>
        <v>0</v>
      </c>
      <c r="G9" s="62">
        <f t="shared" si="2"/>
        <v>0</v>
      </c>
      <c r="H9" s="63"/>
      <c r="I9" s="63"/>
      <c r="J9" s="63"/>
      <c r="K9" s="970">
        <f>SUMIF('数据-汇总表'!C$19:C$33,A9,'数据-汇总表'!E$19:E$33)</f>
        <v>108.51</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772.54</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6" t="s">
        <v>1211</v>
      </c>
      <c r="B19" s="97"/>
      <c r="C19" s="2557" t="s">
        <v>2302</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7" t="s">
        <v>1212</v>
      </c>
      <c r="B20" s="98"/>
      <c r="C20" s="2558" t="s">
        <v>2300</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8" t="s">
        <v>1213</v>
      </c>
      <c r="B21" s="98"/>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7" t="s">
        <v>1214</v>
      </c>
      <c r="B22" s="99">
        <f>B19+B20</f>
        <v>0</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8" t="s">
        <v>1215</v>
      </c>
      <c r="B23" s="99">
        <f>B19+B21</f>
        <v>0</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1" t="s">
        <v>1220</v>
      </c>
      <c r="B27" s="101"/>
      <c r="C27" s="2559" t="s">
        <v>2304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2" t="s">
        <v>1221</v>
      </c>
      <c r="B28" s="103"/>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3" t="s">
        <v>1222</v>
      </c>
      <c r="B29" s="105"/>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4" t="s">
        <v>1223</v>
      </c>
      <c r="B30" s="638"/>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2" t="s">
        <v>1224</v>
      </c>
      <c r="B31" s="104">
        <f>B30-B32</f>
        <v>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1" t="s">
        <v>1226</v>
      </c>
      <c r="B33" s="640"/>
      <c r="C33" s="2561" t="s">
        <v>3386</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2" t="s">
        <v>1227</v>
      </c>
      <c r="B34" s="106"/>
      <c r="C34" s="2561"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2" t="s">
        <v>1228</v>
      </c>
      <c r="B35" s="103"/>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c r="C36" s="2561" t="s">
        <v>3404</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4" t="s">
        <v>1230</v>
      </c>
      <c r="B37" s="108"/>
      <c r="C37" s="2561" t="s">
        <v>3387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2" t="s">
        <v>1231</v>
      </c>
      <c r="B38" s="106"/>
      <c r="C38" s="2561" t="s">
        <v>3388</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2310</v>
      </c>
      <c r="B40" s="1015" t="e">
        <f ca="1">IF(A40="利息：取LPR",存贷款利率!G1,存贷款利率!G1+C40)</f>
        <v>#VALUE!</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1" t="s">
        <v>1233</v>
      </c>
      <c r="B41" s="109">
        <f>B42+B43</f>
        <v>0</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6" t="s">
        <v>1234</v>
      </c>
      <c r="B42" s="110"/>
      <c r="C42" s="2455">
        <f>IF(B2&lt;DATE(2016,5,1),0,B42)</f>
        <v>0</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6" t="s">
        <v>1235</v>
      </c>
      <c r="B43" s="111">
        <f>B42*(B44+B45+B46)+B47</f>
        <v>0</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7" t="s">
        <v>1236</v>
      </c>
      <c r="B44" s="112"/>
      <c r="C44" s="2561" t="s">
        <v>3389</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7" t="s">
        <v>1237</v>
      </c>
      <c r="B45" s="110"/>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7" t="s">
        <v>1238</v>
      </c>
      <c r="B46" s="110"/>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9" t="s">
        <v>1240</v>
      </c>
      <c r="B48" s="114"/>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10" t="s">
        <v>1244</v>
      </c>
      <c r="B52" s="117">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2" t="s">
        <v>1245</v>
      </c>
      <c r="B53" s="1611"/>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2"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6" customFormat="1" ht="18" thickBot="1">
      <c r="A1" s="3241" t="s">
        <v>2286</v>
      </c>
      <c r="B1" s="3242"/>
      <c r="C1" s="3242"/>
      <c r="D1" s="3242"/>
      <c r="E1" s="3242"/>
      <c r="F1" s="3242"/>
      <c r="G1" s="324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7.200000000000003">
      <c r="A4" s="2245"/>
      <c r="B4" s="315" t="s">
        <v>2254</v>
      </c>
      <c r="C4" s="2266" t="s">
        <v>2255</v>
      </c>
      <c r="D4" s="2263"/>
      <c r="E4" s="2267"/>
      <c r="F4" s="1281" t="s">
        <v>2256</v>
      </c>
      <c r="G4" s="2268" t="s">
        <v>2257</v>
      </c>
      <c r="H4" s="751"/>
      <c r="I4" s="751"/>
      <c r="J4" s="751"/>
      <c r="K4" s="751"/>
      <c r="L4" s="751"/>
      <c r="M4" s="751"/>
      <c r="N4" s="751"/>
      <c r="O4" s="751"/>
      <c r="P4" s="751"/>
      <c r="Q4" s="751"/>
    </row>
    <row r="5" spans="1:29" ht="37.200000000000003">
      <c r="A5" s="2245"/>
      <c r="B5" s="315" t="s">
        <v>2258</v>
      </c>
      <c r="C5" s="2266" t="s">
        <v>2259</v>
      </c>
      <c r="D5" s="2263"/>
      <c r="E5" s="2267"/>
      <c r="F5" s="315" t="s">
        <v>2260</v>
      </c>
      <c r="G5" s="2268" t="s">
        <v>2261</v>
      </c>
      <c r="H5" s="751"/>
      <c r="I5" s="751"/>
      <c r="J5" s="751"/>
      <c r="K5" s="751"/>
      <c r="L5" s="751"/>
      <c r="M5" s="751"/>
      <c r="N5" s="751"/>
      <c r="O5" s="751"/>
      <c r="P5" s="751"/>
      <c r="Q5" s="751"/>
    </row>
    <row r="6" spans="1:29" ht="48">
      <c r="A6" s="2245"/>
      <c r="B6" s="315" t="s">
        <v>2262</v>
      </c>
      <c r="C6" s="2268" t="s">
        <v>2257</v>
      </c>
      <c r="D6" s="2263"/>
      <c r="E6" s="2267"/>
      <c r="F6" s="315" t="s">
        <v>2263</v>
      </c>
      <c r="G6" s="2268" t="s">
        <v>2264</v>
      </c>
      <c r="H6" s="751"/>
      <c r="I6" s="751"/>
      <c r="J6" s="751"/>
      <c r="K6" s="751"/>
      <c r="L6" s="751"/>
      <c r="M6" s="751"/>
      <c r="N6" s="751"/>
      <c r="O6" s="751"/>
      <c r="P6" s="751"/>
      <c r="Q6" s="751"/>
    </row>
    <row r="7" spans="1:29" ht="36.6" thickBot="1">
      <c r="A7" s="2245"/>
      <c r="B7" s="315" t="s">
        <v>2260</v>
      </c>
      <c r="C7" s="2268" t="s">
        <v>2261</v>
      </c>
      <c r="D7" s="2242"/>
      <c r="E7" s="2269"/>
      <c r="F7" s="2270" t="s">
        <v>2265</v>
      </c>
      <c r="G7" s="2271" t="s">
        <v>2266</v>
      </c>
      <c r="H7" s="751"/>
      <c r="I7" s="751"/>
      <c r="J7" s="751"/>
      <c r="K7" s="751"/>
      <c r="L7" s="751"/>
      <c r="M7" s="751"/>
      <c r="N7" s="751"/>
      <c r="O7" s="751"/>
      <c r="P7" s="751"/>
      <c r="Q7" s="751"/>
    </row>
    <row r="8" spans="1:29" ht="24">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5"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5" t="s">
        <v>2263</v>
      </c>
      <c r="G20" s="2291" t="str">
        <f>G6</f>
        <v>估价对象所在区域基础设施水平</v>
      </c>
    </row>
    <row r="21" spans="1:17" ht="26.4">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4.4"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4.4"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772.54</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45747</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SUM(D14:D23)</f>
        <v>812</v>
      </c>
      <c r="C5" s="2297">
        <f ca="1">IF(B5=D14,结果表!H102,ROUND(B5*10000/$B$1,0))</f>
        <v>10511</v>
      </c>
      <c r="D5" s="2297" t="e">
        <f>ROUND(B5*10000/$B$2,0)</f>
        <v>#DIV/0!</v>
      </c>
      <c r="E5" s="2458"/>
      <c r="F5" s="2459"/>
      <c r="G5" s="2459"/>
      <c r="H5" s="2459"/>
      <c r="I5" s="2459"/>
      <c r="J5" s="2459"/>
      <c r="K5" s="2459"/>
    </row>
    <row r="6" spans="1:11" ht="15.6">
      <c r="A6" s="2297" t="s">
        <v>656</v>
      </c>
      <c r="B6" s="2297">
        <f>SUM(G14:G23)</f>
        <v>812</v>
      </c>
      <c r="C6" s="2297">
        <f ca="1">IF(B6=G14,结果表!H108,ROUND(B6*10000/$B$1,0))</f>
        <v>0</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4"/>
      <c r="C9" s="2458"/>
      <c r="D9" s="2458"/>
      <c r="E9" s="2458"/>
      <c r="F9" s="2459"/>
      <c r="G9" s="2459"/>
      <c r="H9" s="2459"/>
      <c r="I9" s="2459"/>
      <c r="J9" s="2459"/>
      <c r="K9" s="2459"/>
    </row>
    <row r="10" spans="1:11" ht="15.6">
      <c r="A10" s="2297" t="s">
        <v>654</v>
      </c>
      <c r="B10" s="2297">
        <f>IF(E10="",0,ROUND(B1*(E10*365/G10)/10000,0))</f>
        <v>0</v>
      </c>
      <c r="C10" s="2297" t="s">
        <v>3356</v>
      </c>
      <c r="D10" s="2297" t="s">
        <v>3357</v>
      </c>
      <c r="E10" s="3133"/>
      <c r="F10" s="3137" t="s">
        <v>3358</v>
      </c>
      <c r="G10" s="3134"/>
      <c r="H10" s="2459"/>
      <c r="I10" s="2459"/>
      <c r="J10" s="2459"/>
      <c r="K10" s="2459"/>
    </row>
    <row r="11" spans="1:11" ht="15.6">
      <c r="A11" s="2297"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分套价值!D6</f>
        <v>772.54</v>
      </c>
      <c r="C14" s="2303"/>
      <c r="D14" s="2303">
        <f>分套价值!F6</f>
        <v>812</v>
      </c>
      <c r="E14" s="2303">
        <f>分套价值!E6</f>
        <v>10500</v>
      </c>
      <c r="F14" s="2303" t="e">
        <f>ROUND(D14*10000/C14,0)</f>
        <v>#DIV/0!</v>
      </c>
      <c r="G14" s="2303">
        <f>D14</f>
        <v>812</v>
      </c>
      <c r="H14" s="2303"/>
      <c r="I14" s="2303"/>
      <c r="J14" s="2459"/>
      <c r="K14" s="2459"/>
    </row>
    <row r="15" spans="1:11" ht="15.6">
      <c r="A15" s="2302" t="s">
        <v>649</v>
      </c>
      <c r="B15" s="2303"/>
      <c r="C15" s="2304"/>
      <c r="D15" s="2303"/>
      <c r="E15" s="2303"/>
      <c r="F15" s="2303" t="e">
        <f t="shared" ref="F15:F23" si="0">ROUND(D15*10000/C15,0)</f>
        <v>#DIV/0!</v>
      </c>
      <c r="G15" s="1244"/>
      <c r="H15" s="1244"/>
      <c r="I15" s="2304"/>
      <c r="J15" s="2459"/>
      <c r="K15" s="2459"/>
    </row>
    <row r="16" spans="1:11" ht="15.6">
      <c r="A16" s="2302" t="s">
        <v>648</v>
      </c>
      <c r="B16" s="2303"/>
      <c r="C16" s="2304"/>
      <c r="D16" s="2303"/>
      <c r="E16" s="2303"/>
      <c r="F16" s="2303" t="e">
        <f t="shared" si="0"/>
        <v>#DIV/0!</v>
      </c>
      <c r="G16" s="1244"/>
      <c r="H16" s="1244"/>
      <c r="I16" s="2304"/>
      <c r="J16" s="2459"/>
      <c r="K16" s="2459"/>
    </row>
    <row r="17" spans="1:11" ht="15.6">
      <c r="A17" s="2302" t="s">
        <v>647</v>
      </c>
      <c r="B17" s="2303"/>
      <c r="C17" s="2304"/>
      <c r="D17" s="2303"/>
      <c r="E17" s="2303"/>
      <c r="F17" s="2303" t="e">
        <f t="shared" si="0"/>
        <v>#DIV/0!</v>
      </c>
      <c r="G17" s="1244"/>
      <c r="H17" s="1244"/>
      <c r="I17" s="2304"/>
      <c r="J17" s="2459"/>
      <c r="K17" s="2459"/>
    </row>
    <row r="18" spans="1:11" ht="15.6">
      <c r="A18" s="2302" t="s">
        <v>646</v>
      </c>
      <c r="B18" s="2304"/>
      <c r="C18" s="2304"/>
      <c r="D18" s="2304"/>
      <c r="E18" s="2303" t="e">
        <f t="shared" ref="E18:E23" si="1">ROUND(D18*10000/B18,0)</f>
        <v>#DIV/0!</v>
      </c>
      <c r="F18" s="2303" t="e">
        <f t="shared" si="0"/>
        <v>#DIV/0!</v>
      </c>
      <c r="G18" s="2304"/>
      <c r="H18" s="2304"/>
      <c r="I18" s="2304"/>
      <c r="J18" s="2459"/>
      <c r="K18" s="2459"/>
    </row>
    <row r="19" spans="1:11" ht="15.6">
      <c r="A19" s="2302" t="s">
        <v>645</v>
      </c>
      <c r="B19" s="2304"/>
      <c r="C19" s="2304"/>
      <c r="D19" s="2304"/>
      <c r="E19" s="2303" t="e">
        <f t="shared" si="1"/>
        <v>#DIV/0!</v>
      </c>
      <c r="F19" s="2303" t="e">
        <f t="shared" si="0"/>
        <v>#DIV/0!</v>
      </c>
      <c r="G19" s="2304"/>
      <c r="H19" s="2304"/>
      <c r="I19" s="2304"/>
      <c r="J19" s="2459"/>
      <c r="K19" s="2459"/>
    </row>
    <row r="20" spans="1:11" ht="15.6">
      <c r="A20" s="2302" t="s">
        <v>644</v>
      </c>
      <c r="B20" s="2304"/>
      <c r="C20" s="2304"/>
      <c r="D20" s="2304"/>
      <c r="E20" s="2303" t="e">
        <f t="shared" si="1"/>
        <v>#DIV/0!</v>
      </c>
      <c r="F20" s="2303" t="e">
        <f t="shared" si="0"/>
        <v>#DIV/0!</v>
      </c>
      <c r="G20" s="2304"/>
      <c r="H20" s="2304"/>
      <c r="I20" s="2304"/>
      <c r="J20" s="2459"/>
      <c r="K20" s="2459"/>
    </row>
    <row r="21" spans="1:11" ht="15.6">
      <c r="A21" s="2302" t="s">
        <v>643</v>
      </c>
      <c r="B21" s="2304"/>
      <c r="C21" s="2304"/>
      <c r="D21" s="2304"/>
      <c r="E21" s="2303" t="e">
        <f t="shared" si="1"/>
        <v>#DIV/0!</v>
      </c>
      <c r="F21" s="2303" t="e">
        <f t="shared" si="0"/>
        <v>#DIV/0!</v>
      </c>
      <c r="G21" s="2304"/>
      <c r="H21" s="2304"/>
      <c r="I21" s="2304"/>
      <c r="J21" s="2459"/>
      <c r="K21" s="2459"/>
    </row>
    <row r="22" spans="1:11" ht="15.6">
      <c r="A22" s="2302" t="s">
        <v>642</v>
      </c>
      <c r="B22" s="2304"/>
      <c r="C22" s="2304"/>
      <c r="D22" s="2304"/>
      <c r="E22" s="2303" t="e">
        <f t="shared" si="1"/>
        <v>#DIV/0!</v>
      </c>
      <c r="F22" s="2303" t="e">
        <f t="shared" si="0"/>
        <v>#DIV/0!</v>
      </c>
      <c r="G22" s="2304"/>
      <c r="H22" s="2304"/>
      <c r="I22" s="2304"/>
      <c r="J22" s="2459"/>
      <c r="K22" s="2459"/>
    </row>
    <row r="23" spans="1:11" ht="15.6">
      <c r="A23" s="2302" t="s">
        <v>641</v>
      </c>
      <c r="B23" s="2304"/>
      <c r="C23" s="2304"/>
      <c r="D23" s="2304"/>
      <c r="E23" s="1244" t="e">
        <f t="shared" si="1"/>
        <v>#DIV/0!</v>
      </c>
      <c r="F23" s="1244" t="e">
        <f t="shared" si="0"/>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E5EB9-F481-46BD-B74F-99DACBBE5CD5}">
  <sheetPr>
    <tabColor rgb="FF7030A0"/>
  </sheetPr>
  <dimension ref="A1:F9"/>
  <sheetViews>
    <sheetView tabSelected="1" workbookViewId="0">
      <selection activeCell="A10" sqref="A10"/>
    </sheetView>
  </sheetViews>
  <sheetFormatPr defaultRowHeight="14.4"/>
  <cols>
    <col min="1" max="1" width="41.44140625" customWidth="1"/>
    <col min="2" max="2" width="54.109375" customWidth="1"/>
    <col min="3" max="3" width="13.21875" customWidth="1"/>
  </cols>
  <sheetData>
    <row r="1" spans="1:6">
      <c r="B1" s="1405" t="s">
        <v>3423</v>
      </c>
      <c r="C1" s="1405" t="s">
        <v>3421</v>
      </c>
      <c r="D1" s="1405" t="s">
        <v>3392</v>
      </c>
      <c r="E1" s="1405" t="s">
        <v>3393</v>
      </c>
      <c r="F1" s="1405" t="s">
        <v>3422</v>
      </c>
    </row>
    <row r="2" spans="1:6">
      <c r="A2" s="1405" t="s">
        <v>3428</v>
      </c>
      <c r="B2" s="1405" t="s">
        <v>3424</v>
      </c>
      <c r="C2" t="str">
        <f>'数据-基础表'!C13</f>
        <v>（1）办号</v>
      </c>
      <c r="D2">
        <f>'数据-基础表'!G13</f>
        <v>277.76</v>
      </c>
      <c r="E2">
        <v>10500</v>
      </c>
      <c r="F2">
        <f>ROUND(D2*E2/10000,0)</f>
        <v>292</v>
      </c>
    </row>
    <row r="3" spans="1:6">
      <c r="A3" s="1405" t="s">
        <v>3429</v>
      </c>
      <c r="B3" s="1405" t="s">
        <v>3425</v>
      </c>
      <c r="C3" t="str">
        <f>'数据-基础表'!C14</f>
        <v>（2）办号</v>
      </c>
      <c r="D3">
        <f>'数据-基础表'!G14</f>
        <v>277.76</v>
      </c>
      <c r="E3">
        <v>10500</v>
      </c>
      <c r="F3">
        <f t="shared" ref="F3:F5" si="0">ROUND(D3*E3/10000,0)</f>
        <v>292</v>
      </c>
    </row>
    <row r="4" spans="1:6">
      <c r="A4" s="1405" t="s">
        <v>3430</v>
      </c>
      <c r="B4" s="1405" t="s">
        <v>3426</v>
      </c>
      <c r="C4" t="str">
        <f>'数据-基础表'!C15</f>
        <v>（3）办号</v>
      </c>
      <c r="D4">
        <f>'数据-基础表'!G15</f>
        <v>108.51</v>
      </c>
      <c r="E4">
        <v>10500</v>
      </c>
      <c r="F4">
        <f t="shared" si="0"/>
        <v>114</v>
      </c>
    </row>
    <row r="5" spans="1:6">
      <c r="A5" s="1405" t="s">
        <v>3431</v>
      </c>
      <c r="B5" s="1405" t="s">
        <v>3427</v>
      </c>
      <c r="C5" t="str">
        <f>'数据-基础表'!C16</f>
        <v>（4）办号</v>
      </c>
      <c r="D5">
        <f>'数据-基础表'!G16</f>
        <v>108.51</v>
      </c>
      <c r="E5">
        <v>10500</v>
      </c>
      <c r="F5">
        <f t="shared" si="0"/>
        <v>114</v>
      </c>
    </row>
    <row r="6" spans="1:6">
      <c r="D6">
        <f>SUM(D2:D5)</f>
        <v>772.54</v>
      </c>
      <c r="E6">
        <v>10500</v>
      </c>
      <c r="F6">
        <f>SUM(F2:F5)</f>
        <v>812</v>
      </c>
    </row>
    <row r="9" spans="1:6">
      <c r="A9" s="1405" t="s">
        <v>3432</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0" t="str">
        <f>项目基本情况!S2</f>
        <v>武汉市湖北省武汉市江汉区新华路468号CFD时代财富中心/栋/单元19层（1）、（2）、（3）、（4）办号房地产</v>
      </c>
      <c r="B2" s="3311"/>
      <c r="C2" s="3311"/>
      <c r="D2" s="3311"/>
      <c r="E2" s="3311"/>
      <c r="F2" s="3311"/>
      <c r="G2" s="3311"/>
      <c r="H2" s="3311"/>
      <c r="I2" s="3312"/>
    </row>
    <row r="3" spans="1:12" ht="13.2">
      <c r="A3" s="3314" t="s">
        <v>1264</v>
      </c>
      <c r="B3" s="3315"/>
      <c r="C3" s="3315"/>
      <c r="D3" s="3315"/>
      <c r="E3" s="3315"/>
      <c r="F3" s="3315"/>
      <c r="G3" s="3315"/>
      <c r="H3" s="3315"/>
      <c r="I3" s="3315"/>
    </row>
    <row r="4" spans="1:12" ht="14.4">
      <c r="A4" s="1624" t="s">
        <v>1265</v>
      </c>
      <c r="B4" s="1625" t="s">
        <v>1266</v>
      </c>
      <c r="C4" s="1626"/>
      <c r="D4" s="1626"/>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58" t="s">
        <v>1268</v>
      </c>
      <c r="B5" s="3313">
        <v>25</v>
      </c>
      <c r="C5" s="3316"/>
      <c r="D5" s="3304"/>
      <c r="E5" s="123" t="s">
        <v>1269</v>
      </c>
      <c r="F5" s="1627"/>
      <c r="G5" s="1627"/>
      <c r="H5" s="1627"/>
      <c r="I5" s="1281"/>
    </row>
    <row r="6" spans="1:12" ht="13.2">
      <c r="A6" s="3258"/>
      <c r="B6" s="3313"/>
      <c r="C6" s="3318"/>
      <c r="D6" s="3304"/>
      <c r="E6" s="123" t="s">
        <v>1270</v>
      </c>
      <c r="F6" s="1627"/>
      <c r="G6" s="1627"/>
      <c r="H6" s="1627"/>
      <c r="I6" s="1281"/>
    </row>
    <row r="7" spans="1:12" ht="13.2">
      <c r="A7" s="3258"/>
      <c r="B7" s="3313"/>
      <c r="C7" s="3317"/>
      <c r="D7" s="3304"/>
      <c r="E7" s="123" t="s">
        <v>1271</v>
      </c>
      <c r="F7" s="1627"/>
      <c r="G7" s="1627"/>
      <c r="H7" s="1627"/>
      <c r="I7" s="1281"/>
    </row>
    <row r="8" spans="1:12" ht="13.2">
      <c r="A8" s="3258" t="s">
        <v>1272</v>
      </c>
      <c r="B8" s="3313">
        <v>15</v>
      </c>
      <c r="C8" s="3316"/>
      <c r="D8" s="3304"/>
      <c r="E8" s="123" t="s">
        <v>1273</v>
      </c>
      <c r="F8" s="1627"/>
      <c r="G8" s="1627"/>
      <c r="H8" s="1627"/>
      <c r="I8" s="1281"/>
    </row>
    <row r="9" spans="1:12" ht="13.2">
      <c r="A9" s="3258"/>
      <c r="B9" s="3313"/>
      <c r="C9" s="3317"/>
      <c r="D9" s="3304"/>
      <c r="E9" s="123" t="s">
        <v>1274</v>
      </c>
      <c r="F9" s="1627"/>
      <c r="G9" s="1627"/>
      <c r="H9" s="1627"/>
      <c r="I9" s="1281"/>
    </row>
    <row r="10" spans="1:12" ht="13.2">
      <c r="A10" s="3258" t="s">
        <v>1275</v>
      </c>
      <c r="B10" s="3313">
        <v>15</v>
      </c>
      <c r="C10" s="3316"/>
      <c r="D10" s="3304"/>
      <c r="E10" s="123" t="s">
        <v>1276</v>
      </c>
      <c r="F10" s="1627"/>
      <c r="G10" s="1627"/>
      <c r="H10" s="1627"/>
      <c r="I10" s="1281"/>
    </row>
    <row r="11" spans="1:12" ht="13.2">
      <c r="A11" s="3258"/>
      <c r="B11" s="3313"/>
      <c r="C11" s="3317"/>
      <c r="D11" s="3304"/>
      <c r="E11" s="123" t="s">
        <v>1277</v>
      </c>
      <c r="F11" s="1627"/>
      <c r="G11" s="1627"/>
      <c r="H11" s="1627"/>
      <c r="I11" s="1281"/>
    </row>
    <row r="12" spans="1:12" ht="13.2">
      <c r="A12" s="3258" t="s">
        <v>1278</v>
      </c>
      <c r="B12" s="3313">
        <v>15</v>
      </c>
      <c r="C12" s="3316"/>
      <c r="D12" s="3304"/>
      <c r="E12" s="123" t="s">
        <v>1279</v>
      </c>
      <c r="F12" s="1627"/>
      <c r="G12" s="1627"/>
      <c r="H12" s="1627"/>
      <c r="I12" s="1281"/>
    </row>
    <row r="13" spans="1:12" ht="13.2">
      <c r="A13" s="3258"/>
      <c r="B13" s="3313"/>
      <c r="C13" s="3317"/>
      <c r="D13" s="3304"/>
      <c r="E13" s="123" t="s">
        <v>1280</v>
      </c>
      <c r="F13" s="1627"/>
      <c r="G13" s="1627"/>
      <c r="H13" s="1627"/>
      <c r="I13" s="1281"/>
    </row>
    <row r="14" spans="1:12" ht="13.2">
      <c r="A14" s="3258" t="s">
        <v>1281</v>
      </c>
      <c r="B14" s="3313">
        <v>30</v>
      </c>
      <c r="C14" s="3316"/>
      <c r="D14" s="3304"/>
      <c r="E14" s="123" t="s">
        <v>1282</v>
      </c>
      <c r="F14" s="1627"/>
      <c r="G14" s="1627"/>
      <c r="H14" s="1627"/>
      <c r="I14" s="1281"/>
    </row>
    <row r="15" spans="1:12" ht="13.2">
      <c r="A15" s="3258"/>
      <c r="B15" s="3313"/>
      <c r="C15" s="3318"/>
      <c r="D15" s="3304"/>
      <c r="E15" s="123" t="s">
        <v>1283</v>
      </c>
      <c r="F15" s="1627"/>
      <c r="G15" s="1627"/>
      <c r="H15" s="1627"/>
      <c r="I15" s="1281"/>
    </row>
    <row r="16" spans="1:12" ht="13.2">
      <c r="A16" s="3258"/>
      <c r="B16" s="3313"/>
      <c r="C16" s="3317"/>
      <c r="D16" s="3304"/>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35" t="s">
        <v>2131</v>
      </c>
      <c r="F18" s="3336"/>
      <c r="G18" s="3336"/>
      <c r="H18" s="3336"/>
      <c r="I18" s="3336"/>
      <c r="K18" s="294" t="s">
        <v>1289</v>
      </c>
      <c r="L18" s="294">
        <f>IF(C1="",'数据-汇总表'!E3,SUMIF(项目类型,C1,'数据-汇总表'!E17:E26)+SUMIF(项目类型,C1,'数据-汇总表'!I17:I26))</f>
        <v>772.54</v>
      </c>
      <c r="M18" s="294">
        <f>IF(C1="",'数据-汇总表'!E3,SUMIF(项目类型,C1,'数据-汇总表'!E17:E26))</f>
        <v>772.54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28" t="s">
        <v>1299</v>
      </c>
      <c r="B24" s="1631" t="s">
        <v>1291</v>
      </c>
      <c r="C24" s="128">
        <f>IF(B30=0,0,D30)</f>
        <v>0</v>
      </c>
      <c r="D24" s="1637"/>
      <c r="E24" s="121"/>
      <c r="F24" s="121"/>
      <c r="G24" s="121"/>
      <c r="H24" s="121"/>
      <c r="I24" s="121"/>
    </row>
    <row r="25" spans="1:36" ht="14.4">
      <c r="A25" s="332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0"/>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05" t="s">
        <v>1312</v>
      </c>
      <c r="B36" s="1652" t="s">
        <v>1313</v>
      </c>
      <c r="C36" s="137"/>
      <c r="D36" s="1653"/>
      <c r="E36" s="1567"/>
      <c r="F36" s="1654"/>
      <c r="G36" s="121"/>
      <c r="H36" s="121"/>
      <c r="I36" s="121"/>
    </row>
    <row r="37" spans="1:15" ht="15" thickBot="1">
      <c r="A37" s="3306"/>
      <c r="B37" s="1555" t="s">
        <v>1314</v>
      </c>
      <c r="C37" s="139"/>
      <c r="D37" s="1071"/>
      <c r="E37" s="1071"/>
      <c r="F37" s="1654"/>
      <c r="G37" s="121"/>
      <c r="H37" s="121"/>
      <c r="I37" s="121"/>
    </row>
    <row r="38" spans="1:15" ht="15" thickBot="1">
      <c r="A38" s="330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5" t="s">
        <v>1326</v>
      </c>
      <c r="B45" s="3326"/>
      <c r="C45" s="3327"/>
      <c r="D45" s="147" t="e">
        <f ca="1">ROUND(H101*F45,0)</f>
        <v>#REF!</v>
      </c>
      <c r="E45" s="148" t="s">
        <v>1327</v>
      </c>
      <c r="F45" s="149">
        <v>1</v>
      </c>
      <c r="G45" s="150" t="s">
        <v>1328</v>
      </c>
      <c r="H45" s="121"/>
      <c r="I45" s="121"/>
      <c r="J45" s="3245" t="s">
        <v>1329</v>
      </c>
      <c r="K45" s="3245"/>
      <c r="L45" s="3245"/>
      <c r="M45" s="3245"/>
      <c r="N45" s="3245"/>
      <c r="O45" s="3245"/>
    </row>
    <row r="46" spans="1:15" ht="14.25" customHeight="1">
      <c r="A46" s="3322" t="s">
        <v>1330</v>
      </c>
      <c r="B46" s="3323"/>
      <c r="C46" s="3323"/>
      <c r="D46" s="3323"/>
      <c r="E46" s="3323"/>
      <c r="F46" s="3323"/>
      <c r="G46" s="3324"/>
      <c r="H46" s="1668"/>
      <c r="I46" s="151"/>
      <c r="J46" s="2307">
        <v>1</v>
      </c>
      <c r="K46" s="3246" t="s">
        <v>1331</v>
      </c>
      <c r="L46" s="3246"/>
      <c r="M46" s="3247"/>
      <c r="N46" s="3247"/>
      <c r="O46" s="3247"/>
    </row>
    <row r="47" spans="1:15" ht="12" customHeight="1">
      <c r="A47" s="152" t="s">
        <v>1332</v>
      </c>
      <c r="B47" s="153"/>
      <c r="C47" s="154"/>
      <c r="D47" s="1024" t="s">
        <v>1333</v>
      </c>
      <c r="E47" s="294" t="s">
        <v>1334</v>
      </c>
      <c r="F47" s="155" t="s">
        <v>1335</v>
      </c>
      <c r="G47" s="2330" t="s">
        <v>1336</v>
      </c>
      <c r="H47" s="2331"/>
      <c r="I47" s="151"/>
      <c r="J47" s="2307">
        <v>2</v>
      </c>
      <c r="K47" s="3246" t="s">
        <v>1337</v>
      </c>
      <c r="L47" s="3246"/>
      <c r="M47" s="3248">
        <f>'数据-取费表'!B2</f>
        <v>45747</v>
      </c>
      <c r="N47" s="3248"/>
      <c r="O47" s="3248"/>
    </row>
    <row r="48" spans="1:15" ht="26.4">
      <c r="A48" s="3308" t="s">
        <v>1338</v>
      </c>
      <c r="B48" s="3309"/>
      <c r="C48" s="3309"/>
      <c r="D48" s="12" t="b">
        <f>IF(H48="情况1",0,IF(H48="情况2",D52,IF(H48="情况3",D53,IF(H48="情况4",D54))))</f>
        <v>0</v>
      </c>
      <c r="E48" s="1256" t="str">
        <f>IF(H48="情况4","(销售额-原购置价)×税（费）率","销售额×税（费）率")</f>
        <v>销售额×税（费）率</v>
      </c>
      <c r="F48" s="2332">
        <f>IF(H48="情况1","免征",'数据-取费表'!B41)</f>
        <v>0</v>
      </c>
      <c r="G48" s="2333" t="s">
        <v>1339</v>
      </c>
      <c r="H48" s="2334"/>
      <c r="I48" s="1668"/>
      <c r="J48" s="2307">
        <v>3</v>
      </c>
      <c r="K48" s="3246" t="s">
        <v>1340</v>
      </c>
      <c r="L48" s="3246"/>
      <c r="M48" s="3249" t="e">
        <f ca="1">H101</f>
        <v>#REF!</v>
      </c>
      <c r="N48" s="3249"/>
      <c r="O48" s="3249"/>
    </row>
    <row r="49" spans="1:35" ht="25.5" customHeight="1">
      <c r="A49" s="2152" t="s">
        <v>1341</v>
      </c>
      <c r="B49" s="3294" t="s">
        <v>1342</v>
      </c>
      <c r="C49" s="3294"/>
      <c r="D49" s="1478">
        <v>0</v>
      </c>
      <c r="E49" s="316" t="s">
        <v>1343</v>
      </c>
      <c r="F49" s="2230" t="s">
        <v>28</v>
      </c>
      <c r="G49" s="3277"/>
      <c r="H49" s="2134" t="s">
        <v>2134</v>
      </c>
      <c r="I49" s="2135"/>
      <c r="J49" s="2307">
        <v>4</v>
      </c>
      <c r="K49" s="3246" t="str">
        <f>IF(项目基本情况!E8="房地产抵押价值","房地产抵押价值","抵押担保权已注销时的房地产抵押价值")</f>
        <v>房地产抵押价值</v>
      </c>
      <c r="L49" s="3246"/>
      <c r="M49" s="3249" t="str">
        <f ca="1">IF(项目基本情况!E8="房地产抵押价值",H107,H109)</f>
        <v>——</v>
      </c>
      <c r="N49" s="3249"/>
      <c r="O49" s="3249"/>
    </row>
    <row r="50" spans="1:35" ht="25.5" customHeight="1">
      <c r="A50" s="2335"/>
      <c r="B50" s="3294" t="s">
        <v>1344</v>
      </c>
      <c r="C50" s="3294"/>
      <c r="D50" s="2189"/>
      <c r="E50" s="323"/>
      <c r="F50" s="2230"/>
      <c r="G50" s="3278"/>
      <c r="H50" s="2136" t="s">
        <v>2135</v>
      </c>
      <c r="I50" s="2135"/>
      <c r="J50" s="3245" t="s">
        <v>1345</v>
      </c>
      <c r="K50" s="3245"/>
      <c r="L50" s="3245"/>
      <c r="M50" s="3245"/>
      <c r="N50" s="3245"/>
      <c r="O50" s="3245"/>
    </row>
    <row r="51" spans="1:35" ht="20.399999999999999" customHeight="1">
      <c r="A51" s="2336"/>
      <c r="B51" s="3294" t="s">
        <v>1346</v>
      </c>
      <c r="C51" s="3294"/>
      <c r="D51" s="1024"/>
      <c r="E51" s="319"/>
      <c r="F51" s="2230"/>
      <c r="G51" s="3279"/>
      <c r="H51" s="2136" t="s">
        <v>2136</v>
      </c>
      <c r="I51" s="2135"/>
      <c r="J51" s="2308" t="s">
        <v>1347</v>
      </c>
      <c r="K51" s="3246" t="s">
        <v>1348</v>
      </c>
      <c r="L51" s="3246"/>
      <c r="M51" s="2308" t="s">
        <v>1349</v>
      </c>
      <c r="N51" s="2308" t="s">
        <v>1350</v>
      </c>
      <c r="O51" s="2308" t="s">
        <v>1351</v>
      </c>
    </row>
    <row r="52" spans="1:35" ht="24" customHeight="1">
      <c r="A52" s="2153" t="s">
        <v>1352</v>
      </c>
      <c r="B52" s="3294" t="s">
        <v>1353</v>
      </c>
      <c r="C52" s="3294"/>
      <c r="D52" s="1024" t="e">
        <f ca="1">ROUND(D45*'数据-取费表'!B41/(1+'数据-取费表'!C42),0)</f>
        <v>#REF!</v>
      </c>
      <c r="E52" s="1256" t="s">
        <v>1354</v>
      </c>
      <c r="F52" s="2337">
        <f>'数据-取费表'!B41</f>
        <v>0</v>
      </c>
      <c r="G52" s="2338"/>
      <c r="H52" s="2328"/>
      <c r="I52" s="1669"/>
      <c r="J52" s="2307">
        <v>1</v>
      </c>
      <c r="K52" s="3271" t="s">
        <v>1355</v>
      </c>
      <c r="L52" s="3271"/>
      <c r="M52" s="2309" t="b">
        <f>D48</f>
        <v>0</v>
      </c>
      <c r="N52" s="2307" t="str">
        <f>E48</f>
        <v>销售额×税（费）率</v>
      </c>
      <c r="O52" s="2310">
        <f>F48</f>
        <v>0</v>
      </c>
    </row>
    <row r="53" spans="1:35" ht="12" customHeight="1">
      <c r="A53" s="2153" t="s">
        <v>1356</v>
      </c>
      <c r="B53" s="3295" t="s">
        <v>2291</v>
      </c>
      <c r="C53" s="3296"/>
      <c r="D53" s="1024" t="e">
        <f ca="1">ROUND(D45*'数据-取费表'!B41/(1+'数据-取费表'!C42),0)</f>
        <v>#REF!</v>
      </c>
      <c r="E53" s="1256" t="s">
        <v>1354</v>
      </c>
      <c r="F53" s="2337">
        <f>'数据-取费表'!B41</f>
        <v>0</v>
      </c>
      <c r="G53" s="2338"/>
      <c r="H53" s="2328"/>
      <c r="I53" s="1669"/>
      <c r="J53" s="2307">
        <v>2</v>
      </c>
      <c r="K53" s="3271" t="s">
        <v>1357</v>
      </c>
      <c r="L53" s="3271"/>
      <c r="M53" s="2309" t="e">
        <f t="shared" ref="M53:O54" ca="1" si="0">D55</f>
        <v>#REF!</v>
      </c>
      <c r="N53" s="2307" t="str">
        <f t="shared" si="0"/>
        <v>销售额×税（费）率</v>
      </c>
      <c r="O53" s="2310" t="str">
        <f t="shared" si="0"/>
        <v>免征</v>
      </c>
    </row>
    <row r="54" spans="1:35" ht="12" customHeight="1">
      <c r="A54" s="2153" t="s">
        <v>1358</v>
      </c>
      <c r="B54" s="3295" t="s">
        <v>2292</v>
      </c>
      <c r="C54" s="3296"/>
      <c r="D54" s="1024" t="e">
        <f ca="1">C68</f>
        <v>#REF!</v>
      </c>
      <c r="E54" s="319" t="s">
        <v>1359</v>
      </c>
      <c r="F54" s="2337">
        <f>'数据-取费表'!B41</f>
        <v>0</v>
      </c>
      <c r="G54" s="2338"/>
      <c r="H54" s="2339"/>
      <c r="I54" s="1669"/>
      <c r="J54" s="2307">
        <v>3</v>
      </c>
      <c r="K54" s="3271" t="s">
        <v>1360</v>
      </c>
      <c r="L54" s="3271"/>
      <c r="M54" s="2309" t="e">
        <f t="shared" ca="1" si="0"/>
        <v>#REF!</v>
      </c>
      <c r="N54" s="2307" t="str">
        <f t="shared" si="0"/>
        <v>增值额×税（费）率</v>
      </c>
      <c r="O54" s="2311" t="str">
        <f t="shared" si="0"/>
        <v>免征</v>
      </c>
    </row>
    <row r="55" spans="1:35" ht="24" customHeight="1">
      <c r="A55" s="3331" t="s">
        <v>1361</v>
      </c>
      <c r="B55" s="3309"/>
      <c r="C55" s="3309"/>
      <c r="D55" s="12" t="e">
        <f ca="1">IF(H55="个人住宅",0,ROUND(D45*I55,0))</f>
        <v>#REF!</v>
      </c>
      <c r="E55" s="1256" t="s">
        <v>1362</v>
      </c>
      <c r="F55" s="2337" t="str">
        <f>IF(H55="正常",I55,"免征")</f>
        <v>免征</v>
      </c>
      <c r="G55" s="2338"/>
      <c r="H55" s="2334"/>
      <c r="I55" s="157">
        <f>'数据-取费表'!B49</f>
        <v>0</v>
      </c>
      <c r="J55" s="2307">
        <f>IF(H59="非个人房产","",4)</f>
        <v>4</v>
      </c>
      <c r="K55" s="3271" t="str">
        <f>IF(H59="非个人房产","——","个人所得税")</f>
        <v>个人所得税</v>
      </c>
      <c r="L55" s="3271"/>
      <c r="M55" s="2312" t="e">
        <f ca="1">D59</f>
        <v>#REF!</v>
      </c>
      <c r="N55" s="1883" t="str">
        <f>E59</f>
        <v>差额计税</v>
      </c>
      <c r="O55" s="2313">
        <f>F59</f>
        <v>0.01</v>
      </c>
    </row>
    <row r="56" spans="1:35" ht="25.2">
      <c r="A56" s="3331" t="s">
        <v>1363</v>
      </c>
      <c r="B56" s="3309"/>
      <c r="C56" s="3309"/>
      <c r="D56" s="12" t="e">
        <f ca="1">IF(H56="个人住宅",D57,D58)</f>
        <v>#REF!</v>
      </c>
      <c r="E56" s="1256" t="s">
        <v>1364</v>
      </c>
      <c r="F56" s="2337" t="str">
        <f>IF(H56="正常",F58,"免征")</f>
        <v>免征</v>
      </c>
      <c r="G56" s="2340" t="s">
        <v>1365</v>
      </c>
      <c r="H56" s="2341"/>
      <c r="I56" s="1670"/>
      <c r="J56" s="2307" t="str">
        <f>IF(项目基本情况!K6="上海银行",IF(J55="",4,J55+1),"")</f>
        <v/>
      </c>
      <c r="K56" s="3252" t="str">
        <f>IF(项目基本情况!K6="上海银行","其他处置费用","")</f>
        <v/>
      </c>
      <c r="L56" s="3253"/>
      <c r="M56" s="2309" t="str">
        <f>IF(项目基本情况!K6="上海银行",M69,"")</f>
        <v/>
      </c>
      <c r="N56" s="3252" t="str">
        <f>IF(项目基本情况!K6="上海银行","包含处置中涉及的律师、诉讼、拍卖、评估等费用","")</f>
        <v/>
      </c>
      <c r="O56" s="3255"/>
    </row>
    <row r="57" spans="1:35" ht="13.2">
      <c r="A57" s="2153" t="s">
        <v>1341</v>
      </c>
      <c r="B57" s="3295" t="s">
        <v>1366</v>
      </c>
      <c r="C57" s="3296"/>
      <c r="D57" s="1478">
        <v>0</v>
      </c>
      <c r="E57" s="316" t="s">
        <v>1343</v>
      </c>
      <c r="F57" s="294"/>
      <c r="G57" s="2338"/>
      <c r="H57" s="2342"/>
      <c r="I57" s="1670"/>
      <c r="J57" s="3271">
        <f>IF(AND(J55="",J56=""),4,IF(项目基本情况!K6="上海银行",结果表!J56+1,结果表!J55+1))</f>
        <v>5</v>
      </c>
      <c r="K57" s="3271" t="s">
        <v>1367</v>
      </c>
      <c r="L57" s="2314" t="s">
        <v>1368</v>
      </c>
      <c r="M57" s="2315"/>
      <c r="N57" s="2316">
        <f ca="1">SUMIF(M52:M56,"&lt;9e307")</f>
        <v>0</v>
      </c>
      <c r="O57" s="2317"/>
      <c r="P57" s="2461" t="e">
        <f ca="1">N57/M49</f>
        <v>#VALUE!</v>
      </c>
    </row>
    <row r="58" spans="1:35" ht="25.2">
      <c r="A58" s="2153" t="s">
        <v>1352</v>
      </c>
      <c r="B58" s="3295" t="s">
        <v>1369</v>
      </c>
      <c r="C58" s="3294"/>
      <c r="D58" s="12" t="e">
        <f ca="1">IF(H58="转让取得",C81,C97)</f>
        <v>#REF!</v>
      </c>
      <c r="E58" s="1256" t="s">
        <v>1364</v>
      </c>
      <c r="F58" s="294" t="s">
        <v>28</v>
      </c>
      <c r="G58" s="2338"/>
      <c r="H58" s="2341"/>
      <c r="I58" s="1670"/>
      <c r="J58" s="3271"/>
      <c r="K58" s="3271"/>
      <c r="L58" s="2314" t="s">
        <v>1370</v>
      </c>
      <c r="M58" s="2318"/>
      <c r="N58" s="2319" t="str">
        <f ca="1">NUMBERSTRING(INT(N57*10000),2)&amp;"元整"</f>
        <v>零元整</v>
      </c>
      <c r="O58" s="2320"/>
    </row>
    <row r="59" spans="1:35" ht="24.6" thickBot="1">
      <c r="A59" s="3275" t="s">
        <v>1371</v>
      </c>
      <c r="B59" s="3276"/>
      <c r="C59" s="3276"/>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8"/>
      <c r="I59" s="2137" t="s">
        <v>2137</v>
      </c>
      <c r="J59" s="3273">
        <f>J57+1</f>
        <v>6</v>
      </c>
      <c r="K59" s="3271" t="s">
        <v>1372</v>
      </c>
      <c r="L59" s="2307" t="s">
        <v>1368</v>
      </c>
      <c r="M59" s="2321"/>
      <c r="N59" s="2322" t="e">
        <f ca="1">M49-N57</f>
        <v>#VALUE!</v>
      </c>
      <c r="O59" s="2323"/>
    </row>
    <row r="60" spans="1:35" ht="12" customHeight="1">
      <c r="A60" s="1671"/>
      <c r="B60" s="646"/>
      <c r="C60" s="646"/>
      <c r="D60" s="646"/>
      <c r="E60" s="1466"/>
      <c r="F60" s="1670"/>
      <c r="G60" s="1670"/>
      <c r="H60" s="151"/>
      <c r="I60" s="121"/>
      <c r="J60" s="3274"/>
      <c r="K60" s="3271"/>
      <c r="L60" s="2314" t="s">
        <v>1370</v>
      </c>
      <c r="M60" s="2318"/>
      <c r="N60" s="2319" t="e">
        <f ca="1">NUMBERSTRING(INT(N59*10000),2)&amp;"元整"</f>
        <v>#VALUE!</v>
      </c>
      <c r="O60" s="2320"/>
    </row>
    <row r="61" spans="1:35" ht="13.8" thickBot="1">
      <c r="A61" s="3330" t="s">
        <v>1373</v>
      </c>
      <c r="B61" s="3330"/>
      <c r="C61" s="3330"/>
      <c r="D61" s="3330"/>
      <c r="E61" s="3330"/>
      <c r="F61" s="1670"/>
      <c r="G61" s="1670"/>
      <c r="H61" s="151"/>
      <c r="I61" s="121"/>
      <c r="J61" s="2307">
        <f>J59+1</f>
        <v>7</v>
      </c>
      <c r="K61" s="3271" t="s">
        <v>1374</v>
      </c>
      <c r="L61" s="3271"/>
      <c r="M61" s="2324"/>
      <c r="N61" s="2325" t="e">
        <f ca="1">ROUND(N59*10000/'数据-汇总表'!E3,0)</f>
        <v>#VALUE!</v>
      </c>
      <c r="O61" s="2326"/>
    </row>
    <row r="62" spans="1:35" ht="13.2">
      <c r="A62" s="3290" t="s">
        <v>1375</v>
      </c>
      <c r="B62" s="3291"/>
      <c r="C62" s="1865"/>
      <c r="D62" s="1865" t="s">
        <v>1376</v>
      </c>
      <c r="E62" s="158" t="s">
        <v>1377</v>
      </c>
      <c r="F62" s="1670"/>
      <c r="G62" s="1670"/>
      <c r="H62" s="151"/>
      <c r="I62" s="121"/>
    </row>
    <row r="63" spans="1:35" ht="13.2">
      <c r="A63" s="165" t="s">
        <v>330</v>
      </c>
      <c r="B63" s="159" t="s">
        <v>1378</v>
      </c>
      <c r="C63" s="2347" t="e">
        <f ca="1">ROUND((C64+C65)/(1+'数据-取费表'!C42),0)</f>
        <v>#REF!</v>
      </c>
      <c r="D63" s="159"/>
      <c r="E63" s="160"/>
      <c r="F63" s="1670"/>
      <c r="G63" s="1670"/>
      <c r="H63" s="151"/>
      <c r="I63" s="121"/>
      <c r="J63" s="3254" t="s">
        <v>1379</v>
      </c>
      <c r="K63" s="1245" t="s">
        <v>1380</v>
      </c>
      <c r="L63" s="1245" t="e">
        <f ca="1">IF(M49&gt;10000,M49*0.5%,IF(AND(M49&gt;1000,M49&lt;=10000),M49*1%,IF(AND(M49&gt;100,M49&lt;=1000),M49*3%,IF(AND(M49&gt;10,M49&lt;=100),M49*5%,M49*8%))))</f>
        <v>#VALUE!</v>
      </c>
      <c r="M63" s="294" t="e">
        <f ca="1">ROUND(L63,1)</f>
        <v>#VALUE!</v>
      </c>
      <c r="N63" s="2327"/>
      <c r="Z63" s="1623"/>
      <c r="AI63" s="1561"/>
    </row>
    <row r="64" spans="1:35" ht="14.25" customHeight="1">
      <c r="A64" s="161" t="s">
        <v>325</v>
      </c>
      <c r="B64" s="162" t="s">
        <v>1381</v>
      </c>
      <c r="C64" s="2348" t="e">
        <f ca="1">D45</f>
        <v>#REF!</v>
      </c>
      <c r="D64" s="162" t="s">
        <v>26</v>
      </c>
      <c r="E64" s="164"/>
      <c r="F64" s="1670"/>
      <c r="G64" s="1670"/>
      <c r="H64" s="151"/>
      <c r="I64" s="121"/>
      <c r="J64" s="325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8" t="s">
        <v>1383</v>
      </c>
      <c r="Z64" s="1623"/>
      <c r="AI64" s="1561"/>
    </row>
    <row r="65" spans="1:35" ht="14.25" customHeight="1">
      <c r="A65" s="161" t="s">
        <v>326</v>
      </c>
      <c r="B65" s="162" t="s">
        <v>1384</v>
      </c>
      <c r="C65" s="2349"/>
      <c r="D65" s="162"/>
      <c r="E65" s="164"/>
      <c r="F65" s="1670"/>
      <c r="G65" s="1670"/>
      <c r="H65" s="151"/>
      <c r="I65" s="121"/>
      <c r="J65" s="3254"/>
      <c r="K65" s="1245" t="s">
        <v>1385</v>
      </c>
      <c r="L65" s="1245" t="e">
        <f ca="1">IF(M49&gt;1000,M49*0.1%,IF(AND(M49&gt;500,M49&lt;=1000),M49*0.5%,IF(AND(M49&gt;50,M49&lt;=500),M49*1%,IF(AND(M49&gt;1,M49&lt;=50),M49*1.5%))))</f>
        <v>#VALUE!</v>
      </c>
      <c r="M65" s="294" t="e">
        <f t="shared" ca="1" si="1"/>
        <v>#VALUE!</v>
      </c>
      <c r="N65" s="2328" t="s">
        <v>1383</v>
      </c>
      <c r="Z65" s="1623"/>
      <c r="AI65" s="1561"/>
    </row>
    <row r="66" spans="1:35" ht="14.25" customHeight="1">
      <c r="A66" s="165" t="s">
        <v>327</v>
      </c>
      <c r="B66" s="166" t="s">
        <v>1386</v>
      </c>
      <c r="C66" s="2350"/>
      <c r="D66" s="166" t="s">
        <v>26</v>
      </c>
      <c r="E66" s="1251" t="s">
        <v>671</v>
      </c>
      <c r="F66" s="1670"/>
      <c r="G66" s="1670"/>
      <c r="H66" s="151"/>
      <c r="I66" s="121"/>
      <c r="J66" s="3254"/>
      <c r="K66" s="1245" t="s">
        <v>1387</v>
      </c>
      <c r="L66" s="1245" t="e">
        <f ca="1">M49*0.5%</f>
        <v>#VALUE!</v>
      </c>
      <c r="M66" s="294" t="e">
        <f ca="1">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5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7"/>
      <c r="Z67" s="1623"/>
      <c r="AI67" s="1561"/>
    </row>
    <row r="68" spans="1:35" ht="14.25" customHeight="1" thickBot="1">
      <c r="A68" s="168" t="s">
        <v>329</v>
      </c>
      <c r="B68" s="169" t="s">
        <v>1391</v>
      </c>
      <c r="C68" s="2352" t="e">
        <f ca="1">IF(C67&lt;=0,0,ROUND(C67*D68,0))</f>
        <v>#REF!</v>
      </c>
      <c r="D68" s="2353">
        <f>'数据-取费表'!B41</f>
        <v>0</v>
      </c>
      <c r="E68" s="170"/>
      <c r="F68" s="1670"/>
      <c r="G68" s="1670"/>
      <c r="H68" s="151"/>
      <c r="I68" s="121"/>
      <c r="J68" s="3254"/>
      <c r="K68" s="1245" t="s">
        <v>1392</v>
      </c>
      <c r="L68" s="1245" t="e">
        <f ca="1">IF(M49&gt;10000,M49*0.5%,IF(AND(M49&gt;5000,M49&lt;=10000),M49*1%,IF(AND(M49&gt;1000,M49&lt;=5000),M49*2%,IF(AND(M49&gt;200,M49&lt;=1000),M49*3%,M49*5%))))</f>
        <v>#VALUE!</v>
      </c>
      <c r="M68" s="294" t="e">
        <f ca="1">ROUND(L68,1)</f>
        <v>#VALUE!</v>
      </c>
      <c r="N68" s="2327"/>
      <c r="Z68" s="1623"/>
      <c r="AI68" s="1561"/>
    </row>
    <row r="69" spans="1:35" ht="16.5" customHeight="1">
      <c r="A69" s="1672"/>
      <c r="B69" s="1673"/>
      <c r="C69" s="1674"/>
      <c r="D69" s="1675"/>
      <c r="E69" s="1676"/>
      <c r="F69" s="1466"/>
      <c r="G69" s="1466"/>
      <c r="H69" s="1467"/>
      <c r="I69" s="646"/>
      <c r="J69" s="3254"/>
      <c r="K69" s="1245" t="s">
        <v>1393</v>
      </c>
      <c r="L69" s="1245"/>
      <c r="M69" s="294" t="e">
        <f ca="1">ROUND(SUM(M63:M68),0)</f>
        <v>#VALUE!</v>
      </c>
      <c r="N69" s="2329" t="e">
        <f ca="1">M69/M49</f>
        <v>#VALUE!</v>
      </c>
      <c r="Z69" s="1623"/>
      <c r="AI69" s="1561"/>
    </row>
    <row r="70" spans="1:35" s="642" customFormat="1" ht="14.4"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295" t="s">
        <v>1402</v>
      </c>
      <c r="F76" s="3294"/>
      <c r="G76" s="3294"/>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0</v>
      </c>
      <c r="E78" s="3287" t="s">
        <v>1406</v>
      </c>
      <c r="F78" s="3288"/>
      <c r="G78" s="3288"/>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8"/>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8"/>
      <c r="G90" s="3256" t="s">
        <v>2129</v>
      </c>
      <c r="H90" s="3257"/>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87" t="s">
        <v>1419</v>
      </c>
      <c r="F91" s="3288"/>
      <c r="G91" s="328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87" t="s">
        <v>1422</v>
      </c>
      <c r="F92" s="3288"/>
      <c r="G92" s="3288"/>
      <c r="H92" s="3289"/>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0</v>
      </c>
      <c r="E93" s="3287" t="s">
        <v>1406</v>
      </c>
      <c r="F93" s="3288"/>
      <c r="G93" s="3288"/>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32" t="s">
        <v>1426</v>
      </c>
      <c r="F94" s="3333"/>
      <c r="G94" s="3333"/>
      <c r="H94" s="333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72"/>
      <c r="E100" s="3238" t="s">
        <v>1429</v>
      </c>
      <c r="F100" s="3238"/>
      <c r="G100" s="3238"/>
      <c r="H100" s="3272"/>
      <c r="I100" s="121"/>
    </row>
    <row r="101" spans="1:35" ht="18.75" customHeight="1">
      <c r="A101" s="3280" t="s">
        <v>1430</v>
      </c>
      <c r="B101" s="3281"/>
      <c r="C101" s="2368">
        <f>C4</f>
        <v>0</v>
      </c>
      <c r="D101" s="2369">
        <f>D4</f>
        <v>0</v>
      </c>
      <c r="E101" s="3250" t="s">
        <v>1431</v>
      </c>
      <c r="F101" s="3251"/>
      <c r="G101" s="1687" t="s">
        <v>1432</v>
      </c>
      <c r="H101" s="2378" t="e">
        <f ca="1">H118</f>
        <v>#REF!</v>
      </c>
      <c r="I101" s="121"/>
    </row>
    <row r="102" spans="1:35" ht="18.75" customHeight="1">
      <c r="A102" s="3282" t="s">
        <v>1433</v>
      </c>
      <c r="B102" s="2367" t="s">
        <v>1432</v>
      </c>
      <c r="C102" s="2368" t="e">
        <f ca="1">IF(D32="楼面单价",ROUND(C19,0),C19)</f>
        <v>#REF!</v>
      </c>
      <c r="D102" s="2369" t="e">
        <f ca="1">IF(D32="楼面单价",ROUND(D19,0),D19)</f>
        <v>#REF!</v>
      </c>
      <c r="E102" s="3250"/>
      <c r="F102" s="3251"/>
      <c r="G102" s="1687" t="s">
        <v>1434</v>
      </c>
      <c r="H102" s="2338" t="e">
        <f ca="1">I118</f>
        <v>#REF!</v>
      </c>
      <c r="I102" s="121"/>
    </row>
    <row r="103" spans="1:35" ht="42.75" customHeight="1">
      <c r="A103" s="3282"/>
      <c r="B103" s="2367" t="s">
        <v>1434</v>
      </c>
      <c r="C103" s="2370" t="e">
        <f ca="1">C20</f>
        <v>#REF!</v>
      </c>
      <c r="D103" s="2371" t="e">
        <f ca="1">D20</f>
        <v>#REF!</v>
      </c>
      <c r="E103" s="3243" t="s">
        <v>1435</v>
      </c>
      <c r="F103" s="3244"/>
      <c r="G103" s="1688" t="s">
        <v>1436</v>
      </c>
      <c r="H103" s="2378">
        <f>IF(D36="正常操作",H104+H105+H106,H105+H106)</f>
        <v>0</v>
      </c>
      <c r="I103" s="121"/>
    </row>
    <row r="104" spans="1:35" ht="18.75" customHeight="1">
      <c r="A104" s="3282"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292"/>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283" t="str">
        <f>IF(项目基本情况!E8="已注销","——","3.房地产抵押价值")</f>
        <v>3.房地产抵押价值</v>
      </c>
      <c r="F107" s="3251"/>
      <c r="G107" s="1687" t="s">
        <v>1432</v>
      </c>
      <c r="H107" s="2378" t="e">
        <f ca="1">IF(E107="——","——",H101-H103)</f>
        <v>#REF!</v>
      </c>
      <c r="I107" s="121"/>
    </row>
    <row r="108" spans="1:35" ht="18.75" customHeight="1">
      <c r="A108" s="121"/>
      <c r="B108" s="121"/>
      <c r="C108" s="121"/>
      <c r="D108" s="121"/>
      <c r="E108" s="3283"/>
      <c r="F108" s="3251"/>
      <c r="G108" s="1687" t="s">
        <v>1434</v>
      </c>
      <c r="H108" s="2338">
        <f ca="1">IF(H107=H101,H102,ROUND(H107*10000/'数据-汇总表'!E3,0))</f>
        <v>0</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51"/>
      <c r="G109" s="1687" t="s">
        <v>1432</v>
      </c>
      <c r="H109" s="2381" t="str">
        <f>IF(E109="——","——",H101-H105-H106)</f>
        <v>——</v>
      </c>
      <c r="I109" s="121"/>
    </row>
    <row r="110" spans="1:35" ht="18.75" customHeight="1">
      <c r="A110" s="121"/>
      <c r="B110" s="121"/>
      <c r="C110" s="121"/>
      <c r="D110" s="121"/>
      <c r="E110" s="3283"/>
      <c r="F110" s="3251"/>
      <c r="G110" s="1687" t="s">
        <v>1434</v>
      </c>
      <c r="H110" s="2338" t="str">
        <f>IF(H109="——","——",ROUND(H109*10000/'数据-汇总表'!E3,0))</f>
        <v>——</v>
      </c>
      <c r="I110" s="121"/>
    </row>
    <row r="111" spans="1:35" ht="18.75" customHeight="1">
      <c r="A111" s="121"/>
      <c r="B111" s="121"/>
      <c r="C111" s="121"/>
      <c r="D111" s="121"/>
      <c r="E111" s="3284" t="str">
        <f>IF(项目基本情况!E9="抵押净值",IF(OR(项目基本情况!E8="已注销",项目基本情况!E8="房地产抵押价值"),"4.抵押净值","5.抵押净值"),"——")</f>
        <v>——</v>
      </c>
      <c r="F111" s="3270"/>
      <c r="G111" s="1687" t="s">
        <v>1432</v>
      </c>
      <c r="H111" s="2378" t="str">
        <f>IF(E111="——","——",N59)</f>
        <v>——</v>
      </c>
      <c r="I111" s="121"/>
    </row>
    <row r="112" spans="1:35" ht="18.75" customHeight="1" thickBot="1">
      <c r="A112" s="121"/>
      <c r="B112" s="121"/>
      <c r="C112" s="121"/>
      <c r="D112" s="121"/>
      <c r="E112" s="3285"/>
      <c r="F112" s="3286"/>
      <c r="G112" s="1690" t="s">
        <v>1434</v>
      </c>
      <c r="H112" s="2382" t="str">
        <f>IF(E111="——","——",N61)</f>
        <v>——</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1"/>
      <c r="F114" s="1671"/>
      <c r="G114" s="1671"/>
      <c r="H114" s="1671"/>
      <c r="I114" s="646"/>
    </row>
    <row r="115" spans="1:27" ht="18.75" customHeight="1">
      <c r="A115" s="3301" t="s">
        <v>1442</v>
      </c>
      <c r="B115" s="3302"/>
      <c r="C115" s="3302"/>
      <c r="D115" s="3302"/>
      <c r="E115" s="3302"/>
      <c r="F115" s="3302"/>
      <c r="G115" s="3302"/>
      <c r="H115" s="3302"/>
      <c r="I115" s="3303"/>
    </row>
    <row r="116" spans="1:27" ht="27" customHeight="1">
      <c r="A116" s="3258" t="s">
        <v>1443</v>
      </c>
      <c r="B116" s="3262" t="s">
        <v>1444</v>
      </c>
      <c r="C116" s="3262" t="s">
        <v>1445</v>
      </c>
      <c r="D116" s="3268" t="s">
        <v>1446</v>
      </c>
      <c r="E116" s="3269"/>
      <c r="F116" s="3300" t="s">
        <v>1447</v>
      </c>
      <c r="G116" s="3300"/>
      <c r="H116" s="3258" t="s">
        <v>1448</v>
      </c>
      <c r="I116" s="3258"/>
    </row>
    <row r="117" spans="1:27" ht="18.75" customHeight="1">
      <c r="A117" s="3258"/>
      <c r="B117" s="3263"/>
      <c r="C117" s="3263"/>
      <c r="D117" s="2150" t="s">
        <v>1449</v>
      </c>
      <c r="E117" s="2150" t="s">
        <v>1450</v>
      </c>
      <c r="F117" s="2150" t="s">
        <v>1449</v>
      </c>
      <c r="G117" s="2150" t="s">
        <v>1451</v>
      </c>
      <c r="H117" s="2150" t="s">
        <v>1449</v>
      </c>
      <c r="I117" s="2150" t="s">
        <v>1451</v>
      </c>
    </row>
    <row r="118" spans="1:27" ht="24.75" customHeight="1">
      <c r="A118" s="2383" t="str">
        <f>项目基本情况!S2</f>
        <v>武汉市湖北省武汉市江汉区新华路468号CFD时代财富中心/栋/单元19层（1）、（2）、（3）、（4）办号房地产</v>
      </c>
      <c r="B118" s="2150">
        <f>M18</f>
        <v>772.54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8" t="s">
        <v>1452</v>
      </c>
      <c r="B119" s="3258"/>
      <c r="C119" s="3258"/>
      <c r="D119" s="3264" t="e">
        <f ca="1">NUMBERSTRING(INT(D118*10000),2)&amp;"元整"</f>
        <v>#REF!</v>
      </c>
      <c r="E119" s="3265"/>
      <c r="F119" s="3264" t="e">
        <f ca="1">NUMBERSTRING(INT(F118*10000),2)&amp;"元整"</f>
        <v>#REF!</v>
      </c>
      <c r="G119" s="3265"/>
      <c r="H119" s="3264" t="e">
        <f ca="1">NUMBERSTRING(INT(H118*10000),2)&amp;"元整"</f>
        <v>#REF!</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4" t="s">
        <v>1452</v>
      </c>
      <c r="B121" s="3266"/>
      <c r="C121" s="3265"/>
      <c r="D121" s="3264" t="str">
        <f>IF(D120=0,"零元整",NUMBERSTRING(INT(D120*10000),2)&amp;"元整")</f>
        <v>零元整</v>
      </c>
      <c r="E121" s="3266"/>
      <c r="F121" s="3266"/>
      <c r="G121" s="3266"/>
      <c r="H121" s="3266"/>
      <c r="I121" s="3265"/>
      <c r="AA121" s="684"/>
    </row>
    <row r="122" spans="1:27" ht="18.75" customHeight="1">
      <c r="A122" s="3270" t="str">
        <f>IF(项目基本情况!B9="房地产市场价值","",MID(E107,3,LEN(E107)-2))</f>
        <v>房地产抵押价值</v>
      </c>
      <c r="B122" s="3270"/>
      <c r="C122" s="3270"/>
      <c r="D122" s="3259" t="e">
        <f ca="1">H107</f>
        <v>#REF!</v>
      </c>
      <c r="E122" s="3260"/>
      <c r="F122" s="3260"/>
      <c r="G122" s="3260"/>
      <c r="H122" s="3260"/>
      <c r="I122" s="3261"/>
      <c r="AA122" s="684"/>
    </row>
    <row r="123" spans="1:27" ht="18.75" customHeight="1">
      <c r="A123" s="3258" t="s">
        <v>1452</v>
      </c>
      <c r="B123" s="3258"/>
      <c r="C123" s="3258"/>
      <c r="D123" s="3264" t="e">
        <f ca="1">NUMBERSTRING(INT(D122*10000),2)&amp;"元整"</f>
        <v>#REF!</v>
      </c>
      <c r="E123" s="3266"/>
      <c r="F123" s="3266"/>
      <c r="G123" s="3266"/>
      <c r="H123" s="3266"/>
      <c r="I123" s="3265"/>
      <c r="AA123" s="684"/>
    </row>
    <row r="124" spans="1:27" ht="18.75" customHeight="1">
      <c r="A124" s="3270" t="str">
        <f>IF(项目基本情况!B9="房地产市场价值","",MID(E109,3,LEN(E109)-2))</f>
        <v/>
      </c>
      <c r="B124" s="3270"/>
      <c r="C124" s="3270"/>
      <c r="D124" s="3259" t="str">
        <f>H109</f>
        <v>——</v>
      </c>
      <c r="E124" s="3260"/>
      <c r="F124" s="3260"/>
      <c r="G124" s="3260"/>
      <c r="H124" s="3260"/>
      <c r="I124" s="3261"/>
      <c r="AA124" s="684"/>
    </row>
    <row r="125" spans="1:27" ht="18.75" customHeight="1">
      <c r="A125" s="3258" t="s">
        <v>1452</v>
      </c>
      <c r="B125" s="3258"/>
      <c r="C125" s="3258"/>
      <c r="D125" s="3264" t="e">
        <f>NUMBERSTRING(INT(D124*10000),2)&amp;"元整"</f>
        <v>#VALUE!</v>
      </c>
      <c r="E125" s="3266"/>
      <c r="F125" s="3266"/>
      <c r="G125" s="3266"/>
      <c r="H125" s="3266"/>
      <c r="I125" s="3265"/>
      <c r="AA125" s="684"/>
    </row>
    <row r="126" spans="1:27" ht="18.75" customHeight="1">
      <c r="A126" s="3270" t="str">
        <f>IF(项目基本情况!B9="房地产市场价值","",MID(E111,3,LEN(E111)-2))</f>
        <v/>
      </c>
      <c r="B126" s="3270"/>
      <c r="C126" s="3270"/>
      <c r="D126" s="3259" t="str">
        <f>H111</f>
        <v>——</v>
      </c>
      <c r="E126" s="3260"/>
      <c r="F126" s="3260"/>
      <c r="G126" s="3260"/>
      <c r="H126" s="3260"/>
      <c r="I126" s="3261"/>
      <c r="AA126" s="684"/>
    </row>
    <row r="127" spans="1:27" ht="18.75" customHeight="1">
      <c r="A127" s="3258" t="s">
        <v>1452</v>
      </c>
      <c r="B127" s="3258"/>
      <c r="C127" s="3258"/>
      <c r="D127" s="3264" t="e">
        <f>NUMBERSTRING(INT(D126*10000),2)&amp;"元整"</f>
        <v>#VALUE!</v>
      </c>
      <c r="E127" s="3266"/>
      <c r="F127" s="3266"/>
      <c r="G127" s="3266"/>
      <c r="H127" s="3266"/>
      <c r="I127" s="3265"/>
      <c r="AA127" s="684"/>
    </row>
    <row r="128" spans="1:27" ht="21.75" customHeight="1">
      <c r="A128" s="3267" t="s">
        <v>1453</v>
      </c>
      <c r="B128" s="3267"/>
      <c r="C128" s="3267"/>
      <c r="D128" s="3267"/>
      <c r="E128" s="3267"/>
      <c r="F128" s="3267"/>
      <c r="G128" s="3267"/>
      <c r="H128" s="3267"/>
      <c r="I128" s="326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5" t="str">
        <f>项目基本情况!B1</f>
        <v>武汉市湖北省武汉市江汉区新华路468号CFD时代财富中心/栋/单元19层（1）、（2）、（3）、（4）办号房地产抵押价值预评估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10</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772.54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772.54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772.54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37" t="s">
        <v>1544</v>
      </c>
    </row>
    <row r="43" spans="1:7" ht="13.5" customHeight="1">
      <c r="A43" s="734" t="s">
        <v>347</v>
      </c>
      <c r="B43" s="207" t="s">
        <v>1545</v>
      </c>
      <c r="C43" s="230" t="e">
        <f ca="1">ROUND(IF('数据-取费表'!B22&lt;=1,C39*F22*'数据-取费表'!B21/2,C39*(POWER((1+F22),'数据-取费表'!B21/2)-1)),0)</f>
        <v>#VALUE!</v>
      </c>
      <c r="D43" s="230"/>
      <c r="E43" s="230"/>
      <c r="F43" s="231"/>
      <c r="G43" s="3338"/>
    </row>
    <row r="44" spans="1:7" ht="13.5" customHeight="1">
      <c r="A44" s="734" t="s">
        <v>348</v>
      </c>
      <c r="B44" s="207" t="s">
        <v>1546</v>
      </c>
      <c r="C44" s="230" t="e">
        <f ca="1">ROUND(IF('数据-取费表'!B22&lt;=1,C40*F22*'数据-取费表'!B21/2,C40*(POWER((1+F22),'数据-取费表'!B21/2)-1)),4)</f>
        <v>#VALUE!</v>
      </c>
      <c r="D44" s="230"/>
      <c r="E44" s="230"/>
      <c r="F44" s="231"/>
      <c r="G44" s="333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19"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772.54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772.54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772.54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37" t="s">
        <v>1591</v>
      </c>
    </row>
    <row r="43" spans="1:7" ht="13.5" customHeight="1">
      <c r="A43" s="734" t="s">
        <v>347</v>
      </c>
      <c r="B43" s="207" t="s">
        <v>1545</v>
      </c>
      <c r="C43" s="230" t="e">
        <f ca="1">ROUND(IF('数据-取费表'!B22&lt;=1,C39*F22*'数据-取费表'!B20/2,C39*(POWER((1+F22),'数据-取费表'!B20/2)-1)),0)</f>
        <v>#VALUE!</v>
      </c>
      <c r="D43" s="230"/>
      <c r="E43" s="230"/>
      <c r="F43" s="231"/>
      <c r="G43" s="3338"/>
    </row>
    <row r="44" spans="1:7" ht="13.5" customHeight="1">
      <c r="A44" s="734" t="s">
        <v>348</v>
      </c>
      <c r="B44" s="207" t="s">
        <v>1546</v>
      </c>
      <c r="C44" s="230" t="e">
        <f ca="1">ROUND(IF('数据-取费表'!B22&lt;=1,C40*F22*'数据-取费表'!B20/2,C40*(POWER((1+F22),'数据-取费表'!B20/2)-1)),4)</f>
        <v>#VALUE!</v>
      </c>
      <c r="D44" s="230"/>
      <c r="E44" s="230"/>
      <c r="F44" s="231"/>
      <c r="G44" s="333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5"/>
      <c r="H1" s="2564"/>
      <c r="I1" s="2564"/>
      <c r="J1" s="2564"/>
      <c r="K1" s="2565">
        <f>MATCH(C1,'数据-取费表'!A6:A16,0)+5</f>
        <v>10</v>
      </c>
    </row>
    <row r="2" spans="1:33" ht="18" customHeight="1">
      <c r="A2" s="193" t="s">
        <v>1462</v>
      </c>
      <c r="B2" s="196" t="e">
        <f ca="1">C32</f>
        <v>#VALUE!</v>
      </c>
      <c r="C2" s="268" t="s">
        <v>1595</v>
      </c>
      <c r="D2" s="268"/>
      <c r="E2" s="2564"/>
      <c r="F2" s="2564"/>
      <c r="G2" s="2564"/>
      <c r="H2" s="2564"/>
      <c r="I2" s="2564"/>
      <c r="J2" s="2564"/>
      <c r="K2" s="2564"/>
    </row>
    <row r="3" spans="1:33" ht="18" customHeight="1" thickBot="1">
      <c r="A3" s="195" t="s">
        <v>1464</v>
      </c>
      <c r="B3" s="196" t="e">
        <f ca="1">ROUND(B2*10000/IF(C1="",'数据-汇总表'!E3,INDIRECT("'数据-取费表'!K"&amp;$K$1)),0)</f>
        <v>#VALUE!</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772.54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772.54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772.54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2" t="s">
        <v>694</v>
      </c>
      <c r="C6" s="1011">
        <f ca="1">ROUND(F6*F8*F7*(1-F9)/10000,0)</f>
        <v>0</v>
      </c>
      <c r="D6" s="147" t="s">
        <v>2109</v>
      </c>
      <c r="E6" s="294" t="s">
        <v>696</v>
      </c>
      <c r="F6" s="295">
        <f ca="1">INDIRECT("'数据-取费表'!u"&amp;$G$1)</f>
        <v>0</v>
      </c>
      <c r="G6" s="1292"/>
      <c r="H6" s="1006" t="s">
        <v>398</v>
      </c>
      <c r="I6" s="3342" t="s">
        <v>694</v>
      </c>
      <c r="J6" s="293">
        <f ca="1">ROUND(M6*M8*M7*(1-M9)/10000,0)</f>
        <v>0</v>
      </c>
      <c r="K6" s="147" t="s">
        <v>2108</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0</v>
      </c>
      <c r="G7" s="1292"/>
      <c r="H7" s="296"/>
      <c r="I7" s="3343"/>
      <c r="J7" s="298"/>
      <c r="K7" s="299"/>
      <c r="L7" s="294" t="s">
        <v>697</v>
      </c>
      <c r="M7" s="295">
        <f ca="1">F7</f>
        <v>0</v>
      </c>
    </row>
    <row r="8" spans="1:37" ht="18" customHeight="1">
      <c r="A8" s="296"/>
      <c r="B8" s="3343"/>
      <c r="C8" s="298"/>
      <c r="D8" s="299"/>
      <c r="E8" s="294" t="s">
        <v>698</v>
      </c>
      <c r="F8" s="295">
        <f ca="1">INDIRECT("'数据-取费表'!ai"&amp;$G$1)</f>
        <v>0</v>
      </c>
      <c r="G8" s="1292"/>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7"/>
      <c r="I30" s="1305"/>
      <c r="J30" s="1306"/>
      <c r="K30" s="121"/>
      <c r="L30" s="2468"/>
      <c r="M30" s="2469"/>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66" t="s">
        <v>2306</v>
      </c>
      <c r="I31" s="1305"/>
      <c r="J31" s="1306"/>
      <c r="K31" s="121"/>
      <c r="L31" s="2468"/>
      <c r="M31" s="2469"/>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t="e">
        <f ca="1">ROUND(C29*F36,2)</f>
        <v>#VALUE!</v>
      </c>
      <c r="D36" s="1256" t="s">
        <v>771</v>
      </c>
      <c r="E36" s="294" t="s">
        <v>712</v>
      </c>
      <c r="F36" s="320">
        <f ca="1">INDIRECT("'数据-取费表'!Ak"&amp;$G$1)</f>
        <v>0</v>
      </c>
      <c r="G36" s="1292"/>
      <c r="H36" s="2470"/>
      <c r="I36" s="1305"/>
      <c r="J36" s="1306"/>
      <c r="K36" s="2328"/>
      <c r="L36" s="2470"/>
      <c r="M36" s="2470"/>
    </row>
    <row r="37" spans="1:18" ht="18" customHeight="1">
      <c r="A37" s="928" t="s">
        <v>437</v>
      </c>
      <c r="B37" s="294" t="s">
        <v>742</v>
      </c>
      <c r="C37" s="21" t="e">
        <f ca="1">ROUND(C13*F37,2)</f>
        <v>#VALUE!</v>
      </c>
      <c r="D37" s="1256" t="s">
        <v>743</v>
      </c>
      <c r="E37" s="294" t="s">
        <v>744</v>
      </c>
      <c r="F37" s="321">
        <f ca="1">INDIRECT("'数据-取费表'!Al"&amp;$G$1)</f>
        <v>0</v>
      </c>
      <c r="G37" s="1292"/>
      <c r="H37" s="2470"/>
      <c r="I37" s="1305"/>
      <c r="J37" s="1306"/>
      <c r="K37" s="2328"/>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t="e">
        <f ca="1">C5-C30</f>
        <v>#VALUE!</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0" t="s">
        <v>837</v>
      </c>
      <c r="L53" s="3341"/>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#VALUE!</v>
      </c>
      <c r="C2" s="1289" t="s">
        <v>879</v>
      </c>
      <c r="D2" s="1375" t="e">
        <f ca="1">C40+J29+L46</f>
        <v>#VALUE!</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2" t="s">
        <v>694</v>
      </c>
      <c r="C6" s="1011">
        <f ca="1">ROUND(F6*F8*F7*(1-F9),0)</f>
        <v>0</v>
      </c>
      <c r="D6" s="147" t="s">
        <v>2106</v>
      </c>
      <c r="E6" s="294" t="s">
        <v>696</v>
      </c>
      <c r="F6" s="295">
        <f ca="1">INDIRECT("'数据-取费表'!u"&amp;$G$1)</f>
        <v>0</v>
      </c>
      <c r="G6" s="1292"/>
      <c r="H6" s="1006" t="s">
        <v>398</v>
      </c>
      <c r="I6" s="3342" t="s">
        <v>694</v>
      </c>
      <c r="J6" s="293">
        <f ca="1">ROUND(M6*M8*M7*(1-M9),0)</f>
        <v>0</v>
      </c>
      <c r="K6" s="1284" t="s">
        <v>2107</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0</v>
      </c>
      <c r="G7" s="1292"/>
      <c r="H7" s="296"/>
      <c r="I7" s="3343"/>
      <c r="J7" s="298"/>
      <c r="K7" s="299"/>
      <c r="L7" s="294" t="s">
        <v>697</v>
      </c>
      <c r="M7" s="295">
        <f ca="1">F7</f>
        <v>0</v>
      </c>
    </row>
    <row r="8" spans="1:37" ht="18" customHeight="1">
      <c r="A8" s="296"/>
      <c r="B8" s="3343"/>
      <c r="C8" s="298"/>
      <c r="D8" s="299"/>
      <c r="E8" s="294" t="s">
        <v>698</v>
      </c>
      <c r="F8" s="295">
        <f ca="1">INDIRECT("'数据-取费表'!ai"&amp;$G$1)</f>
        <v>0</v>
      </c>
      <c r="G8" s="1292"/>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7"/>
      <c r="I30" s="1305"/>
      <c r="J30" s="1306"/>
      <c r="K30" s="121"/>
      <c r="L30" s="2468"/>
      <c r="M30" s="2469"/>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66" t="s">
        <v>2306</v>
      </c>
      <c r="I31" s="1305"/>
      <c r="J31" s="1306"/>
      <c r="K31" s="121"/>
      <c r="L31" s="2468"/>
      <c r="M31" s="2469"/>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IF(项目基本情况!B11="自然人","——",ROUND(F34*F35,0))</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t="e">
        <f ca="1">ROUND(C29*F36,0)</f>
        <v>#VALUE!</v>
      </c>
      <c r="D36" s="1256" t="s">
        <v>771</v>
      </c>
      <c r="E36" s="294" t="s">
        <v>712</v>
      </c>
      <c r="F36" s="320">
        <f ca="1">INDIRECT("'数据-取费表'!Ak"&amp;$G$1)</f>
        <v>0</v>
      </c>
      <c r="G36" s="1292"/>
      <c r="H36" s="2470"/>
      <c r="I36" s="1305"/>
      <c r="J36" s="1306"/>
      <c r="K36" s="2328"/>
      <c r="L36" s="2470"/>
      <c r="M36" s="2470"/>
    </row>
    <row r="37" spans="1:18" ht="18" customHeight="1">
      <c r="A37" s="928" t="s">
        <v>437</v>
      </c>
      <c r="B37" s="294" t="s">
        <v>742</v>
      </c>
      <c r="C37" s="21" t="e">
        <f ca="1">ROUND(C13*F37,0)</f>
        <v>#VALUE!</v>
      </c>
      <c r="D37" s="1256" t="s">
        <v>743</v>
      </c>
      <c r="E37" s="294" t="s">
        <v>744</v>
      </c>
      <c r="F37" s="321">
        <f ca="1">INDIRECT("'数据-取费表'!Al"&amp;$G$1)</f>
        <v>0</v>
      </c>
      <c r="G37" s="1292"/>
      <c r="H37" s="2470"/>
      <c r="I37" s="1305"/>
      <c r="J37" s="1306"/>
      <c r="K37" s="2328"/>
      <c r="L37" s="2470"/>
      <c r="M37" s="2470"/>
    </row>
    <row r="38" spans="1:18" ht="18" customHeight="1" thickBot="1">
      <c r="A38" s="1026" t="s">
        <v>684</v>
      </c>
      <c r="B38" s="1027" t="s">
        <v>728</v>
      </c>
      <c r="C38" s="1028">
        <f ca="1">ROUND(C5*F38,0)</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t="e">
        <f ca="1">C5-C30</f>
        <v>#VALUE!</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6" t="s">
        <v>3352</v>
      </c>
      <c r="B45" s="1307"/>
      <c r="C45" s="1376" t="e">
        <f ca="1">ROUND((C68-C40)/10000,4)</f>
        <v>#VALUE!</v>
      </c>
      <c r="D45" s="3127"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0" t="s">
        <v>837</v>
      </c>
      <c r="L53" s="3341"/>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2435</v>
      </c>
      <c r="B1" s="2580"/>
      <c r="C1" s="2592"/>
      <c r="D1" s="2592"/>
      <c r="E1" s="2581"/>
      <c r="F1" s="2582"/>
      <c r="G1" s="2583"/>
      <c r="J1" s="2586" t="s">
        <v>2314</v>
      </c>
      <c r="K1" s="2587"/>
      <c r="L1" s="2587"/>
      <c r="M1" s="2587"/>
      <c r="N1" s="2587"/>
      <c r="O1" s="2587"/>
      <c r="P1" s="2587"/>
      <c r="Q1" s="2587"/>
      <c r="R1" s="2588"/>
      <c r="S1" s="2589"/>
      <c r="T1" s="2589"/>
      <c r="U1" s="2589"/>
    </row>
    <row r="2" spans="1:22" s="2601" customFormat="1" ht="13.2" customHeight="1">
      <c r="A2" s="1293" t="s">
        <v>2315</v>
      </c>
      <c r="B2" s="2591" t="e">
        <f>IF(D2="——",C40,C40+E2)</f>
        <v>#DIV/0!</v>
      </c>
      <c r="C2" s="2592" t="s">
        <v>2316</v>
      </c>
      <c r="D2" s="3135" t="s">
        <v>3359</v>
      </c>
      <c r="E2" s="3136"/>
      <c r="F2" s="2594"/>
      <c r="G2" s="2595"/>
      <c r="H2" s="2596"/>
      <c r="I2" s="2597"/>
      <c r="J2" s="3345" t="s">
        <v>2317</v>
      </c>
      <c r="K2" s="3346"/>
      <c r="L2" s="2598" t="s">
        <v>2318</v>
      </c>
      <c r="M2" s="2598" t="s">
        <v>2319</v>
      </c>
      <c r="N2" s="2598" t="s">
        <v>2320</v>
      </c>
      <c r="O2" s="2598" t="s">
        <v>2321</v>
      </c>
      <c r="P2" s="2598" t="s">
        <v>2322</v>
      </c>
      <c r="Q2" s="2599" t="s">
        <v>2323</v>
      </c>
      <c r="R2" s="2600" t="s">
        <v>2324</v>
      </c>
      <c r="S2" s="2589"/>
      <c r="T2" s="2589"/>
      <c r="U2" s="2589"/>
      <c r="V2" s="2597"/>
    </row>
    <row r="3" spans="1:22" s="2601" customFormat="1" ht="13.2" customHeight="1">
      <c r="A3" s="2602" t="s">
        <v>2325</v>
      </c>
      <c r="B3" s="2603" t="e">
        <f>ROUND(B2*10000/B4,0)</f>
        <v>#DIV/0!</v>
      </c>
      <c r="C3" s="2592" t="s">
        <v>2326</v>
      </c>
      <c r="D3" s="2592"/>
      <c r="E3" s="2593"/>
      <c r="F3" s="2594"/>
      <c r="G3" s="2595"/>
      <c r="H3" s="2596"/>
      <c r="I3" s="2597"/>
      <c r="J3" s="3347" t="s">
        <v>2327</v>
      </c>
      <c r="K3" s="3348"/>
      <c r="L3" s="2604"/>
      <c r="M3" s="2604"/>
      <c r="N3" s="2604"/>
      <c r="O3" s="2604"/>
      <c r="P3" s="2604"/>
      <c r="Q3" s="2605"/>
      <c r="R3" s="2606">
        <f>SUM(L3:Q3)</f>
        <v>0</v>
      </c>
      <c r="S3" s="2589"/>
      <c r="T3" s="2589"/>
      <c r="U3" s="2589"/>
      <c r="V3" s="2597"/>
    </row>
    <row r="4" spans="1:22" s="2601" customFormat="1" ht="13.2" customHeight="1">
      <c r="A4" s="2607" t="s">
        <v>2328</v>
      </c>
      <c r="B4" s="2608"/>
      <c r="C4" s="2592"/>
      <c r="D4" s="2592"/>
      <c r="E4" s="2593"/>
      <c r="F4" s="2594"/>
      <c r="G4" s="2595"/>
      <c r="H4" s="2596"/>
      <c r="I4" s="2597"/>
      <c r="J4" s="3347" t="s">
        <v>2329</v>
      </c>
      <c r="K4" s="3348"/>
      <c r="L4" s="2609"/>
      <c r="M4" s="2609"/>
      <c r="N4" s="2609"/>
      <c r="O4" s="2609"/>
      <c r="P4" s="2609"/>
      <c r="Q4" s="2610"/>
      <c r="R4" s="2611">
        <f>SUM(L4:Q4)</f>
        <v>0</v>
      </c>
      <c r="S4" s="2589"/>
      <c r="T4" s="2589"/>
      <c r="U4" s="2589"/>
      <c r="V4" s="2597"/>
    </row>
    <row r="5" spans="1:22" s="2601" customFormat="1" ht="13.2" customHeight="1" thickBot="1">
      <c r="A5" s="2612" t="s">
        <v>2330</v>
      </c>
      <c r="B5" s="2613"/>
      <c r="C5" s="2592"/>
      <c r="D5" s="2614"/>
      <c r="E5" s="2594"/>
      <c r="F5" s="2594"/>
      <c r="G5" s="2595"/>
      <c r="H5" s="2596"/>
      <c r="I5" s="2597"/>
      <c r="J5" s="2615" t="s">
        <v>2331</v>
      </c>
      <c r="K5" s="2616"/>
      <c r="L5" s="2616"/>
      <c r="M5" s="2617"/>
      <c r="N5" s="2617"/>
      <c r="O5" s="2617"/>
      <c r="P5" s="2617"/>
      <c r="Q5" s="2617"/>
      <c r="R5" s="2600">
        <f>SUM(R14,R19,R24,R25,R27,R28)</f>
        <v>0</v>
      </c>
      <c r="S5" s="2589"/>
      <c r="T5" s="2589" t="s">
        <v>2332</v>
      </c>
      <c r="U5" s="2589" t="e">
        <f>ROUND(R5*10000/365/R3,1)</f>
        <v>#DIV/0!</v>
      </c>
      <c r="V5" s="2597"/>
    </row>
    <row r="6" spans="1:22" s="2601" customFormat="1" ht="13.2" customHeight="1" thickBot="1">
      <c r="A6" s="3349" t="s">
        <v>2333</v>
      </c>
      <c r="B6" s="3350"/>
      <c r="C6" s="3351"/>
      <c r="D6" s="2618"/>
      <c r="E6" s="2619"/>
      <c r="F6" s="2620"/>
      <c r="G6" s="2621"/>
      <c r="H6" s="2596"/>
      <c r="I6" s="2597"/>
      <c r="J6" s="3352">
        <v>1</v>
      </c>
      <c r="K6" s="3353" t="s">
        <v>2334</v>
      </c>
      <c r="L6" s="2622" t="s">
        <v>2335</v>
      </c>
      <c r="M6" s="2623" t="s">
        <v>2336</v>
      </c>
      <c r="N6" s="2623" t="s">
        <v>2337</v>
      </c>
      <c r="O6" s="2623" t="s">
        <v>2338</v>
      </c>
      <c r="P6" s="2623" t="s">
        <v>2339</v>
      </c>
      <c r="Q6" s="2623" t="s">
        <v>2340</v>
      </c>
      <c r="R6" s="2606" t="s">
        <v>2341</v>
      </c>
      <c r="S6" s="2589"/>
      <c r="T6" s="2589" t="s">
        <v>2342</v>
      </c>
      <c r="U6" s="2589"/>
      <c r="V6" s="2597"/>
    </row>
    <row r="7" spans="1:22" s="2601" customFormat="1" ht="13.2" customHeight="1">
      <c r="A7" s="2624" t="s">
        <v>2343</v>
      </c>
      <c r="B7" s="2625"/>
      <c r="C7" s="2626"/>
      <c r="D7" s="2627">
        <f>SUM(D9,D10,D11,D17,0)</f>
        <v>0</v>
      </c>
      <c r="E7" s="2628" t="e">
        <f>E9+E10+E11+E17</f>
        <v>#DIV/0!</v>
      </c>
      <c r="F7" s="2629"/>
      <c r="G7" s="2630"/>
      <c r="H7" s="2596"/>
      <c r="I7" s="2597"/>
      <c r="J7" s="3352"/>
      <c r="K7" s="3354"/>
      <c r="L7" s="2631" t="s">
        <v>2344</v>
      </c>
      <c r="M7" s="2632"/>
      <c r="N7" s="2608"/>
      <c r="O7" s="2633"/>
      <c r="P7" s="2633"/>
      <c r="Q7" s="2634">
        <v>365</v>
      </c>
      <c r="R7" s="2635">
        <f>ROUND(M7*N7*O7*P7*Q7/10000,0)</f>
        <v>0</v>
      </c>
      <c r="S7" s="2589"/>
      <c r="T7" s="2589" t="s">
        <v>2345</v>
      </c>
      <c r="U7" s="2589"/>
      <c r="V7" s="2597"/>
    </row>
    <row r="8" spans="1:22" s="2601" customFormat="1" ht="13.2" customHeight="1">
      <c r="A8" s="2636" t="s">
        <v>2346</v>
      </c>
      <c r="B8" s="3356" t="s">
        <v>2347</v>
      </c>
      <c r="C8" s="3357"/>
      <c r="D8" s="2637" t="s">
        <v>2348</v>
      </c>
      <c r="E8" s="2638" t="s">
        <v>2349</v>
      </c>
      <c r="F8" s="2639" t="s">
        <v>2350</v>
      </c>
      <c r="G8" s="2640"/>
      <c r="H8" s="2596"/>
      <c r="I8" s="2597"/>
      <c r="J8" s="3352"/>
      <c r="K8" s="3354"/>
      <c r="L8" s="2631" t="s">
        <v>2351</v>
      </c>
      <c r="M8" s="2632"/>
      <c r="N8" s="2608"/>
      <c r="O8" s="2633"/>
      <c r="P8" s="2633"/>
      <c r="Q8" s="2634">
        <v>365</v>
      </c>
      <c r="R8" s="2635">
        <f t="shared" ref="R8:R13" si="0">ROUND(M8*N8*O8*P8*Q8/10000,0)</f>
        <v>0</v>
      </c>
      <c r="S8" s="2589"/>
      <c r="T8" s="2589" t="s">
        <v>2352</v>
      </c>
      <c r="U8" s="2589"/>
      <c r="V8" s="2597"/>
    </row>
    <row r="9" spans="1:22" s="2601" customFormat="1" ht="13.2" customHeight="1">
      <c r="A9" s="2636">
        <v>1</v>
      </c>
      <c r="B9" s="3356" t="s">
        <v>2353</v>
      </c>
      <c r="C9" s="3357"/>
      <c r="D9" s="2637">
        <f>ROUND(D6*E9,0)</f>
        <v>0</v>
      </c>
      <c r="E9" s="2641"/>
      <c r="F9" s="2642" t="s">
        <v>2354</v>
      </c>
      <c r="G9" s="2621"/>
      <c r="H9" s="2596"/>
      <c r="I9" s="2597"/>
      <c r="J9" s="3352"/>
      <c r="K9" s="3354"/>
      <c r="L9" s="2631" t="s">
        <v>2355</v>
      </c>
      <c r="M9" s="2632"/>
      <c r="N9" s="2608"/>
      <c r="O9" s="2633"/>
      <c r="P9" s="2633"/>
      <c r="Q9" s="2634">
        <v>365</v>
      </c>
      <c r="R9" s="2635">
        <f t="shared" si="0"/>
        <v>0</v>
      </c>
      <c r="S9" s="2589"/>
      <c r="T9" s="2589"/>
      <c r="U9" s="2589"/>
      <c r="V9" s="2597"/>
    </row>
    <row r="10" spans="1:22" s="2601" customFormat="1" ht="13.2" customHeight="1">
      <c r="A10" s="2636">
        <v>2</v>
      </c>
      <c r="B10" s="3356" t="s">
        <v>2356</v>
      </c>
      <c r="C10" s="3357"/>
      <c r="D10" s="2637">
        <f>ROUND(D6*E10,0)</f>
        <v>0</v>
      </c>
      <c r="E10" s="2641"/>
      <c r="F10" s="2642" t="s">
        <v>2357</v>
      </c>
      <c r="G10" s="2621"/>
      <c r="H10" s="2596"/>
      <c r="I10" s="2597"/>
      <c r="J10" s="3352"/>
      <c r="K10" s="3354"/>
      <c r="L10" s="2631" t="s">
        <v>2358</v>
      </c>
      <c r="M10" s="2632"/>
      <c r="N10" s="2608"/>
      <c r="O10" s="2633"/>
      <c r="P10" s="2633"/>
      <c r="Q10" s="2634">
        <v>365</v>
      </c>
      <c r="R10" s="2635">
        <f t="shared" si="0"/>
        <v>0</v>
      </c>
      <c r="S10" s="2589"/>
      <c r="T10" s="2589"/>
      <c r="U10" s="2589"/>
      <c r="V10" s="2597"/>
    </row>
    <row r="11" spans="1:22" s="2601" customFormat="1" ht="13.2" customHeight="1">
      <c r="A11" s="2636">
        <v>3</v>
      </c>
      <c r="B11" s="3356" t="s">
        <v>2359</v>
      </c>
      <c r="C11" s="3357"/>
      <c r="D11" s="2637">
        <f>D12+D14+D15+D16</f>
        <v>0</v>
      </c>
      <c r="E11" s="2643" t="e">
        <f>D11/D6</f>
        <v>#DIV/0!</v>
      </c>
      <c r="F11" s="2639"/>
      <c r="G11" s="2640"/>
      <c r="H11" s="2596"/>
      <c r="I11" s="2597"/>
      <c r="J11" s="3352"/>
      <c r="K11" s="3354"/>
      <c r="L11" s="2631" t="s">
        <v>2360</v>
      </c>
      <c r="M11" s="2632"/>
      <c r="N11" s="2608"/>
      <c r="O11" s="2633"/>
      <c r="P11" s="2633"/>
      <c r="Q11" s="2634">
        <v>365</v>
      </c>
      <c r="R11" s="2635">
        <f t="shared" si="0"/>
        <v>0</v>
      </c>
      <c r="S11" s="2589"/>
      <c r="T11" s="2589"/>
      <c r="U11" s="2589"/>
      <c r="V11" s="2597"/>
    </row>
    <row r="12" spans="1:22" s="2601" customFormat="1" ht="13.2" customHeight="1">
      <c r="A12" s="2644" t="s">
        <v>2361</v>
      </c>
      <c r="B12" s="3358" t="s">
        <v>2362</v>
      </c>
      <c r="C12" s="3359"/>
      <c r="D12" s="2645">
        <f>ROUND(D13*1.2%*(1-30%),0)</f>
        <v>0</v>
      </c>
      <c r="E12" s="2646">
        <v>1.2E-2</v>
      </c>
      <c r="F12" s="2639" t="s">
        <v>2363</v>
      </c>
      <c r="G12" s="2640"/>
      <c r="H12" s="2596"/>
      <c r="I12" s="2597"/>
      <c r="J12" s="3352"/>
      <c r="K12" s="3354"/>
      <c r="L12" s="2631" t="s">
        <v>2364</v>
      </c>
      <c r="M12" s="2632"/>
      <c r="N12" s="2608"/>
      <c r="O12" s="2633"/>
      <c r="P12" s="2633"/>
      <c r="Q12" s="2634">
        <v>365</v>
      </c>
      <c r="R12" s="2635">
        <f t="shared" si="0"/>
        <v>0</v>
      </c>
      <c r="S12" s="2589"/>
      <c r="T12" s="2589"/>
      <c r="U12" s="2589"/>
      <c r="V12" s="2597"/>
    </row>
    <row r="13" spans="1:22" s="2601" customFormat="1" ht="13.2" customHeight="1">
      <c r="A13" s="2644"/>
      <c r="B13" s="2647"/>
      <c r="C13" s="2648" t="s">
        <v>2365</v>
      </c>
      <c r="D13" s="2649"/>
      <c r="E13" s="2650"/>
      <c r="F13" s="2639"/>
      <c r="G13" s="2640"/>
      <c r="H13" s="2596"/>
      <c r="I13" s="2597"/>
      <c r="J13" s="3352"/>
      <c r="K13" s="3354"/>
      <c r="L13" s="2631" t="s">
        <v>2366</v>
      </c>
      <c r="M13" s="2632"/>
      <c r="N13" s="2608"/>
      <c r="O13" s="2633"/>
      <c r="P13" s="2633"/>
      <c r="Q13" s="2634">
        <v>365</v>
      </c>
      <c r="R13" s="2635">
        <f t="shared" si="0"/>
        <v>0</v>
      </c>
      <c r="S13" s="2589"/>
      <c r="T13" s="2589"/>
      <c r="U13" s="2589"/>
      <c r="V13" s="2597"/>
    </row>
    <row r="14" spans="1:22" s="2601" customFormat="1" ht="13.2" customHeight="1">
      <c r="A14" s="2644" t="s">
        <v>2367</v>
      </c>
      <c r="B14" s="3358" t="s">
        <v>2368</v>
      </c>
      <c r="C14" s="3359"/>
      <c r="D14" s="2645">
        <f>ROUND(E14*B5/10000,0)</f>
        <v>0</v>
      </c>
      <c r="E14" s="2634"/>
      <c r="F14" s="2639" t="s">
        <v>2369</v>
      </c>
      <c r="G14" s="2640"/>
      <c r="H14" s="2596"/>
      <c r="I14" s="2597"/>
      <c r="J14" s="3352"/>
      <c r="K14" s="3355"/>
      <c r="L14" s="2651" t="s">
        <v>2370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2371</v>
      </c>
      <c r="B15" s="3358" t="s">
        <v>2372</v>
      </c>
      <c r="C15" s="3359"/>
      <c r="D15" s="2645">
        <f>ROUND(D6*E15,0)</f>
        <v>0</v>
      </c>
      <c r="E15" s="2646">
        <v>5.5E-2</v>
      </c>
      <c r="F15" s="2639" t="s">
        <v>2373</v>
      </c>
      <c r="G15" s="2621"/>
      <c r="H15" s="2596"/>
      <c r="I15" s="2597"/>
      <c r="J15" s="3352">
        <v>2</v>
      </c>
      <c r="K15" s="3353" t="s">
        <v>2374</v>
      </c>
      <c r="L15" s="2631" t="s">
        <v>2375</v>
      </c>
      <c r="M15" s="2632" t="s">
        <v>2376</v>
      </c>
      <c r="N15" s="2632" t="s">
        <v>2377</v>
      </c>
      <c r="O15" s="2633" t="s">
        <v>2378</v>
      </c>
      <c r="P15" s="2633" t="s">
        <v>2340</v>
      </c>
      <c r="Q15" s="2608" t="s">
        <v>2379</v>
      </c>
      <c r="R15" s="2655" t="s">
        <v>2341</v>
      </c>
      <c r="S15" s="2589"/>
      <c r="T15" s="2589"/>
      <c r="U15" s="2589"/>
      <c r="V15" s="2597"/>
    </row>
    <row r="16" spans="1:22" s="2601" customFormat="1" ht="13.2" customHeight="1">
      <c r="A16" s="2644" t="s">
        <v>2380</v>
      </c>
      <c r="B16" s="3358" t="s">
        <v>2381</v>
      </c>
      <c r="C16" s="3359"/>
      <c r="D16" s="2656">
        <f>D6*E16</f>
        <v>0</v>
      </c>
      <c r="E16" s="2657"/>
      <c r="F16" s="2642" t="s">
        <v>2382</v>
      </c>
      <c r="G16" s="2621"/>
      <c r="H16" s="2596"/>
      <c r="I16" s="2597"/>
      <c r="J16" s="3352"/>
      <c r="K16" s="3354"/>
      <c r="L16" s="2631" t="s">
        <v>2383</v>
      </c>
      <c r="M16" s="2632"/>
      <c r="N16" s="2632"/>
      <c r="O16" s="2633"/>
      <c r="P16" s="2634">
        <v>365</v>
      </c>
      <c r="Q16" s="2608"/>
      <c r="R16" s="2655">
        <f>ROUND(M16*N16*O16*P16/10000,0)</f>
        <v>0</v>
      </c>
      <c r="S16" s="2589"/>
      <c r="T16" s="2589"/>
      <c r="U16" s="2589"/>
      <c r="V16" s="2597"/>
    </row>
    <row r="17" spans="1:22" s="2601" customFormat="1" ht="13.2" customHeight="1" thickBot="1">
      <c r="A17" s="2658">
        <v>4</v>
      </c>
      <c r="B17" s="3360" t="s">
        <v>2384</v>
      </c>
      <c r="C17" s="3361"/>
      <c r="D17" s="2659">
        <f>ROUND(D6*E17,0)</f>
        <v>0</v>
      </c>
      <c r="E17" s="2660"/>
      <c r="F17" s="2661" t="s">
        <v>2385</v>
      </c>
      <c r="G17" s="2621"/>
      <c r="H17" s="2596"/>
      <c r="I17" s="2597"/>
      <c r="J17" s="3352"/>
      <c r="K17" s="3354"/>
      <c r="L17" s="2631" t="s">
        <v>2386</v>
      </c>
      <c r="M17" s="2632"/>
      <c r="N17" s="2632"/>
      <c r="O17" s="2633"/>
      <c r="P17" s="2634">
        <v>365</v>
      </c>
      <c r="Q17" s="2608"/>
      <c r="R17" s="2655">
        <f>ROUND(M17*N17*O17*P17/10000,0)</f>
        <v>0</v>
      </c>
      <c r="S17" s="2589"/>
      <c r="T17" s="2589"/>
      <c r="U17" s="2589"/>
      <c r="V17" s="2597"/>
    </row>
    <row r="18" spans="1:22" s="2601" customFormat="1" ht="13.2" customHeight="1" thickBot="1">
      <c r="A18" s="2624" t="s">
        <v>2387</v>
      </c>
      <c r="B18" s="2625"/>
      <c r="C18" s="2625"/>
      <c r="D18" s="2662">
        <f>ROUND(D6*E18,0)</f>
        <v>0</v>
      </c>
      <c r="E18" s="2663"/>
      <c r="F18" s="2664" t="s">
        <v>2388</v>
      </c>
      <c r="G18" s="2621"/>
      <c r="H18" s="2596"/>
      <c r="I18" s="2597"/>
      <c r="J18" s="3352"/>
      <c r="K18" s="3354"/>
      <c r="L18" s="2631" t="s">
        <v>2389</v>
      </c>
      <c r="M18" s="2632"/>
      <c r="N18" s="2632"/>
      <c r="O18" s="2633"/>
      <c r="P18" s="2634">
        <v>365</v>
      </c>
      <c r="Q18" s="2608"/>
      <c r="R18" s="2655">
        <f>ROUND(M18*N18*O18*P18/10000,0)</f>
        <v>0</v>
      </c>
      <c r="S18" s="2589"/>
      <c r="T18" s="2589"/>
      <c r="U18" s="2589"/>
      <c r="V18" s="2597"/>
    </row>
    <row r="19" spans="1:22" s="2601" customFormat="1" ht="13.2" customHeight="1" thickBot="1">
      <c r="A19" s="2665" t="s">
        <v>2390</v>
      </c>
      <c r="B19" s="2619"/>
      <c r="C19" s="2619"/>
      <c r="D19" s="2619"/>
      <c r="E19" s="2619"/>
      <c r="F19" s="2620"/>
      <c r="G19" s="2640"/>
      <c r="H19" s="2596"/>
      <c r="I19" s="2597"/>
      <c r="J19" s="3352"/>
      <c r="K19" s="3355"/>
      <c r="L19" s="2651" t="s">
        <v>2370</v>
      </c>
      <c r="M19" s="2652"/>
      <c r="N19" s="2652">
        <f>SUM(N16:N18)</f>
        <v>0</v>
      </c>
      <c r="O19" s="2653"/>
      <c r="P19" s="2666" t="s">
        <v>2434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52">
        <v>3</v>
      </c>
      <c r="K20" s="3353" t="s">
        <v>2391</v>
      </c>
      <c r="L20" s="2631" t="s">
        <v>2392</v>
      </c>
      <c r="M20" s="2632" t="s">
        <v>2393</v>
      </c>
      <c r="N20" s="2669" t="s">
        <v>2394</v>
      </c>
      <c r="O20" s="2633" t="s">
        <v>2395</v>
      </c>
      <c r="P20" s="2634" t="s">
        <v>2396</v>
      </c>
      <c r="Q20" s="2608" t="s">
        <v>2397</v>
      </c>
      <c r="R20" s="2655" t="s">
        <v>2398</v>
      </c>
      <c r="S20" s="2589"/>
      <c r="T20" s="2589"/>
      <c r="U20" s="2589"/>
      <c r="V20" s="2597"/>
    </row>
    <row r="21" spans="1:22" s="2601" customFormat="1" ht="13.2" customHeight="1">
      <c r="A21" s="2624"/>
      <c r="B21" s="2625"/>
      <c r="C21" s="2670" t="s">
        <v>2399</v>
      </c>
      <c r="D21" s="2671" t="s">
        <v>2400</v>
      </c>
      <c r="E21" s="2672" t="s">
        <v>2401</v>
      </c>
      <c r="F21" s="2668"/>
      <c r="G21" s="2640"/>
      <c r="H21" s="2596"/>
      <c r="I21" s="2597"/>
      <c r="J21" s="3352"/>
      <c r="K21" s="3354"/>
      <c r="L21" s="2631" t="s">
        <v>2402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2403</v>
      </c>
      <c r="D22" s="2675" t="s">
        <v>2404</v>
      </c>
      <c r="E22" s="2676" t="s">
        <v>2405</v>
      </c>
      <c r="F22" s="2668"/>
      <c r="G22" s="2589"/>
      <c r="H22" s="2596"/>
      <c r="I22" s="2597"/>
      <c r="J22" s="3352"/>
      <c r="K22" s="3354"/>
      <c r="L22" s="2631" t="s">
        <v>2406</v>
      </c>
      <c r="M22" s="2632"/>
      <c r="N22" s="2632"/>
      <c r="O22" s="2633"/>
      <c r="P22" s="2634">
        <v>365</v>
      </c>
      <c r="Q22" s="2608"/>
      <c r="R22" s="2673">
        <f>ROUND(M22*N22*O22*P22/10000,0)</f>
        <v>0</v>
      </c>
      <c r="S22" s="2589"/>
      <c r="T22" s="2589"/>
      <c r="U22" s="2589"/>
      <c r="V22" s="2597"/>
    </row>
    <row r="23" spans="1:22" s="2601" customFormat="1" ht="13.2" customHeight="1">
      <c r="A23" s="2677">
        <v>1</v>
      </c>
      <c r="B23" s="2678" t="s">
        <v>2407</v>
      </c>
      <c r="C23" s="2679">
        <f>D6</f>
        <v>0</v>
      </c>
      <c r="D23" s="2680">
        <f>C23*(1+D24)</f>
        <v>0</v>
      </c>
      <c r="E23" s="2681">
        <f>D23*(1+E24)</f>
        <v>0</v>
      </c>
      <c r="F23" s="2682"/>
      <c r="G23" s="2683"/>
      <c r="H23" s="2596"/>
      <c r="I23" s="2597"/>
      <c r="J23" s="3352"/>
      <c r="K23" s="3354"/>
      <c r="L23" s="2631" t="s">
        <v>2408</v>
      </c>
      <c r="M23" s="2632"/>
      <c r="N23" s="2632"/>
      <c r="O23" s="2633"/>
      <c r="P23" s="2634">
        <v>365</v>
      </c>
      <c r="Q23" s="2608"/>
      <c r="R23" s="2673">
        <f>ROUND(M23*N23*O23*P23/10000,0)</f>
        <v>0</v>
      </c>
      <c r="S23" s="2589"/>
      <c r="T23" s="2589"/>
      <c r="U23" s="2589"/>
      <c r="V23" s="2597"/>
    </row>
    <row r="24" spans="1:22" s="2601" customFormat="1" ht="13.2" customHeight="1">
      <c r="A24" s="2684"/>
      <c r="B24" s="2685" t="s">
        <v>2409</v>
      </c>
      <c r="C24" s="2686"/>
      <c r="D24" s="2687"/>
      <c r="E24" s="2688"/>
      <c r="F24" s="2689"/>
      <c r="G24" s="2683"/>
      <c r="H24" s="2596"/>
      <c r="I24" s="2597"/>
      <c r="J24" s="3352"/>
      <c r="K24" s="3355"/>
      <c r="L24" s="2651" t="s">
        <v>2370</v>
      </c>
      <c r="M24" s="2652">
        <f>SUM(M21:M23)</f>
        <v>0</v>
      </c>
      <c r="N24" s="2652"/>
      <c r="O24" s="2653"/>
      <c r="P24" s="2666" t="s">
        <v>2434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2410</v>
      </c>
      <c r="L25" s="2692"/>
      <c r="M25" s="2692"/>
      <c r="N25" s="2692"/>
      <c r="O25" s="2692"/>
      <c r="P25" s="2693"/>
      <c r="Q25" s="2694">
        <v>0</v>
      </c>
      <c r="R25" s="2667">
        <f>ROUND(R14*Q25,0)</f>
        <v>0</v>
      </c>
      <c r="S25" s="2589"/>
      <c r="T25" s="2589"/>
      <c r="U25" s="2589"/>
      <c r="V25" s="2695"/>
    </row>
    <row r="26" spans="1:22" s="2696" customFormat="1" ht="13.2" customHeight="1">
      <c r="A26" s="2677">
        <v>2</v>
      </c>
      <c r="B26" s="2678" t="s">
        <v>2411</v>
      </c>
      <c r="C26" s="2679">
        <f>D7</f>
        <v>0</v>
      </c>
      <c r="D26" s="2680">
        <f>D23*D27</f>
        <v>0</v>
      </c>
      <c r="E26" s="2681">
        <f>E23*E27</f>
        <v>0</v>
      </c>
      <c r="F26" s="2682"/>
      <c r="G26" s="2683"/>
      <c r="H26" s="2596"/>
      <c r="I26" s="2597"/>
      <c r="J26" s="3362">
        <v>5</v>
      </c>
      <c r="K26" s="2697" t="s">
        <v>2412</v>
      </c>
      <c r="L26" s="2698"/>
      <c r="M26" s="2699"/>
      <c r="N26" s="2700" t="s">
        <v>2413</v>
      </c>
      <c r="O26" s="2700" t="s">
        <v>2414</v>
      </c>
      <c r="P26" s="2701" t="s">
        <v>2415</v>
      </c>
      <c r="Q26" s="2701" t="s">
        <v>2416</v>
      </c>
      <c r="R26" s="2606" t="s">
        <v>2341</v>
      </c>
      <c r="S26" s="2640"/>
      <c r="T26" s="2640"/>
      <c r="U26" s="2640"/>
      <c r="V26" s="2695"/>
    </row>
    <row r="27" spans="1:22" s="2601" customFormat="1" ht="13.2" customHeight="1">
      <c r="A27" s="2684"/>
      <c r="B27" s="2685" t="s">
        <v>2417</v>
      </c>
      <c r="C27" s="2702" t="e">
        <f>E7</f>
        <v>#DIV/0!</v>
      </c>
      <c r="D27" s="2687"/>
      <c r="E27" s="2688"/>
      <c r="F27" s="2689"/>
      <c r="G27" s="2683"/>
      <c r="H27" s="2703"/>
      <c r="I27" s="2695"/>
      <c r="J27" s="3363"/>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2418</v>
      </c>
      <c r="F28" s="2689"/>
      <c r="G28" s="2589"/>
      <c r="H28" s="2703"/>
      <c r="I28" s="2695"/>
      <c r="J28" s="2709">
        <v>6</v>
      </c>
      <c r="K28" s="2710" t="s">
        <v>2419</v>
      </c>
      <c r="L28" s="2711" t="s">
        <v>2420</v>
      </c>
      <c r="M28" s="2712"/>
      <c r="N28" s="2711" t="s">
        <v>2421</v>
      </c>
      <c r="O28" s="2713"/>
      <c r="P28" s="2711" t="s">
        <v>2422</v>
      </c>
      <c r="Q28" s="2714">
        <v>1.4999999999999999E-2</v>
      </c>
      <c r="R28" s="2715"/>
      <c r="S28" s="2589"/>
      <c r="T28" s="2589"/>
      <c r="U28" s="2589"/>
      <c r="V28" s="2695"/>
    </row>
    <row r="29" spans="1:22" s="2696" customFormat="1" ht="13.2" customHeight="1">
      <c r="A29" s="2677">
        <v>3</v>
      </c>
      <c r="B29" s="2678" t="s">
        <v>2423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2424</v>
      </c>
      <c r="K31" s="2587"/>
      <c r="L31" s="2587"/>
      <c r="M31" s="2587"/>
      <c r="N31" s="2587"/>
      <c r="O31" s="2587"/>
      <c r="P31" s="2587"/>
      <c r="Q31" s="2587"/>
      <c r="R31" s="2588"/>
      <c r="S31" s="2589"/>
      <c r="T31" s="2589"/>
      <c r="U31" s="2589"/>
      <c r="V31" s="2695"/>
    </row>
    <row r="32" spans="1:22" s="2696" customFormat="1" ht="13.2" customHeight="1">
      <c r="A32" s="2677">
        <v>4</v>
      </c>
      <c r="B32" s="2678" t="s">
        <v>2425</v>
      </c>
      <c r="C32" s="2679">
        <f>C23-C26-C29</f>
        <v>0</v>
      </c>
      <c r="D32" s="2680">
        <f>D23-D26-D29</f>
        <v>0</v>
      </c>
      <c r="E32" s="2681">
        <f>E23-E26-E29</f>
        <v>0</v>
      </c>
      <c r="F32" s="2682"/>
      <c r="G32" s="2589"/>
      <c r="H32" s="2596"/>
      <c r="I32" s="2597"/>
      <c r="J32" s="3345" t="s">
        <v>2317</v>
      </c>
      <c r="K32" s="3346"/>
      <c r="L32" s="2598" t="s">
        <v>2318</v>
      </c>
      <c r="M32" s="2598" t="s">
        <v>2319</v>
      </c>
      <c r="N32" s="2598" t="s">
        <v>2320</v>
      </c>
      <c r="O32" s="2598" t="s">
        <v>2321</v>
      </c>
      <c r="P32" s="2598" t="s">
        <v>2322</v>
      </c>
      <c r="Q32" s="2599" t="s">
        <v>2323</v>
      </c>
      <c r="R32" s="2718" t="s">
        <v>2324</v>
      </c>
      <c r="S32" s="2589"/>
      <c r="T32" s="2589"/>
      <c r="U32" s="2589"/>
      <c r="V32" s="2695"/>
    </row>
    <row r="33" spans="1:23" s="2601" customFormat="1" ht="13.2" customHeight="1">
      <c r="A33" s="2677"/>
      <c r="B33" s="2678"/>
      <c r="C33" s="2679"/>
      <c r="D33" s="2719"/>
      <c r="E33" s="2720"/>
      <c r="F33" s="2682"/>
      <c r="G33" s="2589"/>
      <c r="H33" s="2703"/>
      <c r="I33" s="2695"/>
      <c r="J33" s="3347" t="s">
        <v>2327</v>
      </c>
      <c r="K33" s="3348"/>
      <c r="L33" s="2604"/>
      <c r="M33" s="2604"/>
      <c r="N33" s="2604"/>
      <c r="O33" s="2604"/>
      <c r="P33" s="2604"/>
      <c r="Q33" s="2605"/>
      <c r="R33" s="2721">
        <f>SUM(L33:Q33)</f>
        <v>0</v>
      </c>
      <c r="S33" s="2589"/>
      <c r="T33" s="2589"/>
      <c r="U33" s="2589"/>
      <c r="V33" s="2597"/>
    </row>
    <row r="34" spans="1:23" s="2601" customFormat="1" ht="13.2" customHeight="1">
      <c r="A34" s="2677">
        <v>5</v>
      </c>
      <c r="B34" s="2678" t="s">
        <v>2426</v>
      </c>
      <c r="C34" s="2722"/>
      <c r="D34" s="2723"/>
      <c r="E34" s="2724"/>
      <c r="F34" s="2682"/>
      <c r="G34" s="2589"/>
      <c r="H34" s="2703"/>
      <c r="I34" s="2695"/>
      <c r="J34" s="3347" t="s">
        <v>2329</v>
      </c>
      <c r="K34" s="3348"/>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2427</v>
      </c>
      <c r="C35" s="2726"/>
      <c r="D35" s="2727"/>
      <c r="E35" s="2728"/>
      <c r="F35" s="2682"/>
      <c r="G35" s="2729"/>
      <c r="H35" s="2596"/>
      <c r="I35" s="2695"/>
      <c r="J35" s="2615" t="s">
        <v>2331</v>
      </c>
      <c r="K35" s="2616"/>
      <c r="L35" s="2616"/>
      <c r="M35" s="2617"/>
      <c r="N35" s="2617"/>
      <c r="O35" s="2617"/>
      <c r="P35" s="2617"/>
      <c r="Q35" s="2617"/>
      <c r="R35" s="2730">
        <f>R40+R41+R43</f>
        <v>0</v>
      </c>
      <c r="S35" s="2589"/>
      <c r="T35" s="2589" t="s">
        <v>2332</v>
      </c>
      <c r="U35" s="2589"/>
      <c r="V35" s="2597"/>
    </row>
    <row r="36" spans="1:23" s="2601" customFormat="1" ht="13.2" customHeight="1" thickBot="1">
      <c r="A36" s="2677">
        <v>7</v>
      </c>
      <c r="B36" s="2731" t="s">
        <v>2428</v>
      </c>
      <c r="C36" s="2732"/>
      <c r="D36" s="2733"/>
      <c r="E36" s="2734"/>
      <c r="F36" s="2735">
        <f>C36+D36+E36</f>
        <v>0</v>
      </c>
      <c r="G36" s="2589"/>
      <c r="H36" s="2596"/>
      <c r="I36" s="2597"/>
      <c r="J36" s="3352">
        <v>1</v>
      </c>
      <c r="K36" s="3353" t="s">
        <v>2429</v>
      </c>
      <c r="L36" s="2622"/>
      <c r="M36" s="2623"/>
      <c r="N36" s="2623"/>
      <c r="O36" s="2623"/>
      <c r="P36" s="2623"/>
      <c r="Q36" s="2623"/>
      <c r="R36" s="2606" t="s">
        <v>2341</v>
      </c>
      <c r="S36" s="2589"/>
      <c r="T36" s="2589" t="s">
        <v>2342</v>
      </c>
      <c r="U36" s="2589"/>
      <c r="V36" s="2597"/>
    </row>
    <row r="37" spans="1:23" s="2601" customFormat="1" ht="13.2" customHeight="1">
      <c r="A37" s="2677"/>
      <c r="B37" s="2678"/>
      <c r="C37" s="2678"/>
      <c r="D37" s="2678"/>
      <c r="E37" s="2678"/>
      <c r="F37" s="2682"/>
      <c r="G37" s="2589"/>
      <c r="H37" s="2596"/>
      <c r="I37" s="2597"/>
      <c r="J37" s="3352"/>
      <c r="K37" s="3354"/>
      <c r="L37" s="2631"/>
      <c r="M37" s="2632"/>
      <c r="N37" s="2608"/>
      <c r="O37" s="2633"/>
      <c r="P37" s="2633"/>
      <c r="Q37" s="2634"/>
      <c r="R37" s="2635"/>
      <c r="S37" s="2589"/>
      <c r="T37" s="2589" t="s">
        <v>2345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52"/>
      <c r="K38" s="3354"/>
      <c r="L38" s="2631"/>
      <c r="M38" s="2632"/>
      <c r="N38" s="2608"/>
      <c r="O38" s="2633"/>
      <c r="P38" s="2633"/>
      <c r="Q38" s="2634"/>
      <c r="R38" s="2635"/>
      <c r="S38" s="2589"/>
      <c r="T38" s="2589" t="s">
        <v>2352</v>
      </c>
      <c r="U38" s="2589"/>
      <c r="V38" s="2597"/>
    </row>
    <row r="39" spans="1:23" s="2601" customFormat="1" ht="13.2" customHeight="1">
      <c r="A39" s="2677">
        <v>9</v>
      </c>
      <c r="B39" s="2678" t="s">
        <v>2430</v>
      </c>
      <c r="C39" s="2645" t="e">
        <f>C38</f>
        <v>#DIV/0!</v>
      </c>
      <c r="D39" s="2678">
        <f>D38/(1+D34)^C36</f>
        <v>0</v>
      </c>
      <c r="E39" s="2678">
        <f>E38/(1+E34)^(C36+D36)</f>
        <v>0</v>
      </c>
      <c r="F39" s="2682"/>
      <c r="G39" s="2597"/>
      <c r="H39" s="2596"/>
      <c r="I39" s="2597"/>
      <c r="J39" s="3352"/>
      <c r="K39" s="3354"/>
      <c r="L39" s="2631"/>
      <c r="M39" s="2632"/>
      <c r="N39" s="2608"/>
      <c r="O39" s="2633"/>
      <c r="P39" s="2633"/>
      <c r="Q39" s="2634"/>
      <c r="R39" s="2635"/>
      <c r="S39" s="2589"/>
      <c r="T39" s="2589"/>
      <c r="U39" s="2589"/>
      <c r="V39" s="2597"/>
    </row>
    <row r="40" spans="1:23" s="2601" customFormat="1" ht="13.2" customHeight="1">
      <c r="A40" s="2736">
        <v>10</v>
      </c>
      <c r="B40" s="2678" t="s">
        <v>2431</v>
      </c>
      <c r="C40" s="2737" t="e">
        <f>C39+D39+E39</f>
        <v>#DIV/0!</v>
      </c>
      <c r="D40" s="2738"/>
      <c r="E40" s="2738"/>
      <c r="F40" s="2739"/>
      <c r="G40" s="2589"/>
      <c r="H40" s="2596"/>
      <c r="I40" s="2597"/>
      <c r="J40" s="3352"/>
      <c r="K40" s="3355"/>
      <c r="L40" s="2651" t="s">
        <v>2370</v>
      </c>
      <c r="M40" s="2652"/>
      <c r="N40" s="2652"/>
      <c r="O40" s="2653"/>
      <c r="P40" s="2653"/>
      <c r="Q40" s="2654"/>
      <c r="R40" s="2600">
        <f>SUM(R37:R39)</f>
        <v>0</v>
      </c>
      <c r="S40" s="2589"/>
      <c r="T40" s="2589"/>
      <c r="U40" s="2589"/>
      <c r="V40" s="2597"/>
    </row>
    <row r="41" spans="1:23" s="2601" customFormat="1" ht="13.2" customHeight="1" thickBot="1">
      <c r="A41" s="2740">
        <v>11</v>
      </c>
      <c r="B41" s="2741" t="s">
        <v>2432</v>
      </c>
      <c r="C41" s="2741" t="e">
        <f>ROUND(C40*10000/B4,0)</f>
        <v>#DIV/0!</v>
      </c>
      <c r="D41" s="2742"/>
      <c r="E41" s="2742"/>
      <c r="F41" s="2743"/>
      <c r="G41" s="2596"/>
      <c r="H41" s="2596"/>
      <c r="I41" s="2597"/>
      <c r="J41" s="2690">
        <v>2</v>
      </c>
      <c r="K41" s="2691" t="s">
        <v>2410</v>
      </c>
      <c r="L41" s="2692"/>
      <c r="M41" s="2692"/>
      <c r="N41" s="2692"/>
      <c r="O41" s="2692"/>
      <c r="P41" s="2693"/>
      <c r="Q41" s="2694"/>
      <c r="R41" s="2667">
        <f>ROUND(R40*Q41,0)</f>
        <v>0</v>
      </c>
      <c r="S41" s="2589"/>
      <c r="T41" s="2589"/>
      <c r="U41" s="2640"/>
      <c r="V41" s="2597"/>
    </row>
    <row r="42" spans="1:23" s="2601" customFormat="1" ht="13.2" customHeight="1">
      <c r="G42" s="2596"/>
      <c r="H42" s="2596"/>
      <c r="I42" s="2597"/>
      <c r="J42" s="3362">
        <v>3</v>
      </c>
      <c r="K42" s="2697" t="s">
        <v>2412</v>
      </c>
      <c r="L42" s="2698"/>
      <c r="M42" s="2699"/>
      <c r="N42" s="2700" t="s">
        <v>2413</v>
      </c>
      <c r="O42" s="2700" t="s">
        <v>2414</v>
      </c>
      <c r="P42" s="2701" t="s">
        <v>2415</v>
      </c>
      <c r="Q42" s="2701" t="s">
        <v>2416</v>
      </c>
      <c r="R42" s="2606" t="s">
        <v>2341</v>
      </c>
      <c r="S42" s="2640"/>
      <c r="T42" s="2640"/>
      <c r="U42" s="2589"/>
      <c r="V42" s="2597"/>
    </row>
    <row r="43" spans="1:23" ht="13.2" customHeight="1">
      <c r="A43" s="2601"/>
      <c r="B43" s="2601"/>
      <c r="C43" s="2601"/>
      <c r="D43" s="2601"/>
      <c r="E43" s="2601"/>
      <c r="F43" s="2601"/>
      <c r="I43" s="2584"/>
      <c r="J43" s="3363"/>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2419</v>
      </c>
      <c r="L44" s="2746" t="s">
        <v>2420</v>
      </c>
      <c r="M44" s="2712"/>
      <c r="N44" s="2746" t="s">
        <v>2421</v>
      </c>
      <c r="O44" s="2712"/>
      <c r="P44" s="2746" t="s">
        <v>2422</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0">
        <f>SUM(E6:E13)</f>
        <v>0</v>
      </c>
      <c r="F2" s="2476"/>
      <c r="G2" s="459"/>
      <c r="H2" s="459"/>
      <c r="I2" s="459"/>
      <c r="J2" s="459"/>
      <c r="K2" s="459"/>
      <c r="L2" s="459"/>
      <c r="M2" s="459"/>
      <c r="N2" s="459"/>
      <c r="O2" s="459"/>
      <c r="P2" s="459"/>
      <c r="Q2" s="459"/>
      <c r="R2" s="459"/>
      <c r="S2" s="459"/>
    </row>
    <row r="3" spans="1:22" ht="15.6">
      <c r="A3" s="1728" t="s">
        <v>686</v>
      </c>
      <c r="B3" s="2384" t="e">
        <f ca="1">ROUND(B2*10000/E2,0)</f>
        <v>#DIV/0!</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364" t="s">
        <v>1654</v>
      </c>
      <c r="C5" s="3365"/>
      <c r="D5" s="2477"/>
      <c r="E5" s="1731" t="s">
        <v>1655</v>
      </c>
      <c r="F5" s="129" t="s">
        <v>1656</v>
      </c>
      <c r="G5" s="459"/>
      <c r="H5" s="459"/>
      <c r="I5" s="459"/>
      <c r="J5" s="459"/>
      <c r="K5" s="459"/>
      <c r="L5" s="459"/>
      <c r="M5" s="459"/>
      <c r="N5" s="459"/>
      <c r="O5" s="459"/>
      <c r="P5" s="459"/>
      <c r="Q5" s="459"/>
      <c r="R5" s="459"/>
      <c r="S5" s="459"/>
    </row>
    <row r="6" spans="1:22" ht="14.4">
      <c r="A6" s="2387">
        <f>'数据-取费表'!AN6</f>
        <v>0</v>
      </c>
      <c r="B6" s="2385" t="e">
        <f ca="1">IF(F6="是",'数据-取费表'!AO6,0)</f>
        <v>#REF!</v>
      </c>
      <c r="C6" s="1729" t="s">
        <v>1651</v>
      </c>
      <c r="D6" s="2476"/>
      <c r="E6" s="2389">
        <f>IF(OR(A6=0,F6="否"),0,'数据-取费表'!K6+'数据-取费表'!S6)</f>
        <v>0</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772.54</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384" t="s">
        <v>1667</v>
      </c>
      <c r="D4" s="3385"/>
      <c r="E4" s="3386" t="s">
        <v>1668</v>
      </c>
      <c r="F4" s="3387"/>
      <c r="G4" s="3384" t="s">
        <v>1669</v>
      </c>
      <c r="H4" s="3385"/>
      <c r="I4" s="3384" t="s">
        <v>1670</v>
      </c>
      <c r="J4" s="3385"/>
      <c r="K4" s="1744" t="s">
        <v>1671</v>
      </c>
      <c r="L4" s="2483"/>
      <c r="M4" s="2484"/>
      <c r="N4" s="2484"/>
      <c r="O4" s="2484"/>
      <c r="P4" s="3388" t="s">
        <v>1672</v>
      </c>
      <c r="Q4" s="3389"/>
      <c r="R4" s="3371" t="s">
        <v>1668</v>
      </c>
      <c r="S4" s="3372"/>
      <c r="T4" s="3371" t="s">
        <v>1669</v>
      </c>
      <c r="U4" s="3372"/>
      <c r="V4" s="3396" t="s">
        <v>1670</v>
      </c>
      <c r="W4" s="3396"/>
      <c r="X4" s="1265"/>
      <c r="Y4" s="3371" t="s">
        <v>1672</v>
      </c>
      <c r="Z4" s="3372"/>
      <c r="AA4" s="3366" t="s">
        <v>1668</v>
      </c>
      <c r="AB4" s="3366" t="s">
        <v>1669</v>
      </c>
      <c r="AC4" s="3366" t="s">
        <v>1670</v>
      </c>
    </row>
    <row r="5" spans="1:29">
      <c r="A5" s="348"/>
      <c r="B5" s="349"/>
      <c r="C5" s="3377" t="s">
        <v>1673</v>
      </c>
      <c r="D5" s="3378"/>
      <c r="E5" s="3375" t="s">
        <v>1674</v>
      </c>
      <c r="F5" s="3376"/>
      <c r="G5" s="3377" t="s">
        <v>1675</v>
      </c>
      <c r="H5" s="3378"/>
      <c r="I5" s="3377" t="s">
        <v>1676</v>
      </c>
      <c r="J5" s="3378"/>
      <c r="K5" s="1745"/>
      <c r="L5" s="2483"/>
      <c r="M5" s="2484"/>
      <c r="N5" s="2484"/>
      <c r="O5" s="2484"/>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1745" t="s">
        <v>1678</v>
      </c>
      <c r="L6" s="2483"/>
      <c r="M6" s="2484"/>
      <c r="N6" s="2484"/>
      <c r="O6" s="2484"/>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45747</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369" t="s">
        <v>1680</v>
      </c>
      <c r="Q7" s="3397"/>
      <c r="R7" s="664" t="s">
        <v>20</v>
      </c>
      <c r="S7" s="665">
        <f t="shared" ref="S7:S15" si="0">F7</f>
        <v>0</v>
      </c>
      <c r="T7" s="664" t="s">
        <v>20</v>
      </c>
      <c r="U7" s="665">
        <f t="shared" ref="U7:U15" si="1">H7</f>
        <v>0</v>
      </c>
      <c r="V7" s="664" t="s">
        <v>20</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369" t="s">
        <v>1683</v>
      </c>
      <c r="Q8" s="3370"/>
      <c r="R8" s="664" t="s">
        <v>20</v>
      </c>
      <c r="S8" s="665">
        <f t="shared" si="0"/>
        <v>100</v>
      </c>
      <c r="T8" s="664" t="s">
        <v>20</v>
      </c>
      <c r="U8" s="665">
        <f t="shared" si="1"/>
        <v>100</v>
      </c>
      <c r="V8" s="664" t="s">
        <v>20</v>
      </c>
      <c r="W8" s="665">
        <f t="shared" si="2"/>
        <v>100</v>
      </c>
      <c r="X8" s="666"/>
      <c r="Y8" s="3369" t="s">
        <v>1683</v>
      </c>
      <c r="Z8" s="337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38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83"/>
      <c r="Q11" s="530" t="str">
        <f t="shared" si="6"/>
        <v>容积率</v>
      </c>
      <c r="R11" s="664" t="s">
        <v>18</v>
      </c>
      <c r="S11" s="665" t="e">
        <f t="shared" si="0"/>
        <v>#N/A</v>
      </c>
      <c r="T11" s="664" t="s">
        <v>18</v>
      </c>
      <c r="U11" s="665" t="e">
        <f t="shared" si="1"/>
        <v>#N/A</v>
      </c>
      <c r="V11" s="664" t="s">
        <v>18</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383"/>
      <c r="Q12" s="530">
        <f t="shared" si="6"/>
        <v>111</v>
      </c>
      <c r="R12" s="664" t="s">
        <v>18</v>
      </c>
      <c r="S12" s="665">
        <f t="shared" si="0"/>
        <v>100</v>
      </c>
      <c r="T12" s="664" t="s">
        <v>18</v>
      </c>
      <c r="U12" s="665">
        <f t="shared" si="1"/>
        <v>100</v>
      </c>
      <c r="V12" s="664" t="s">
        <v>18</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83"/>
      <c r="Q13" s="530">
        <f t="shared" si="6"/>
        <v>111</v>
      </c>
      <c r="R13" s="664" t="s">
        <v>18</v>
      </c>
      <c r="S13" s="665">
        <f t="shared" si="0"/>
        <v>100</v>
      </c>
      <c r="T13" s="664" t="s">
        <v>18</v>
      </c>
      <c r="U13" s="665">
        <f t="shared" si="1"/>
        <v>100</v>
      </c>
      <c r="V13" s="664" t="s">
        <v>18</v>
      </c>
      <c r="W13" s="665">
        <f t="shared" si="2"/>
        <v>100</v>
      </c>
      <c r="X13" s="666"/>
      <c r="Y13" s="331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83"/>
      <c r="Q14" s="530">
        <f t="shared" si="6"/>
        <v>111</v>
      </c>
      <c r="R14" s="664" t="s">
        <v>18</v>
      </c>
      <c r="S14" s="665">
        <f t="shared" si="0"/>
        <v>100</v>
      </c>
      <c r="T14" s="664" t="s">
        <v>18</v>
      </c>
      <c r="U14" s="665">
        <f t="shared" si="1"/>
        <v>100</v>
      </c>
      <c r="V14" s="664" t="s">
        <v>18</v>
      </c>
      <c r="W14" s="665">
        <f t="shared" si="2"/>
        <v>100</v>
      </c>
      <c r="X14" s="666"/>
      <c r="Y14" s="331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09"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10"/>
      <c r="Q16" s="1263"/>
      <c r="R16" s="667"/>
      <c r="S16" s="668"/>
      <c r="T16" s="667"/>
      <c r="U16" s="668"/>
      <c r="V16" s="667"/>
      <c r="W16" s="668"/>
      <c r="X16" s="1265"/>
      <c r="Y16" s="340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10"/>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10"/>
      <c r="Q18" s="1263"/>
      <c r="R18" s="667"/>
      <c r="S18" s="668"/>
      <c r="T18" s="667"/>
      <c r="U18" s="668"/>
      <c r="V18" s="667"/>
      <c r="W18" s="668"/>
      <c r="X18" s="1265"/>
      <c r="Y18" s="340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10"/>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10"/>
      <c r="Q20" s="1263"/>
      <c r="R20" s="667"/>
      <c r="S20" s="668"/>
      <c r="T20" s="667"/>
      <c r="U20" s="668"/>
      <c r="V20" s="667"/>
      <c r="W20" s="668"/>
      <c r="X20" s="1265"/>
      <c r="Y20" s="340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10"/>
      <c r="Q22" s="1263"/>
      <c r="R22" s="667"/>
      <c r="S22" s="668"/>
      <c r="T22" s="667"/>
      <c r="U22" s="668"/>
      <c r="V22" s="667"/>
      <c r="W22" s="668"/>
      <c r="X22" s="1265"/>
      <c r="Y22" s="340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10"/>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10"/>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10"/>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410"/>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10"/>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10"/>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10"/>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10"/>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401" t="str">
        <f>A47</f>
        <v>成交单价（元/平方米）</v>
      </c>
      <c r="Q47" s="3401"/>
      <c r="R47" s="3396">
        <f>E47</f>
        <v>0</v>
      </c>
      <c r="S47" s="3396"/>
      <c r="T47" s="3396">
        <f>G47</f>
        <v>0</v>
      </c>
      <c r="U47" s="3396"/>
      <c r="V47" s="3396">
        <f>I47</f>
        <v>0</v>
      </c>
      <c r="W47" s="339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772.54</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1" t="s">
        <v>1771</v>
      </c>
      <c r="S4" s="3372"/>
      <c r="T4" s="3371" t="s">
        <v>1772</v>
      </c>
      <c r="U4" s="3372"/>
      <c r="V4" s="3396" t="s">
        <v>1773</v>
      </c>
      <c r="W4" s="3396"/>
      <c r="X4" s="1265"/>
      <c r="Y4" s="3371" t="s">
        <v>1775</v>
      </c>
      <c r="Z4" s="3372"/>
      <c r="AA4" s="3366" t="s">
        <v>1771</v>
      </c>
      <c r="AB4" s="3396" t="s">
        <v>1772</v>
      </c>
      <c r="AC4" s="3366" t="s">
        <v>1773</v>
      </c>
    </row>
    <row r="5" spans="1:29">
      <c r="A5" s="348"/>
      <c r="B5" s="349"/>
      <c r="C5" s="3377" t="s">
        <v>1673</v>
      </c>
      <c r="D5" s="3378"/>
      <c r="E5" s="3375" t="s">
        <v>1674</v>
      </c>
      <c r="F5" s="3376"/>
      <c r="G5" s="3377" t="s">
        <v>1675</v>
      </c>
      <c r="H5" s="3378"/>
      <c r="I5" s="3377" t="s">
        <v>1676</v>
      </c>
      <c r="J5" s="3378"/>
      <c r="K5" s="537"/>
      <c r="L5" s="2483"/>
      <c r="M5" s="2484"/>
      <c r="N5" s="2484"/>
      <c r="O5" s="2484"/>
      <c r="P5" s="3390"/>
      <c r="Q5" s="3391"/>
      <c r="R5" s="3373"/>
      <c r="S5" s="3374"/>
      <c r="T5" s="3373"/>
      <c r="U5" s="3374"/>
      <c r="V5" s="3396"/>
      <c r="W5" s="3396"/>
      <c r="X5" s="1265"/>
      <c r="Y5" s="3373"/>
      <c r="Z5" s="3374"/>
      <c r="AA5" s="3367"/>
      <c r="AB5" s="3396"/>
      <c r="AC5" s="3367"/>
    </row>
    <row r="6" spans="1:29" ht="15" thickBot="1">
      <c r="A6" s="350"/>
      <c r="B6" s="351"/>
      <c r="C6" s="3379" t="s">
        <v>1677</v>
      </c>
      <c r="D6" s="3380"/>
      <c r="E6" s="3381" t="s">
        <v>1677</v>
      </c>
      <c r="F6" s="3382"/>
      <c r="G6" s="3379" t="s">
        <v>1677</v>
      </c>
      <c r="H6" s="3380"/>
      <c r="I6" s="3379" t="s">
        <v>1677</v>
      </c>
      <c r="J6" s="3380"/>
      <c r="K6" s="537" t="s">
        <v>1678</v>
      </c>
      <c r="L6" s="2483"/>
      <c r="M6" s="2484"/>
      <c r="N6" s="2484"/>
      <c r="O6" s="2484"/>
      <c r="P6" s="3392"/>
      <c r="Q6" s="3393"/>
      <c r="R6" s="3373"/>
      <c r="S6" s="3374"/>
      <c r="T6" s="3394"/>
      <c r="U6" s="3395"/>
      <c r="V6" s="3396"/>
      <c r="W6" s="3396"/>
      <c r="X6" s="1265"/>
      <c r="Y6" s="3394"/>
      <c r="Z6" s="3395"/>
      <c r="AA6" s="3368"/>
      <c r="AB6" s="3396"/>
      <c r="AC6" s="3368"/>
    </row>
    <row r="7" spans="1:29" s="102" customFormat="1" ht="15" thickBot="1">
      <c r="A7" s="352" t="s">
        <v>1679</v>
      </c>
      <c r="B7" s="353"/>
      <c r="C7" s="354">
        <f>'数据-取费表'!B2</f>
        <v>45747</v>
      </c>
      <c r="D7" s="355">
        <v>100</v>
      </c>
      <c r="E7" s="356"/>
      <c r="F7" s="357">
        <f>SUMIF(58:58,YEAR(E7)&amp;"-"&amp;MONTH(E7),59:59)</f>
        <v>0</v>
      </c>
      <c r="G7" s="356"/>
      <c r="H7" s="355">
        <f>SUMIF(58:58,YEAR(G7)&amp;"-"&amp;MONTH(G7),59:59)</f>
        <v>0</v>
      </c>
      <c r="I7" s="356"/>
      <c r="J7" s="355">
        <f>SUMIF(58:58,YEAR(I7)&amp;"-"&amp;MONTH(I7),59:59)</f>
        <v>0</v>
      </c>
      <c r="K7" s="38"/>
      <c r="L7" s="2485"/>
      <c r="M7" s="2437"/>
      <c r="N7" s="2437"/>
      <c r="O7" s="2437"/>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369" t="s">
        <v>1683</v>
      </c>
      <c r="Q8" s="3370"/>
      <c r="R8" s="664" t="s">
        <v>14</v>
      </c>
      <c r="S8" s="665">
        <f t="shared" si="0"/>
        <v>100</v>
      </c>
      <c r="T8" s="664" t="s">
        <v>14</v>
      </c>
      <c r="U8" s="665">
        <f t="shared" si="1"/>
        <v>100</v>
      </c>
      <c r="V8" s="664" t="s">
        <v>14</v>
      </c>
      <c r="W8" s="665">
        <f t="shared" si="2"/>
        <v>100</v>
      </c>
      <c r="X8" s="666"/>
      <c r="Y8" s="3369" t="s">
        <v>1683</v>
      </c>
      <c r="Z8" s="337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38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83"/>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8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09"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10"/>
      <c r="Q16" s="1263"/>
      <c r="R16" s="667"/>
      <c r="S16" s="668"/>
      <c r="T16" s="667"/>
      <c r="U16" s="668"/>
      <c r="V16" s="667"/>
      <c r="W16" s="668"/>
      <c r="X16" s="1265"/>
      <c r="Y16" s="340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10"/>
      <c r="Q18" s="1263"/>
      <c r="R18" s="667"/>
      <c r="S18" s="668"/>
      <c r="T18" s="667"/>
      <c r="U18" s="668"/>
      <c r="V18" s="667"/>
      <c r="W18" s="668"/>
      <c r="X18" s="1265"/>
      <c r="Y18" s="340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10"/>
      <c r="Q20" s="1263"/>
      <c r="R20" s="667"/>
      <c r="S20" s="668"/>
      <c r="T20" s="667"/>
      <c r="U20" s="668"/>
      <c r="V20" s="667"/>
      <c r="W20" s="668"/>
      <c r="X20" s="1265"/>
      <c r="Y20" s="340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10"/>
      <c r="Q22" s="1263"/>
      <c r="R22" s="667"/>
      <c r="S22" s="668"/>
      <c r="T22" s="667"/>
      <c r="U22" s="668"/>
      <c r="V22" s="667"/>
      <c r="W22" s="668"/>
      <c r="X22" s="1265"/>
      <c r="Y22" s="340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10"/>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10"/>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10"/>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10"/>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7"/>
      <c r="N27" s="2437"/>
      <c r="O27" s="2437"/>
      <c r="P27" s="3410"/>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10"/>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401" t="str">
        <f>A47</f>
        <v>成交单价（元/平方米）</v>
      </c>
      <c r="Q47" s="3401"/>
      <c r="R47" s="3396">
        <f>E47</f>
        <v>0</v>
      </c>
      <c r="S47" s="3396"/>
      <c r="T47" s="3396">
        <f>G47</f>
        <v>0</v>
      </c>
      <c r="U47" s="3396"/>
      <c r="V47" s="3396">
        <f>I47</f>
        <v>0</v>
      </c>
      <c r="W47" s="339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772.54</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384" t="s">
        <v>1770</v>
      </c>
      <c r="D4" s="3385"/>
      <c r="E4" s="3386" t="s">
        <v>1771</v>
      </c>
      <c r="F4" s="3387"/>
      <c r="G4" s="3384" t="s">
        <v>1772</v>
      </c>
      <c r="H4" s="3385"/>
      <c r="I4" s="3384" t="s">
        <v>1773</v>
      </c>
      <c r="J4" s="3385"/>
      <c r="K4" s="537" t="s">
        <v>1774</v>
      </c>
      <c r="L4" s="2483"/>
      <c r="M4" s="2484"/>
      <c r="N4" s="2484"/>
      <c r="O4" s="2484"/>
      <c r="P4" s="3417" t="s">
        <v>1775</v>
      </c>
      <c r="Q4" s="3418"/>
      <c r="R4" s="3412" t="s">
        <v>1771</v>
      </c>
      <c r="S4" s="3413"/>
      <c r="T4" s="3412" t="s">
        <v>1772</v>
      </c>
      <c r="U4" s="3413"/>
      <c r="V4" s="3421" t="s">
        <v>1773</v>
      </c>
      <c r="W4" s="3421"/>
      <c r="X4" s="1809"/>
      <c r="Y4" s="3412" t="s">
        <v>1775</v>
      </c>
      <c r="Z4" s="3413"/>
      <c r="AA4" s="3411" t="s">
        <v>1771</v>
      </c>
      <c r="AB4" s="3411" t="s">
        <v>1772</v>
      </c>
      <c r="AC4" s="3414" t="s">
        <v>1773</v>
      </c>
    </row>
    <row r="5" spans="1:29">
      <c r="A5" s="348"/>
      <c r="B5" s="349"/>
      <c r="C5" s="3377" t="s">
        <v>1673</v>
      </c>
      <c r="D5" s="3378"/>
      <c r="E5" s="3375" t="s">
        <v>1674</v>
      </c>
      <c r="F5" s="3376"/>
      <c r="G5" s="3377" t="s">
        <v>1675</v>
      </c>
      <c r="H5" s="3378"/>
      <c r="I5" s="3377" t="s">
        <v>1676</v>
      </c>
      <c r="J5" s="3378"/>
      <c r="K5" s="537"/>
      <c r="L5" s="2483"/>
      <c r="M5" s="2484"/>
      <c r="N5" s="2484"/>
      <c r="O5" s="2484"/>
      <c r="P5" s="3419"/>
      <c r="Q5" s="3391"/>
      <c r="R5" s="3373"/>
      <c r="S5" s="3374"/>
      <c r="T5" s="3373"/>
      <c r="U5" s="3374"/>
      <c r="V5" s="3396"/>
      <c r="W5" s="3396"/>
      <c r="X5" s="1265"/>
      <c r="Y5" s="3373"/>
      <c r="Z5" s="3374"/>
      <c r="AA5" s="3367"/>
      <c r="AB5" s="3367"/>
      <c r="AC5" s="3415"/>
    </row>
    <row r="6" spans="1:29" ht="15" thickBot="1">
      <c r="A6" s="350"/>
      <c r="B6" s="351"/>
      <c r="C6" s="3379" t="s">
        <v>1677</v>
      </c>
      <c r="D6" s="3380"/>
      <c r="E6" s="3381" t="s">
        <v>1677</v>
      </c>
      <c r="F6" s="3382"/>
      <c r="G6" s="3379" t="s">
        <v>1677</v>
      </c>
      <c r="H6" s="3380"/>
      <c r="I6" s="3379" t="s">
        <v>1677</v>
      </c>
      <c r="J6" s="3380"/>
      <c r="K6" s="537" t="s">
        <v>1678</v>
      </c>
      <c r="L6" s="2483"/>
      <c r="M6" s="2484"/>
      <c r="N6" s="2484"/>
      <c r="O6" s="2484"/>
      <c r="P6" s="3420"/>
      <c r="Q6" s="3393"/>
      <c r="R6" s="3373"/>
      <c r="S6" s="3374"/>
      <c r="T6" s="3394"/>
      <c r="U6" s="3395"/>
      <c r="V6" s="3396"/>
      <c r="W6" s="3396"/>
      <c r="X6" s="1265"/>
      <c r="Y6" s="3394"/>
      <c r="Z6" s="3395"/>
      <c r="AA6" s="3368"/>
      <c r="AB6" s="3368"/>
      <c r="AC6" s="3416"/>
    </row>
    <row r="7" spans="1:29" s="102" customFormat="1" ht="15" thickBot="1">
      <c r="A7" s="352" t="s">
        <v>1679</v>
      </c>
      <c r="B7" s="353"/>
      <c r="C7" s="354">
        <f>'数据-取费表'!B2</f>
        <v>45747</v>
      </c>
      <c r="D7" s="355">
        <v>100</v>
      </c>
      <c r="E7" s="356"/>
      <c r="F7" s="357">
        <f>SUMIF(59:59,YEAR(E7)&amp;"-"&amp;MONTH(E7),60:60)</f>
        <v>0</v>
      </c>
      <c r="G7" s="356"/>
      <c r="H7" s="355">
        <f>SUMIF(59:59,YEAR(G7)&amp;"-"&amp;MONTH(G7),60:60)</f>
        <v>0</v>
      </c>
      <c r="I7" s="356"/>
      <c r="J7" s="355">
        <f>SUMIF(59:59,YEAR(I7)&amp;"-"&amp;MONTH(I7),60:60)</f>
        <v>0</v>
      </c>
      <c r="K7" s="38"/>
      <c r="L7" s="2485"/>
      <c r="M7" s="2437"/>
      <c r="N7" s="2437"/>
      <c r="O7" s="2437"/>
      <c r="P7" s="3422"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22" t="s">
        <v>1683</v>
      </c>
      <c r="Q8" s="3370"/>
      <c r="R8" s="664" t="s">
        <v>14</v>
      </c>
      <c r="S8" s="665">
        <f t="shared" si="0"/>
        <v>100</v>
      </c>
      <c r="T8" s="664" t="s">
        <v>14</v>
      </c>
      <c r="U8" s="665">
        <f t="shared" si="1"/>
        <v>100</v>
      </c>
      <c r="V8" s="664" t="s">
        <v>14</v>
      </c>
      <c r="W8" s="665">
        <f t="shared" si="2"/>
        <v>100</v>
      </c>
      <c r="X8" s="666"/>
      <c r="Y8" s="3369" t="s">
        <v>1683</v>
      </c>
      <c r="Z8" s="337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38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802">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83"/>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7"/>
      <c r="N12" s="2437"/>
      <c r="O12" s="2437"/>
      <c r="P12" s="338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38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38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09"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9"/>
      <c r="M16" s="2484"/>
      <c r="N16" s="2484"/>
      <c r="O16" s="2484"/>
      <c r="P16" s="3410"/>
      <c r="Q16" s="1263"/>
      <c r="R16" s="667"/>
      <c r="S16" s="668"/>
      <c r="T16" s="667"/>
      <c r="U16" s="668"/>
      <c r="V16" s="667"/>
      <c r="W16" s="668"/>
      <c r="X16" s="1265"/>
      <c r="Y16" s="340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9"/>
      <c r="M18" s="2484"/>
      <c r="N18" s="2484"/>
      <c r="O18" s="2484"/>
      <c r="P18" s="3410"/>
      <c r="Q18" s="1263"/>
      <c r="R18" s="667"/>
      <c r="S18" s="668"/>
      <c r="T18" s="667"/>
      <c r="U18" s="668"/>
      <c r="V18" s="667"/>
      <c r="W18" s="668"/>
      <c r="X18" s="1265"/>
      <c r="Y18" s="340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9"/>
      <c r="M20" s="2484"/>
      <c r="N20" s="2484"/>
      <c r="O20" s="2484"/>
      <c r="P20" s="3410"/>
      <c r="Q20" s="1263"/>
      <c r="R20" s="667"/>
      <c r="S20" s="668"/>
      <c r="T20" s="667"/>
      <c r="U20" s="668"/>
      <c r="V20" s="667"/>
      <c r="W20" s="668"/>
      <c r="X20" s="1265"/>
      <c r="Y20" s="340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9"/>
      <c r="M22" s="2484"/>
      <c r="N22" s="2484"/>
      <c r="O22" s="2484"/>
      <c r="P22" s="3410"/>
      <c r="Q22" s="1263"/>
      <c r="R22" s="667"/>
      <c r="S22" s="668"/>
      <c r="T22" s="667"/>
      <c r="U22" s="668"/>
      <c r="V22" s="667"/>
      <c r="W22" s="668"/>
      <c r="X22" s="1265"/>
      <c r="Y22" s="340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9"/>
      <c r="M24" s="2484"/>
      <c r="N24" s="2484"/>
      <c r="O24" s="2484"/>
      <c r="P24" s="3410"/>
      <c r="Q24" s="1263"/>
      <c r="R24" s="667"/>
      <c r="S24" s="668"/>
      <c r="T24" s="667"/>
      <c r="U24" s="668"/>
      <c r="V24" s="667"/>
      <c r="W24" s="668"/>
      <c r="X24" s="1265"/>
      <c r="Y24" s="340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410"/>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9"/>
      <c r="M26" s="2484"/>
      <c r="N26" s="2484"/>
      <c r="O26" s="2484"/>
      <c r="P26" s="3410"/>
      <c r="Q26" s="1263"/>
      <c r="R26" s="667"/>
      <c r="S26" s="668"/>
      <c r="T26" s="667"/>
      <c r="U26" s="668"/>
      <c r="V26" s="667"/>
      <c r="W26" s="668"/>
      <c r="X26" s="1265"/>
      <c r="Y26" s="340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10"/>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410"/>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05"/>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1"/>
      <c r="M48" s="2484"/>
      <c r="N48" s="2484"/>
      <c r="O48" s="2484"/>
      <c r="P48" s="3383" t="str">
        <f>A48</f>
        <v>成交单价（元/平方米）</v>
      </c>
      <c r="Q48" s="3401"/>
      <c r="R48" s="3396">
        <f>E48</f>
        <v>0</v>
      </c>
      <c r="S48" s="3396"/>
      <c r="T48" s="3396">
        <f>G48</f>
        <v>0</v>
      </c>
      <c r="U48" s="3396"/>
      <c r="V48" s="3396">
        <f>I48</f>
        <v>0</v>
      </c>
      <c r="W48" s="339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1"/>
      <c r="M49" s="2484"/>
      <c r="N49" s="2484"/>
      <c r="O49" s="2484"/>
      <c r="P49" s="3383" t="str">
        <f>A49</f>
        <v>比较价值（元/平方米）</v>
      </c>
      <c r="Q49" s="3401"/>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1"/>
      <c r="M50" s="2484"/>
      <c r="N50" s="2484"/>
      <c r="O50" s="2484"/>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52.2">
      <c r="A4" s="1382" t="str">
        <f>"受贵公司委托，我公司对"&amp;项目基本情况!S1&amp;"进行了预评估。"</f>
        <v>受贵公司委托，我公司对武汉市湖北省武汉市江汉区新华路468号CFD时代财富中心/栋/单元19层（1）、（2）、（3）、（4）办号房地产抵押价值进行了预评估。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湖北省武汉市江汉区新华路468号CFD时代财富中心/栋/单元19层（1）、（2）、（3）、（4）办号房地产，为高进所有。根据《国有土地使用证》[]，估价对象（分摊）出让国有建设用地使用权面积为0平方米，建筑面积为772.54平方米。</v>
      </c>
    </row>
    <row r="8" spans="1:1" ht="54.6">
      <c r="A8" s="1385" t="s">
        <v>901</v>
      </c>
    </row>
    <row r="9" spans="1:1" ht="17.399999999999999">
      <c r="A9" s="1384" t="s">
        <v>902</v>
      </c>
    </row>
    <row r="10" spans="1:1" ht="87">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湖北省武汉市江汉区新华路468号CFD时代财富中心/栋/单元19层（1）、（2）、（3）、（4）办号房地产,属高进开发建设的办公项目，该项目尚在开发建设中。根据《国有土地使用证》[]，估价对象（分摊）出让国有建设用地使用权面积为0平方米，规划建筑面积为772.54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为估价委托人在向中行办理贷款手续过程中，确定房地产抵押贷款额度提供参考依据而评估房地产抵押价值。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2025年3月31日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772.54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860"/>
      <c r="M5" s="861"/>
      <c r="N5" s="861"/>
      <c r="O5" s="861"/>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537" t="s">
        <v>1678</v>
      </c>
      <c r="L6" s="860"/>
      <c r="M6" s="861"/>
      <c r="N6" s="861"/>
      <c r="O6" s="861"/>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45747</v>
      </c>
      <c r="D7" s="355">
        <v>100</v>
      </c>
      <c r="E7" s="356"/>
      <c r="F7" s="357">
        <f>SUMIF(52:52,YEAR(E7)&amp;"-"&amp;MONTH(E7),53:53)</f>
        <v>0</v>
      </c>
      <c r="G7" s="356"/>
      <c r="H7" s="355">
        <f>SUMIF(52:52,YEAR(G7)&amp;"-"&amp;MONTH(G7),53:53)</f>
        <v>0</v>
      </c>
      <c r="I7" s="356"/>
      <c r="J7" s="355">
        <f>SUMIF(52:52,YEAR(I7)&amp;"-"&amp;MONTH(I7),53:53)</f>
        <v>0</v>
      </c>
      <c r="K7" s="38"/>
      <c r="L7" s="862"/>
      <c r="M7" s="863"/>
      <c r="N7" s="863"/>
      <c r="O7" s="863"/>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9" t="s">
        <v>1683</v>
      </c>
      <c r="Q8" s="3370"/>
      <c r="R8" s="664" t="s">
        <v>14</v>
      </c>
      <c r="S8" s="665">
        <f t="shared" si="0"/>
        <v>100</v>
      </c>
      <c r="T8" s="664" t="s">
        <v>14</v>
      </c>
      <c r="U8" s="665">
        <f t="shared" si="1"/>
        <v>100</v>
      </c>
      <c r="V8" s="664" t="s">
        <v>14</v>
      </c>
      <c r="W8" s="665">
        <f t="shared" si="2"/>
        <v>100</v>
      </c>
      <c r="X8" s="666"/>
      <c r="Y8" s="3369" t="s">
        <v>1683</v>
      </c>
      <c r="Z8" s="337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1"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1"/>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6"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1" t="str">
        <f>A41</f>
        <v>成交单价（元/平方米）</v>
      </c>
      <c r="Q41" s="3401"/>
      <c r="R41" s="3396">
        <f>E41</f>
        <v>0</v>
      </c>
      <c r="S41" s="3396"/>
      <c r="T41" s="3396">
        <f>G41</f>
        <v>0</v>
      </c>
      <c r="U41" s="3396"/>
      <c r="V41" s="3396">
        <f>I41</f>
        <v>0</v>
      </c>
      <c r="W41" s="339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1" t="str">
        <f>A42</f>
        <v>比较价值（元/平方米）</v>
      </c>
      <c r="Q42" s="340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2483"/>
      <c r="M5" s="2484"/>
      <c r="N5" s="2484"/>
      <c r="O5" s="2484"/>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537" t="s">
        <v>1678</v>
      </c>
      <c r="L6" s="2483"/>
      <c r="M6" s="2484"/>
      <c r="N6" s="2484"/>
      <c r="O6" s="2484"/>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45747</v>
      </c>
      <c r="D7" s="355">
        <v>100</v>
      </c>
      <c r="E7" s="356"/>
      <c r="F7" s="357">
        <f>SUMIF(48:48,YEAR(E7)&amp;"-"&amp;MONTH(E7),49:49)</f>
        <v>0</v>
      </c>
      <c r="G7" s="356"/>
      <c r="H7" s="355">
        <f>SUMIF(48:48,YEAR(G7)&amp;"-"&amp;MONTH(G7),49:49)</f>
        <v>0</v>
      </c>
      <c r="I7" s="356"/>
      <c r="J7" s="355">
        <f>SUMIF(48:48,YEAR(I7)&amp;"-"&amp;MONTH(I7),49:49)</f>
        <v>0</v>
      </c>
      <c r="K7" s="38"/>
      <c r="L7" s="2485"/>
      <c r="M7" s="2437"/>
      <c r="N7" s="2437"/>
      <c r="O7" s="2437"/>
      <c r="P7" s="3369" t="s">
        <v>1680</v>
      </c>
      <c r="Q7" s="3397"/>
      <c r="R7" s="664" t="s">
        <v>14</v>
      </c>
      <c r="S7" s="665">
        <f t="shared" ref="S7:S14" si="0">F7</f>
        <v>0</v>
      </c>
      <c r="T7" s="664" t="s">
        <v>14</v>
      </c>
      <c r="U7" s="665">
        <f t="shared" ref="U7:U14" si="1">H7</f>
        <v>0</v>
      </c>
      <c r="V7" s="664" t="s">
        <v>14</v>
      </c>
      <c r="W7" s="665">
        <f t="shared" ref="W7:W14"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69" t="s">
        <v>1683</v>
      </c>
      <c r="Q8" s="3370"/>
      <c r="R8" s="664" t="s">
        <v>14</v>
      </c>
      <c r="S8" s="665">
        <f t="shared" si="0"/>
        <v>100</v>
      </c>
      <c r="T8" s="664" t="s">
        <v>14</v>
      </c>
      <c r="U8" s="665">
        <f t="shared" si="1"/>
        <v>100</v>
      </c>
      <c r="V8" s="664" t="s">
        <v>14</v>
      </c>
      <c r="W8" s="665">
        <f t="shared" si="2"/>
        <v>100</v>
      </c>
      <c r="X8" s="666"/>
      <c r="Y8" s="3369" t="s">
        <v>1683</v>
      </c>
      <c r="Z8" s="337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01"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1"/>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03"/>
      <c r="Q15" s="1263"/>
      <c r="R15" s="667"/>
      <c r="S15" s="668"/>
      <c r="T15" s="667"/>
      <c r="U15" s="668"/>
      <c r="V15" s="667"/>
      <c r="W15" s="668"/>
      <c r="X15" s="1265"/>
      <c r="Y15" s="340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03"/>
      <c r="Q17" s="1263"/>
      <c r="R17" s="667"/>
      <c r="S17" s="668"/>
      <c r="T17" s="667"/>
      <c r="U17" s="668"/>
      <c r="V17" s="667"/>
      <c r="W17" s="668"/>
      <c r="X17" s="1265"/>
      <c r="Y17" s="340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03"/>
      <c r="Q19" s="1263"/>
      <c r="R19" s="667"/>
      <c r="S19" s="668"/>
      <c r="T19" s="667"/>
      <c r="U19" s="668"/>
      <c r="V19" s="667"/>
      <c r="W19" s="668"/>
      <c r="X19" s="1265"/>
      <c r="Y19" s="340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2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1"/>
      <c r="M37" s="2484"/>
      <c r="N37" s="2484"/>
      <c r="O37" s="2484"/>
      <c r="P37" s="3401" t="str">
        <f>A37</f>
        <v>成交单价</v>
      </c>
      <c r="Q37" s="3401"/>
      <c r="R37" s="3396">
        <f>E37</f>
        <v>0</v>
      </c>
      <c r="S37" s="3396"/>
      <c r="T37" s="3396">
        <f>G37</f>
        <v>0</v>
      </c>
      <c r="U37" s="3396"/>
      <c r="V37" s="3396">
        <f>I37</f>
        <v>0</v>
      </c>
      <c r="W37" s="339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401" t="str">
        <f>A38</f>
        <v>比较价值（元/平方米）</v>
      </c>
      <c r="Q38" s="340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398" t="str">
        <f>A39</f>
        <v>估价对象XX用房的比较价值（楼面单价，元/平方米）</v>
      </c>
      <c r="Q39" s="3399"/>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2483"/>
      <c r="M5" s="2484"/>
      <c r="N5" s="2484"/>
      <c r="O5" s="2484"/>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537" t="s">
        <v>1678</v>
      </c>
      <c r="L6" s="2483"/>
      <c r="M6" s="2484"/>
      <c r="N6" s="2484"/>
      <c r="O6" s="2484"/>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45747</v>
      </c>
      <c r="D7" s="355">
        <v>100</v>
      </c>
      <c r="E7" s="356"/>
      <c r="F7" s="357">
        <f>SUMIF(46:46,YEAR(E7)&amp;"-"&amp;MONTH(E7),47:47)</f>
        <v>0</v>
      </c>
      <c r="G7" s="1822"/>
      <c r="H7" s="355">
        <f>SUMIF(46:46,YEAR(G7)&amp;"-"&amp;MONTH(G7),47:47)</f>
        <v>0</v>
      </c>
      <c r="I7" s="356"/>
      <c r="J7" s="355">
        <f>SUMIF(46:46,YEAR(I7)&amp;"-"&amp;MONTH(I7),47:47)</f>
        <v>0</v>
      </c>
      <c r="K7" s="38"/>
      <c r="L7" s="2485"/>
      <c r="M7" s="2437"/>
      <c r="N7" s="2437"/>
      <c r="O7" s="2437"/>
      <c r="P7" s="3369" t="s">
        <v>1680</v>
      </c>
      <c r="Q7" s="3397"/>
      <c r="R7" s="664" t="s">
        <v>14</v>
      </c>
      <c r="S7" s="665">
        <f t="shared" ref="S7:S14" si="0">F7</f>
        <v>0</v>
      </c>
      <c r="T7" s="664" t="s">
        <v>14</v>
      </c>
      <c r="U7" s="665">
        <f t="shared" ref="U7:U14" si="1">H7</f>
        <v>0</v>
      </c>
      <c r="V7" s="664" t="s">
        <v>14</v>
      </c>
      <c r="W7" s="665">
        <f t="shared" ref="W7:W14"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69" t="s">
        <v>1683</v>
      </c>
      <c r="Q8" s="3370"/>
      <c r="R8" s="664" t="s">
        <v>14</v>
      </c>
      <c r="S8" s="665">
        <f t="shared" si="0"/>
        <v>100</v>
      </c>
      <c r="T8" s="664" t="s">
        <v>14</v>
      </c>
      <c r="U8" s="665">
        <f t="shared" si="1"/>
        <v>100</v>
      </c>
      <c r="V8" s="664" t="s">
        <v>14</v>
      </c>
      <c r="W8" s="665">
        <f t="shared" si="2"/>
        <v>100</v>
      </c>
      <c r="X8" s="666"/>
      <c r="Y8" s="3369" t="s">
        <v>1683</v>
      </c>
      <c r="Z8" s="337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01"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1"/>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03"/>
      <c r="Q15" s="1263"/>
      <c r="R15" s="667"/>
      <c r="S15" s="668"/>
      <c r="T15" s="667"/>
      <c r="U15" s="668"/>
      <c r="V15" s="667"/>
      <c r="W15" s="668"/>
      <c r="X15" s="1265"/>
      <c r="Y15" s="340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03"/>
      <c r="Q17" s="1263"/>
      <c r="R17" s="667"/>
      <c r="S17" s="668"/>
      <c r="T17" s="667"/>
      <c r="U17" s="668"/>
      <c r="V17" s="667"/>
      <c r="W17" s="668"/>
      <c r="X17" s="1265"/>
      <c r="Y17" s="340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03"/>
      <c r="Q19" s="1263"/>
      <c r="R19" s="667"/>
      <c r="S19" s="668"/>
      <c r="T19" s="667"/>
      <c r="U19" s="668"/>
      <c r="V19" s="667"/>
      <c r="W19" s="668"/>
      <c r="X19" s="1265"/>
      <c r="Y19" s="340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401" t="str">
        <f>A35</f>
        <v>成交单价（元/平方米）</v>
      </c>
      <c r="Q35" s="3401"/>
      <c r="R35" s="3396">
        <f>E35</f>
        <v>0</v>
      </c>
      <c r="S35" s="3396"/>
      <c r="T35" s="3396">
        <f>G35</f>
        <v>0</v>
      </c>
      <c r="U35" s="3396"/>
      <c r="V35" s="3396">
        <f>I35</f>
        <v>0</v>
      </c>
      <c r="W35" s="339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401" t="str">
        <f>A36</f>
        <v>比较价值（元/平方米）</v>
      </c>
      <c r="Q36" s="340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398" t="str">
        <f>A37</f>
        <v>估价对象XX用房的比较价值（楼面单价，元/平方米）</v>
      </c>
      <c r="Q37" s="3399"/>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2483"/>
      <c r="M5" s="2484"/>
      <c r="N5" s="2484"/>
      <c r="O5" s="2484"/>
      <c r="P5" s="3390"/>
      <c r="Q5" s="3391"/>
      <c r="R5" s="3373"/>
      <c r="S5" s="3374"/>
      <c r="T5" s="3373"/>
      <c r="U5" s="3374"/>
      <c r="V5" s="3396"/>
      <c r="W5" s="3396"/>
      <c r="X5" s="1265"/>
      <c r="Y5" s="3373"/>
      <c r="Z5" s="3374"/>
      <c r="AA5" s="3367"/>
      <c r="AB5" s="3367"/>
      <c r="AC5" s="3367"/>
    </row>
    <row r="6" spans="1:29" ht="15" thickBot="1">
      <c r="A6" s="350"/>
      <c r="B6" s="351"/>
      <c r="C6" s="3379" t="s">
        <v>1677</v>
      </c>
      <c r="D6" s="3380"/>
      <c r="E6" s="3381" t="s">
        <v>1677</v>
      </c>
      <c r="F6" s="3382"/>
      <c r="G6" s="3379" t="s">
        <v>1677</v>
      </c>
      <c r="H6" s="3380"/>
      <c r="I6" s="3379" t="s">
        <v>1677</v>
      </c>
      <c r="J6" s="3380"/>
      <c r="K6" s="537" t="s">
        <v>1678</v>
      </c>
      <c r="L6" s="2483"/>
      <c r="M6" s="2484"/>
      <c r="N6" s="2484"/>
      <c r="O6" s="2484"/>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45747</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69" t="s">
        <v>1683</v>
      </c>
      <c r="Q8" s="3370"/>
      <c r="R8" s="664" t="s">
        <v>14</v>
      </c>
      <c r="S8" s="665">
        <f t="shared" si="0"/>
        <v>0</v>
      </c>
      <c r="T8" s="664" t="s">
        <v>14</v>
      </c>
      <c r="U8" s="665">
        <f t="shared" si="1"/>
        <v>0</v>
      </c>
      <c r="V8" s="664" t="s">
        <v>14</v>
      </c>
      <c r="W8" s="665">
        <f t="shared" si="2"/>
        <v>0</v>
      </c>
      <c r="X8" s="666"/>
      <c r="Y8" s="3369" t="s">
        <v>1683</v>
      </c>
      <c r="Z8" s="337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401"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6"/>
      <c r="M10" s="2487"/>
      <c r="N10" s="2487"/>
      <c r="O10" s="2538"/>
      <c r="P10" s="3401"/>
      <c r="Q10" s="530" t="str">
        <f t="shared" si="6"/>
        <v>土地使用年限（年）</v>
      </c>
      <c r="R10" s="664" t="s">
        <v>14</v>
      </c>
      <c r="S10" s="665" t="e">
        <f t="shared" si="0"/>
        <v>#DIV/0!</v>
      </c>
      <c r="T10" s="664" t="s">
        <v>14</v>
      </c>
      <c r="U10" s="665" t="e">
        <f t="shared" si="1"/>
        <v>#DIV/0!</v>
      </c>
      <c r="V10" s="664" t="s">
        <v>14</v>
      </c>
      <c r="W10" s="665" t="e">
        <f t="shared" si="2"/>
        <v>#DIV/0!</v>
      </c>
      <c r="X10" s="666"/>
      <c r="Y10" s="331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1"/>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01"/>
      <c r="Q12" s="530" t="str">
        <f t="shared" si="6"/>
        <v>配建</v>
      </c>
      <c r="R12" s="664" t="s">
        <v>14</v>
      </c>
      <c r="S12" s="665">
        <f t="shared" si="0"/>
        <v>100</v>
      </c>
      <c r="T12" s="664" t="s">
        <v>14</v>
      </c>
      <c r="U12" s="665">
        <f t="shared" si="1"/>
        <v>100</v>
      </c>
      <c r="V12" s="664" t="s">
        <v>14</v>
      </c>
      <c r="W12" s="665">
        <f t="shared" si="2"/>
        <v>100</v>
      </c>
      <c r="X12" s="666"/>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03"/>
      <c r="Q16" s="1263"/>
      <c r="R16" s="667"/>
      <c r="S16" s="668"/>
      <c r="T16" s="667"/>
      <c r="U16" s="668"/>
      <c r="V16" s="667"/>
      <c r="W16" s="668"/>
      <c r="X16" s="1265"/>
      <c r="Y16" s="340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03"/>
      <c r="Q18" s="1263"/>
      <c r="R18" s="667"/>
      <c r="S18" s="668"/>
      <c r="T18" s="667"/>
      <c r="U18" s="668"/>
      <c r="V18" s="667"/>
      <c r="W18" s="668"/>
      <c r="X18" s="1265"/>
      <c r="Y18" s="340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03"/>
      <c r="Q20" s="1263"/>
      <c r="R20" s="667"/>
      <c r="S20" s="668"/>
      <c r="T20" s="667"/>
      <c r="U20" s="668"/>
      <c r="V20" s="667"/>
      <c r="W20" s="668"/>
      <c r="X20" s="1265"/>
      <c r="Y20" s="340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03"/>
      <c r="Q22" s="1263"/>
      <c r="R22" s="667"/>
      <c r="S22" s="668"/>
      <c r="T22" s="667"/>
      <c r="U22" s="668"/>
      <c r="V22" s="667"/>
      <c r="W22" s="668"/>
      <c r="X22" s="1265"/>
      <c r="Y22" s="340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03"/>
      <c r="Q24" s="1263"/>
      <c r="R24" s="667"/>
      <c r="S24" s="668"/>
      <c r="T24" s="667"/>
      <c r="U24" s="668"/>
      <c r="V24" s="667"/>
      <c r="W24" s="668"/>
      <c r="X24" s="1265"/>
      <c r="Y24" s="340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03"/>
      <c r="Q26" s="1263"/>
      <c r="R26" s="667"/>
      <c r="S26" s="668"/>
      <c r="T26" s="667"/>
      <c r="U26" s="668"/>
      <c r="V26" s="667"/>
      <c r="W26" s="668"/>
      <c r="X26" s="1265"/>
      <c r="Y26" s="340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403"/>
      <c r="Q28" s="530"/>
      <c r="R28" s="664"/>
      <c r="S28" s="665"/>
      <c r="T28" s="664"/>
      <c r="U28" s="665"/>
      <c r="V28" s="664"/>
      <c r="W28" s="665"/>
      <c r="X28" s="666"/>
      <c r="Y28" s="340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26"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401" t="str">
        <f>A46</f>
        <v>成交单价</v>
      </c>
      <c r="Q46" s="3401"/>
      <c r="R46" s="3396">
        <f>E46</f>
        <v>0</v>
      </c>
      <c r="S46" s="3396"/>
      <c r="T46" s="3396">
        <f>G46</f>
        <v>0</v>
      </c>
      <c r="U46" s="3396"/>
      <c r="V46" s="3396">
        <f>I46</f>
        <v>0</v>
      </c>
      <c r="W46" s="339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401" t="str">
        <f>A47</f>
        <v>比较价值（元/平方米）</v>
      </c>
      <c r="Q47" s="3401"/>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398" t="str">
        <f>A48</f>
        <v>估价对象XX用房的比较价值（楼面单价，元/平方米）</v>
      </c>
      <c r="Q48" s="3399"/>
      <c r="R48" s="3429" t="e">
        <f>ROUND(IF(D47="简单平均",AVERAGE(R47:W47),R47*F47+T47*H47+V47*J47),0)</f>
        <v>#DIV/0!</v>
      </c>
      <c r="S48" s="3429"/>
      <c r="T48" s="3429"/>
      <c r="U48" s="3429"/>
      <c r="V48" s="3429"/>
      <c r="W48" s="3429"/>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384" t="s">
        <v>1887</v>
      </c>
      <c r="H55" s="3430"/>
      <c r="I55" s="127" t="s">
        <v>1888</v>
      </c>
      <c r="J55" s="1833" t="str">
        <f>项目基本情况!F35</f>
        <v>武汉市</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772.54</v>
      </c>
      <c r="F56" s="833" t="e">
        <f t="shared" ref="F56:F64" si="15">ROUND(B56*E56/10000,0)</f>
        <v>#DIV/0!</v>
      </c>
      <c r="G56" s="3383"/>
      <c r="H56" s="3401"/>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772.54</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1" t="s">
        <v>1771</v>
      </c>
      <c r="S4" s="3372"/>
      <c r="T4" s="3371" t="s">
        <v>1772</v>
      </c>
      <c r="U4" s="3372"/>
      <c r="V4" s="3396" t="s">
        <v>1773</v>
      </c>
      <c r="W4" s="3396"/>
      <c r="X4" s="1265"/>
      <c r="Y4" s="3371" t="s">
        <v>1775</v>
      </c>
      <c r="Z4" s="3372"/>
      <c r="AA4" s="3366" t="s">
        <v>1771</v>
      </c>
      <c r="AB4" s="3367" t="s">
        <v>1772</v>
      </c>
      <c r="AC4" s="3366" t="s">
        <v>1773</v>
      </c>
    </row>
    <row r="5" spans="1:29">
      <c r="A5" s="348"/>
      <c r="B5" s="349"/>
      <c r="C5" s="3377" t="s">
        <v>1673</v>
      </c>
      <c r="D5" s="3378"/>
      <c r="E5" s="3375" t="s">
        <v>1674</v>
      </c>
      <c r="F5" s="3376"/>
      <c r="G5" s="3377" t="s">
        <v>1675</v>
      </c>
      <c r="H5" s="3378"/>
      <c r="I5" s="3377" t="s">
        <v>1676</v>
      </c>
      <c r="J5" s="3378"/>
      <c r="K5" s="537"/>
      <c r="L5" s="2483"/>
      <c r="M5" s="2484"/>
      <c r="N5" s="2484"/>
      <c r="O5" s="2484"/>
      <c r="P5" s="3390"/>
      <c r="Q5" s="3391"/>
      <c r="R5" s="3373"/>
      <c r="S5" s="3374"/>
      <c r="T5" s="3373"/>
      <c r="U5" s="3374"/>
      <c r="V5" s="3396"/>
      <c r="W5" s="3396"/>
      <c r="X5" s="1265"/>
      <c r="Y5" s="3373"/>
      <c r="Z5" s="3374"/>
      <c r="AA5" s="3367"/>
      <c r="AB5" s="3367"/>
      <c r="AC5" s="3367"/>
    </row>
    <row r="6" spans="1:29" ht="15" thickBot="1">
      <c r="A6" s="350"/>
      <c r="B6" s="351"/>
      <c r="C6" s="3431" t="s">
        <v>1919</v>
      </c>
      <c r="D6" s="3432"/>
      <c r="E6" s="3433" t="s">
        <v>1919</v>
      </c>
      <c r="F6" s="3434"/>
      <c r="G6" s="3431" t="s">
        <v>1919</v>
      </c>
      <c r="H6" s="3432"/>
      <c r="I6" s="3431" t="s">
        <v>1919</v>
      </c>
      <c r="J6" s="3432"/>
      <c r="K6" s="537" t="s">
        <v>1678</v>
      </c>
      <c r="L6" s="2483"/>
      <c r="M6" s="2484"/>
      <c r="N6" s="2484"/>
      <c r="O6" s="2484"/>
      <c r="P6" s="3392"/>
      <c r="Q6" s="3393"/>
      <c r="R6" s="3373"/>
      <c r="S6" s="3374"/>
      <c r="T6" s="3394"/>
      <c r="U6" s="3395"/>
      <c r="V6" s="3396"/>
      <c r="W6" s="3396"/>
      <c r="X6" s="1265"/>
      <c r="Y6" s="3394"/>
      <c r="Z6" s="3395"/>
      <c r="AA6" s="3368"/>
      <c r="AB6" s="3368"/>
      <c r="AC6" s="3368"/>
    </row>
    <row r="7" spans="1:29" s="102" customFormat="1" ht="15" thickBot="1">
      <c r="A7" s="352" t="s">
        <v>1679</v>
      </c>
      <c r="B7" s="353"/>
      <c r="C7" s="354">
        <f>'数据-取费表'!B2</f>
        <v>45747</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69" t="s">
        <v>1683</v>
      </c>
      <c r="Q8" s="3370"/>
      <c r="R8" s="664" t="s">
        <v>14</v>
      </c>
      <c r="S8" s="665">
        <f t="shared" si="0"/>
        <v>0</v>
      </c>
      <c r="T8" s="664" t="s">
        <v>14</v>
      </c>
      <c r="U8" s="665">
        <f t="shared" si="1"/>
        <v>0</v>
      </c>
      <c r="V8" s="664" t="s">
        <v>14</v>
      </c>
      <c r="W8" s="665">
        <f t="shared" si="2"/>
        <v>0</v>
      </c>
      <c r="X8" s="666"/>
      <c r="Y8" s="3369" t="s">
        <v>1683</v>
      </c>
      <c r="Z8" s="337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401"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6"/>
      <c r="M10" s="2487"/>
      <c r="N10" s="2487"/>
      <c r="O10" s="2538"/>
      <c r="P10" s="3401"/>
      <c r="Q10" s="530" t="str">
        <f t="shared" si="6"/>
        <v>土地使用年限（年）</v>
      </c>
      <c r="R10" s="664" t="s">
        <v>14</v>
      </c>
      <c r="S10" s="665" t="e">
        <f t="shared" si="0"/>
        <v>#DIV/0!</v>
      </c>
      <c r="T10" s="664" t="s">
        <v>14</v>
      </c>
      <c r="U10" s="665" t="e">
        <f t="shared" si="1"/>
        <v>#DIV/0!</v>
      </c>
      <c r="V10" s="664" t="s">
        <v>14</v>
      </c>
      <c r="W10" s="665" t="e">
        <f t="shared" si="2"/>
        <v>#DIV/0!</v>
      </c>
      <c r="X10" s="666"/>
      <c r="Y10" s="331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1"/>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03"/>
      <c r="Q16" s="1263"/>
      <c r="R16" s="667"/>
      <c r="S16" s="668"/>
      <c r="T16" s="667"/>
      <c r="U16" s="668"/>
      <c r="V16" s="667"/>
      <c r="W16" s="668"/>
      <c r="X16" s="1265"/>
      <c r="Y16" s="340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03"/>
      <c r="Q18" s="1263"/>
      <c r="R18" s="667"/>
      <c r="S18" s="668"/>
      <c r="T18" s="667"/>
      <c r="U18" s="668"/>
      <c r="V18" s="667"/>
      <c r="W18" s="668"/>
      <c r="X18" s="1265"/>
      <c r="Y18" s="340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03"/>
      <c r="Q20" s="1263"/>
      <c r="R20" s="667"/>
      <c r="S20" s="668"/>
      <c r="T20" s="667"/>
      <c r="U20" s="668"/>
      <c r="V20" s="667"/>
      <c r="W20" s="668"/>
      <c r="X20" s="1265"/>
      <c r="Y20" s="340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03"/>
      <c r="Q22" s="1263"/>
      <c r="R22" s="667"/>
      <c r="S22" s="668"/>
      <c r="T22" s="667"/>
      <c r="U22" s="668"/>
      <c r="V22" s="667"/>
      <c r="W22" s="668"/>
      <c r="X22" s="1265"/>
      <c r="Y22" s="340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403"/>
      <c r="Q24" s="530"/>
      <c r="R24" s="664"/>
      <c r="S24" s="665"/>
      <c r="T24" s="664"/>
      <c r="U24" s="665"/>
      <c r="V24" s="664"/>
      <c r="W24" s="665"/>
      <c r="X24" s="666"/>
      <c r="Y24" s="340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26"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401" t="str">
        <f>A41</f>
        <v>成交单价</v>
      </c>
      <c r="Q41" s="3401"/>
      <c r="R41" s="3396">
        <f>E41</f>
        <v>0</v>
      </c>
      <c r="S41" s="3396"/>
      <c r="T41" s="3396">
        <f>G41</f>
        <v>0</v>
      </c>
      <c r="U41" s="3396"/>
      <c r="V41" s="3396">
        <f>I41</f>
        <v>0</v>
      </c>
      <c r="W41" s="339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401" t="str">
        <f>A42</f>
        <v>比较价值（元/平方米）</v>
      </c>
      <c r="Q42" s="3401"/>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398" t="str">
        <f>A43</f>
        <v>估价对象XX用房的比较价值（楼面单价，元/平方米）</v>
      </c>
      <c r="Q43" s="3399"/>
      <c r="R43" s="3429" t="e">
        <f>ROUND(IF(D42="简单平均",AVERAGE(R42:W42),R42*F42+T42*H42+V42*J42),0)</f>
        <v>#DIV/0!</v>
      </c>
      <c r="S43" s="3429"/>
      <c r="T43" s="3429"/>
      <c r="U43" s="3429"/>
      <c r="V43" s="3429"/>
      <c r="W43" s="3429"/>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384" t="s">
        <v>1887</v>
      </c>
      <c r="H50" s="3430"/>
      <c r="I50" s="1264" t="s">
        <v>1923</v>
      </c>
      <c r="J50" s="1264" t="str">
        <f>项目基本情况!F35</f>
        <v>武汉市</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772.54</v>
      </c>
      <c r="F51" s="611" t="e">
        <f t="shared" ref="F51:F60" si="15">ROUND(B51*E51/10000,0)</f>
        <v>#DIV/0!</v>
      </c>
      <c r="G51" s="3383"/>
      <c r="H51" s="3401"/>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8" t="s">
        <v>2084</v>
      </c>
      <c r="D1" s="3439"/>
      <c r="E1" s="3439"/>
      <c r="F1" s="3439"/>
      <c r="G1" s="3439"/>
      <c r="H1" s="3439"/>
      <c r="I1" s="3439"/>
      <c r="J1" s="3439"/>
      <c r="K1" s="3439"/>
      <c r="L1" s="3439"/>
      <c r="M1" s="3439"/>
      <c r="N1" s="3439"/>
      <c r="O1" s="3439"/>
      <c r="P1" s="3439"/>
      <c r="Q1" s="3439"/>
      <c r="R1" s="3439"/>
      <c r="S1" s="34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5" t="e">
        <f ca="1">SUMIF(B6:B13,"&lt;&gt;#ref!",B6:B13)</f>
        <v>#DIV/0!</v>
      </c>
      <c r="C2" s="1984" t="s">
        <v>2074</v>
      </c>
      <c r="D2" s="1984" t="s">
        <v>2075</v>
      </c>
      <c r="E2" s="2395">
        <f ca="1">SUMIF(E6:E13,"&lt;&gt;#ref!",E6:E13)</f>
        <v>0</v>
      </c>
      <c r="F2" s="2541"/>
      <c r="G2" s="2541"/>
      <c r="H2" s="2541"/>
      <c r="I2" s="2541"/>
      <c r="J2" s="2541"/>
      <c r="K2" s="2541"/>
      <c r="L2" s="2541"/>
      <c r="M2" s="2541"/>
      <c r="N2" s="2541"/>
      <c r="O2" s="2541"/>
      <c r="P2" s="2541"/>
    </row>
    <row r="3" spans="1:16" ht="15.6">
      <c r="A3" s="1984" t="s">
        <v>2076</v>
      </c>
      <c r="B3" s="2385" t="e">
        <f ca="1">ROUND(B2*10000/E2,0)</f>
        <v>#DIV/0!</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5"/>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#DIV/0!</v>
      </c>
      <c r="C6" s="1984"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7"/>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0</v>
      </c>
      <c r="T2" s="3060" t="e">
        <f t="shared" ref="T2:T16" si="0">ROUND($C$5*$C$22*$C$23*$C$24*S2*$C$28,0)</f>
        <v>#DIV/0!</v>
      </c>
      <c r="U2" s="1130"/>
      <c r="V2" s="3060"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5"/>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0</v>
      </c>
      <c r="T3" s="3060" t="e">
        <f t="shared" si="0"/>
        <v>#DIV/0!</v>
      </c>
      <c r="U3" s="1130"/>
      <c r="V3" s="3060" t="e">
        <f t="shared" ref="V3:V16" si="1">ROUND(T3*U3/10000,0)</f>
        <v>#DIV/0!</v>
      </c>
      <c r="W3" s="1133"/>
      <c r="X3" s="1133"/>
      <c r="Y3" s="1133"/>
      <c r="Z3" s="1133"/>
      <c r="AA3" s="1133"/>
      <c r="AB3" s="1133"/>
      <c r="AC3" s="1134"/>
      <c r="AD3" s="1135"/>
      <c r="AE3" s="1135"/>
      <c r="AF3" s="1135"/>
      <c r="AG3" s="1135"/>
      <c r="AH3" s="1135"/>
      <c r="AI3" s="1135"/>
      <c r="AJ3" s="1136"/>
    </row>
    <row r="4" spans="1:36" ht="15.6">
      <c r="A4" s="3448"/>
      <c r="B4" s="3449"/>
      <c r="C4" s="3449"/>
      <c r="D4" s="3450"/>
      <c r="E4" s="3450"/>
      <c r="F4" s="3450"/>
      <c r="G4" s="3450"/>
      <c r="H4" s="3450"/>
      <c r="I4" s="3450"/>
      <c r="J4" s="34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v>
      </c>
      <c r="T4" s="3060" t="e">
        <f t="shared" si="0"/>
        <v>#DIV/0!</v>
      </c>
      <c r="U4" s="1130"/>
      <c r="V4" s="3060"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v>
      </c>
      <c r="T5" s="3060" t="e">
        <f t="shared" si="0"/>
        <v>#DIV/0!</v>
      </c>
      <c r="U5" s="1130"/>
      <c r="V5" s="3060"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v>
      </c>
      <c r="T6" s="3060" t="e">
        <f t="shared" si="0"/>
        <v>#DIV/0!</v>
      </c>
      <c r="U6" s="1130"/>
      <c r="V6" s="3060" t="e">
        <f t="shared" si="1"/>
        <v>#DIV/0!</v>
      </c>
      <c r="W6" s="1133"/>
      <c r="X6" s="1133"/>
      <c r="Y6" s="1133"/>
      <c r="Z6" s="1133"/>
      <c r="AA6" s="1133"/>
      <c r="AB6" s="1133"/>
      <c r="AC6" s="1855"/>
      <c r="AD6" s="1856"/>
      <c r="AE6" s="1856"/>
      <c r="AF6" s="1856"/>
      <c r="AG6" s="1856"/>
      <c r="AH6" s="1856"/>
      <c r="AI6" s="1856"/>
      <c r="AJ6" s="1857"/>
    </row>
    <row r="7" spans="1:36" ht="24.6" thickBot="1">
      <c r="A7" s="3009"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t="e">
        <f t="shared" si="0"/>
        <v>#DIV/0!</v>
      </c>
      <c r="U7" s="1130"/>
      <c r="V7" s="3060"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6"/>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t="e">
        <f t="shared" si="0"/>
        <v>#DIV/0!</v>
      </c>
      <c r="U8" s="1130"/>
      <c r="V8" s="3060" t="e">
        <f t="shared" si="1"/>
        <v>#DIV/0!</v>
      </c>
      <c r="W8" s="3445" t="s">
        <v>1960</v>
      </c>
      <c r="X8" s="34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t="e">
        <f t="shared" si="0"/>
        <v>#DIV/0!</v>
      </c>
      <c r="U9" s="1130"/>
      <c r="V9" s="3060" t="e">
        <f t="shared" si="1"/>
        <v>#DIV/0!</v>
      </c>
      <c r="W9" s="3447"/>
      <c r="X9" s="3061" t="s">
        <v>3268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t="e">
        <f t="shared" si="0"/>
        <v>#DIV/0!</v>
      </c>
      <c r="U10" s="1130"/>
      <c r="V10" s="3060" t="e">
        <f t="shared" si="1"/>
        <v>#DIV/0!</v>
      </c>
      <c r="W10" s="344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t="e">
        <f t="shared" si="0"/>
        <v>#DIV/0!</v>
      </c>
      <c r="U11" s="1130"/>
      <c r="V11" s="3060" t="e">
        <f t="shared" si="1"/>
        <v>#DIV/0!</v>
      </c>
      <c r="W11" s="1133"/>
      <c r="X11" s="1133"/>
      <c r="Y11" s="1133"/>
      <c r="Z11" s="1133"/>
      <c r="AA11" s="1133"/>
      <c r="AB11" s="1133"/>
      <c r="AC11" s="1134"/>
      <c r="AD11" s="2550"/>
      <c r="AE11" s="2550"/>
      <c r="AF11" s="2550"/>
      <c r="AG11" s="2550"/>
      <c r="AH11" s="2550"/>
      <c r="AI11" s="2550"/>
      <c r="AJ11" s="2551"/>
    </row>
    <row r="12" spans="1:36" ht="25.8" thickBot="1">
      <c r="A12" s="3009" t="s">
        <v>3238</v>
      </c>
      <c r="B12" s="3010" t="s">
        <v>3239</v>
      </c>
      <c r="C12" s="3011"/>
      <c r="D12" s="3012" t="s">
        <v>3240</v>
      </c>
      <c r="E12" s="3013" t="s">
        <v>3241</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t="e">
        <f t="shared" si="0"/>
        <v>#DIV/0!</v>
      </c>
      <c r="U12" s="1130"/>
      <c r="V12" s="3060" t="e">
        <f t="shared" si="1"/>
        <v>#DIV/0!</v>
      </c>
      <c r="W12" s="1133"/>
      <c r="X12" s="1133"/>
      <c r="Y12" s="1133"/>
      <c r="Z12" s="1133"/>
      <c r="AA12" s="1133"/>
      <c r="AB12" s="1133"/>
      <c r="AC12" s="1134"/>
      <c r="AD12" s="2550"/>
      <c r="AE12" s="2550"/>
      <c r="AF12" s="2550"/>
      <c r="AG12" s="2550"/>
      <c r="AH12" s="2550"/>
      <c r="AI12" s="2550"/>
      <c r="AJ12" s="2551"/>
    </row>
    <row r="13" spans="1:36" ht="24.6" thickBot="1">
      <c r="A13" s="3009" t="s">
        <v>3242</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t="e">
        <f t="shared" si="0"/>
        <v>#DIV/0!</v>
      </c>
      <c r="U13" s="1130"/>
      <c r="V13" s="3060" t="e">
        <f t="shared" si="1"/>
        <v>#DIV/0!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3243</v>
      </c>
      <c r="G14" s="3017" t="s">
        <v>3243</v>
      </c>
      <c r="H14" s="3017" t="s">
        <v>3243</v>
      </c>
      <c r="I14" s="3017" t="s">
        <v>3243</v>
      </c>
      <c r="J14" s="3017" t="s">
        <v>3243</v>
      </c>
      <c r="K14" s="1056"/>
      <c r="L14" s="1056"/>
      <c r="M14" s="1056"/>
      <c r="N14" s="1056"/>
      <c r="O14" s="1056"/>
      <c r="P14" s="1056"/>
      <c r="Q14" s="1056"/>
      <c r="R14" s="1129">
        <v>13</v>
      </c>
      <c r="S14" s="1130"/>
      <c r="T14" s="3060" t="e">
        <f t="shared" si="0"/>
        <v>#DIV/0!</v>
      </c>
      <c r="U14" s="1130"/>
      <c r="V14" s="3060" t="e">
        <f t="shared" si="1"/>
        <v>#DIV/0!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3244</v>
      </c>
      <c r="G15" s="1928"/>
      <c r="H15" s="3018"/>
      <c r="I15" s="3019"/>
      <c r="J15" s="3020"/>
      <c r="K15" s="1056"/>
      <c r="L15" s="1056"/>
      <c r="M15" s="1056"/>
      <c r="N15" s="1056"/>
      <c r="O15" s="1056"/>
      <c r="P15" s="1056"/>
      <c r="Q15" s="1056"/>
      <c r="R15" s="1129">
        <v>14</v>
      </c>
      <c r="S15" s="1130"/>
      <c r="T15" s="3060" t="e">
        <f t="shared" si="0"/>
        <v>#DIV/0!</v>
      </c>
      <c r="U15" s="1130"/>
      <c r="V15" s="3060" t="e">
        <f t="shared" si="1"/>
        <v>#DIV/0!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t="e">
        <f t="shared" si="0"/>
        <v>#DIV/0!</v>
      </c>
      <c r="U16" s="1130"/>
      <c r="V16" s="3060" t="e">
        <f t="shared" si="1"/>
        <v>#DIV/0!</v>
      </c>
      <c r="W16" s="1133"/>
      <c r="X16" s="1133"/>
      <c r="Y16" s="1133"/>
      <c r="Z16" s="1133"/>
      <c r="AA16" s="1133"/>
      <c r="AB16" s="1133"/>
      <c r="AC16" s="1134"/>
      <c r="AD16" s="2550"/>
      <c r="AE16" s="2550"/>
      <c r="AF16" s="2550"/>
      <c r="AG16" s="2550"/>
      <c r="AH16" s="2550"/>
      <c r="AI16" s="2550"/>
      <c r="AJ16" s="2551"/>
    </row>
    <row r="17" spans="1:37" ht="24">
      <c r="A17" s="3032" t="s">
        <v>3245</v>
      </c>
      <c r="B17" s="3024" t="s">
        <v>3246</v>
      </c>
      <c r="C17" s="3033">
        <f>ROUND(IF(OR(E2="工业",E2="公共服务"),1,IF(AND(E18=0,E19=0),1,IF(AND(E18=J24,E19=G19),0.8,IF(E19=0,1+E17*(-0.2),1+E17*G17*(-0.2))))),4)</f>
        <v>1</v>
      </c>
      <c r="D17" s="3025" t="s">
        <v>3247</v>
      </c>
      <c r="E17" s="3033" t="e">
        <f>ROUND(G18/I18,2)</f>
        <v>#DIV/0!</v>
      </c>
      <c r="F17" s="3025" t="s">
        <v>3250</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7"/>
      <c r="C18" s="3031"/>
      <c r="D18" s="3026" t="s">
        <v>3248</v>
      </c>
      <c r="E18" s="2354"/>
      <c r="F18" s="3027" t="s">
        <v>3251</v>
      </c>
      <c r="G18" s="3031">
        <f>ROUND(1-(1/(POWER(1+G24,E18))),4)</f>
        <v>0</v>
      </c>
      <c r="H18" s="3027" t="s">
        <v>3253</v>
      </c>
      <c r="I18" s="3031">
        <f>ROUND(1-(1/(POWER(1+G24,J24))),4)</f>
        <v>0</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3249</v>
      </c>
      <c r="E19" s="3040"/>
      <c r="F19" s="3041" t="s">
        <v>3252</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452" t="s">
        <v>3254</v>
      </c>
      <c r="B20" s="159" t="s">
        <v>1994</v>
      </c>
      <c r="C20" s="3028" t="e">
        <f>ROUND(IF(F21="与级别开发程度一致",0,(G21-E21)/C21),0)</f>
        <v>#DIV/0!</v>
      </c>
      <c r="D20" s="3043" t="s">
        <v>1998</v>
      </c>
      <c r="E20" s="3044"/>
      <c r="F20" s="3458" t="s">
        <v>1995</v>
      </c>
      <c r="G20" s="3459"/>
      <c r="H20" s="3029"/>
      <c r="I20" s="3029"/>
      <c r="J20" s="3030"/>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14.4" thickBot="1">
      <c r="A21" s="345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6" t="s">
        <v>363</v>
      </c>
      <c r="B22" s="1997" t="s">
        <v>2000</v>
      </c>
      <c r="C22" s="1998">
        <f>SUMIF(修正!C20:C51,E3,修正!E20:E51)</f>
        <v>0</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45747</v>
      </c>
      <c r="H23" s="3045" t="s">
        <v>3256</v>
      </c>
      <c r="I23" s="3046" t="str">
        <f>IF(H23="季度增幅（自定义）",SUMIF(N25:N28,E2,O25:O28),"")</f>
        <v/>
      </c>
      <c r="J23" s="3138" t="s">
        <v>3255</v>
      </c>
      <c r="K23" s="1061"/>
      <c r="L23" s="1897" t="s">
        <v>2004</v>
      </c>
      <c r="M23" s="1241">
        <f>ROUND(SUMIF(地价!B2:G2,E2,地价!B16:G16),0)</f>
        <v>0</v>
      </c>
      <c r="N23" s="1898" t="s">
        <v>2005</v>
      </c>
      <c r="O23" s="719">
        <f>ROUNDDOWN(DATEDIF(E23,G23,"M")/3,0)</f>
        <v>16</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3335</v>
      </c>
      <c r="C25" s="461">
        <f>IF(B25="容积率修正",IF(G3&lt;10,D26,J26),C27)</f>
        <v>0</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2" t="s">
        <v>1936</v>
      </c>
      <c r="M30" s="3053" t="s">
        <v>1990</v>
      </c>
      <c r="N30" s="3053" t="s">
        <v>1991</v>
      </c>
      <c r="O30" s="3053" t="s">
        <v>1992</v>
      </c>
      <c r="P30" s="3053" t="s">
        <v>1993</v>
      </c>
      <c r="Q30" s="3056"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7" t="s">
        <v>3260</v>
      </c>
      <c r="G33" s="1941"/>
      <c r="H33" s="1941"/>
      <c r="I33" s="1941"/>
      <c r="J33" s="1942"/>
      <c r="K33" s="1056"/>
      <c r="L33" s="3050" t="s">
        <v>3263</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0" t="s">
        <v>3264</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39" t="e">
        <f ca="1">'数据-取费表'!B40</f>
        <v>#VALUE!</v>
      </c>
      <c r="M36" s="2363" t="e">
        <f ca="1">ROUND($L$36*(1+M31),3)</f>
        <v>#VALUE!</v>
      </c>
      <c r="N36" s="2363" t="e">
        <f ca="1">ROUND($L$36*(1+N31),3)</f>
        <v>#VALUE!</v>
      </c>
      <c r="O36" s="2363" t="e">
        <f ca="1">ROUND($L$36*(1+O31),3)</f>
        <v>#VALUE!</v>
      </c>
      <c r="P36" s="2363" t="e">
        <f ca="1">ROUND($L$36*(1+P31),3)</f>
        <v>#VALUE!</v>
      </c>
      <c r="Q36" s="2363"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1"/>
      <c r="K37" s="3058" t="s">
        <v>3266</v>
      </c>
      <c r="L37" s="1964" t="e">
        <f ca="1">L36+K38</f>
        <v>#VALUE!</v>
      </c>
      <c r="M37" s="2363" t="e">
        <f ca="1">ROUND($L$37*(1+M31),3)</f>
        <v>#VALUE!</v>
      </c>
      <c r="N37" s="2363" t="e">
        <f t="shared" ref="N37:Q37" ca="1" si="3">ROUND($L$37*(1+N31),3)</f>
        <v>#VALUE!</v>
      </c>
      <c r="O37" s="2363" t="e">
        <f t="shared" ca="1" si="3"/>
        <v>#VALUE!</v>
      </c>
      <c r="P37" s="2363" t="e">
        <f t="shared" ca="1" si="3"/>
        <v>#VALUE!</v>
      </c>
      <c r="Q37" s="2363"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59"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3269</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3269</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3269</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c r="A85" s="3067" t="s">
        <v>3270</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2612</v>
      </c>
      <c r="B91" s="3076">
        <f>1+E93</f>
        <v>1</v>
      </c>
      <c r="C91" s="3069"/>
      <c r="D91" s="3070"/>
      <c r="E91" s="1675"/>
      <c r="F91" s="1675"/>
      <c r="G91" s="3071"/>
      <c r="H91" s="3072"/>
      <c r="I91" s="3073"/>
      <c r="J91" s="3074"/>
      <c r="K91" s="3074"/>
      <c r="L91" s="3074"/>
      <c r="M91" s="3074"/>
      <c r="N91" s="3074"/>
    </row>
    <row r="92" spans="1:37" ht="25.2">
      <c r="A92" s="3077" t="s">
        <v>3271</v>
      </c>
      <c r="B92" s="2307"/>
      <c r="C92" s="2307" t="s">
        <v>3280</v>
      </c>
      <c r="D92" s="2307" t="s">
        <v>3281</v>
      </c>
      <c r="E92" s="3049" t="s">
        <v>3282</v>
      </c>
      <c r="F92" s="3079" t="s">
        <v>3283</v>
      </c>
      <c r="G92" s="2307" t="s">
        <v>3284</v>
      </c>
      <c r="H92" s="3086" t="s">
        <v>3287</v>
      </c>
      <c r="I92" s="2307" t="s">
        <v>3288</v>
      </c>
      <c r="J92" s="2150" t="s">
        <v>3289</v>
      </c>
      <c r="K92" s="2150" t="s">
        <v>3290</v>
      </c>
      <c r="L92" s="2150" t="s">
        <v>3291</v>
      </c>
      <c r="M92" s="2150" t="s">
        <v>3292</v>
      </c>
      <c r="N92" s="2150" t="s">
        <v>3293</v>
      </c>
    </row>
    <row r="93" spans="1:37" ht="24">
      <c r="A93" s="3067" t="s">
        <v>3272</v>
      </c>
      <c r="B93" s="1221"/>
      <c r="C93" s="1887"/>
      <c r="D93" s="2307">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52.8">
      <c r="A94" s="3077" t="s">
        <v>3273</v>
      </c>
      <c r="B94" s="3068" t="str">
        <f>估价对象房地状况!C18</f>
        <v>估价对象周边道路状况、公共交通通达情况、停车便捷程度，综合评价交通便捷度较好</v>
      </c>
      <c r="C94" s="1887"/>
      <c r="D94" s="2307">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48">
      <c r="A95" s="3067" t="s">
        <v>3269</v>
      </c>
      <c r="B95" s="3068">
        <f>估价对象房地状况!C19</f>
        <v>0</v>
      </c>
      <c r="C95" s="1887"/>
      <c r="D95" s="2307">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7.200000000000003">
      <c r="A96" s="3077" t="s">
        <v>3274</v>
      </c>
      <c r="B96" s="3083" t="s">
        <v>3285</v>
      </c>
      <c r="C96" s="1887"/>
      <c r="D96" s="2307">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4">
      <c r="A97" s="3077" t="s">
        <v>3275</v>
      </c>
      <c r="B97" s="3068">
        <f>估价对象房地状况!C24</f>
        <v>0</v>
      </c>
      <c r="C97" s="1887"/>
      <c r="D97" s="2307">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36">
      <c r="A98" s="3077" t="s">
        <v>3276</v>
      </c>
      <c r="B98" s="3084" t="s">
        <v>3286</v>
      </c>
      <c r="C98" s="1887"/>
      <c r="D98" s="2307">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26.4">
      <c r="A99" s="3077" t="s">
        <v>3277</v>
      </c>
      <c r="B99" s="3068" t="str">
        <f>估价对象房地状况!C21</f>
        <v>估价对象所在区域公共配套设施齐备情况</v>
      </c>
      <c r="C99" s="1887"/>
      <c r="D99" s="2307">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6.4">
      <c r="A100" s="3077" t="s">
        <v>3278</v>
      </c>
      <c r="B100" s="3068" t="str">
        <f>估价对象房地状况!C22</f>
        <v>估价对象所在区域基础设施水平</v>
      </c>
      <c r="C100" s="1887"/>
      <c r="D100" s="2307">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40.200000000000003" thickBot="1">
      <c r="A101" s="3078" t="s">
        <v>3279</v>
      </c>
      <c r="B101" s="3085" t="str">
        <f>估价对象房地状况!C20</f>
        <v>区域自然环境：；人文环境；综合评价环境状况一般</v>
      </c>
      <c r="C101" s="1887"/>
      <c r="D101" s="2307">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454" t="s">
        <v>3294</v>
      </c>
      <c r="B103" s="3454"/>
      <c r="C103" s="3454"/>
      <c r="D103" s="3454"/>
      <c r="E103" s="3454"/>
      <c r="F103" s="3454"/>
      <c r="G103" s="3454"/>
      <c r="H103" s="3454"/>
      <c r="I103" s="3454"/>
      <c r="J103" s="3454"/>
      <c r="K103" s="1667"/>
      <c r="L103" s="1667"/>
      <c r="M103" s="1667"/>
      <c r="N103" s="1667"/>
    </row>
    <row r="104" spans="1:14">
      <c r="A104" s="3455" t="s">
        <v>3295</v>
      </c>
      <c r="B104" s="3455" t="s">
        <v>3296</v>
      </c>
      <c r="C104" s="3087" t="s">
        <v>3297</v>
      </c>
      <c r="D104" s="3088"/>
      <c r="E104" s="3088"/>
      <c r="F104" s="3088"/>
      <c r="G104" s="3088"/>
      <c r="H104" s="3088"/>
      <c r="I104" s="3088"/>
      <c r="J104" s="3089"/>
      <c r="K104" s="3090"/>
      <c r="L104" s="3090"/>
      <c r="M104" s="3090"/>
      <c r="N104" s="3090"/>
    </row>
    <row r="105" spans="1:14">
      <c r="A105" s="3455"/>
      <c r="B105" s="3455"/>
      <c r="C105" s="3091" t="s">
        <v>3298</v>
      </c>
      <c r="D105" s="3091" t="s">
        <v>3299</v>
      </c>
      <c r="E105" s="3091" t="s">
        <v>3300</v>
      </c>
      <c r="F105" s="3091" t="s">
        <v>3301</v>
      </c>
      <c r="G105" s="3091" t="s">
        <v>3302</v>
      </c>
      <c r="H105" s="3091" t="s">
        <v>3303</v>
      </c>
      <c r="I105" s="3091" t="s">
        <v>3304</v>
      </c>
      <c r="J105" s="3091" t="s">
        <v>3305</v>
      </c>
      <c r="K105" s="3091" t="s">
        <v>3306</v>
      </c>
      <c r="L105" s="3091" t="s">
        <v>3307</v>
      </c>
      <c r="M105" s="3091" t="s">
        <v>3308</v>
      </c>
      <c r="N105" s="3091" t="s">
        <v>3309</v>
      </c>
    </row>
    <row r="106" spans="1:14">
      <c r="A106" s="3441" t="s">
        <v>3310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4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4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4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4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42"/>
      <c r="B111" s="3091" t="s">
        <v>3268</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43"/>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44" t="s">
        <v>3311</v>
      </c>
      <c r="B113" s="3444"/>
      <c r="C113" s="3444"/>
      <c r="D113" s="3444"/>
      <c r="E113" s="3444"/>
      <c r="F113" s="3444"/>
      <c r="G113" s="3444"/>
      <c r="H113" s="3444"/>
      <c r="I113" s="3444"/>
      <c r="J113" s="3444"/>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3312</v>
      </c>
      <c r="B116" s="3111">
        <f>G3</f>
        <v>0</v>
      </c>
      <c r="C116" s="3096" t="s">
        <v>3313</v>
      </c>
      <c r="D116" s="3097">
        <f>SUMPRODUCT((A118:A122=F116)*(B117:M117=H116)*B118:M122)</f>
        <v>0</v>
      </c>
      <c r="E116" s="162" t="s">
        <v>3314</v>
      </c>
      <c r="F116" s="3098">
        <f>E2</f>
        <v>0</v>
      </c>
      <c r="G116" s="162" t="s">
        <v>3315</v>
      </c>
      <c r="H116" s="3098">
        <f>G2</f>
        <v>0</v>
      </c>
      <c r="I116" s="162"/>
      <c r="J116" s="3099"/>
      <c r="K116" s="3099"/>
      <c r="L116" s="3099"/>
      <c r="M116" s="3099"/>
      <c r="N116" s="3094"/>
    </row>
    <row r="117" spans="1:14">
      <c r="A117" s="3100"/>
      <c r="B117" s="3101" t="s">
        <v>3316</v>
      </c>
      <c r="C117" s="3101" t="s">
        <v>3317</v>
      </c>
      <c r="D117" s="3101" t="s">
        <v>3318</v>
      </c>
      <c r="E117" s="3102" t="s">
        <v>3319</v>
      </c>
      <c r="F117" s="3102" t="s">
        <v>3320</v>
      </c>
      <c r="G117" s="3102" t="s">
        <v>3321</v>
      </c>
      <c r="H117" s="3103" t="s">
        <v>3322</v>
      </c>
      <c r="I117" s="3103" t="s">
        <v>3323</v>
      </c>
      <c r="J117" s="3104" t="s">
        <v>3324</v>
      </c>
      <c r="K117" s="3104" t="s">
        <v>3325</v>
      </c>
      <c r="L117" s="3104" t="s">
        <v>3326</v>
      </c>
      <c r="M117" s="3105" t="s">
        <v>3327</v>
      </c>
      <c r="N117" s="3094"/>
    </row>
    <row r="118" spans="1:14">
      <c r="A118" s="3054" t="s">
        <v>3328</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3329</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3330</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3331</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2612</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467" t="s">
        <v>2607</v>
      </c>
      <c r="B20" s="3460" t="s">
        <v>2628</v>
      </c>
      <c r="C20" s="2839" t="s">
        <v>2439</v>
      </c>
      <c r="D20" s="2840"/>
      <c r="E20" s="2841">
        <v>1</v>
      </c>
      <c r="F20" s="2842" t="s">
        <v>2440</v>
      </c>
      <c r="G20" s="2842"/>
    </row>
    <row r="21" spans="1:13" ht="19.5" customHeight="1">
      <c r="A21" s="3468"/>
      <c r="B21" s="3461"/>
      <c r="C21" s="2843" t="s">
        <v>2441</v>
      </c>
      <c r="D21" s="2844"/>
      <c r="E21" s="2845">
        <v>1</v>
      </c>
      <c r="F21" s="2842" t="s">
        <v>2442</v>
      </c>
      <c r="G21" s="2842"/>
    </row>
    <row r="22" spans="1:13" ht="19.5" customHeight="1">
      <c r="A22" s="3468"/>
      <c r="B22" s="3461"/>
      <c r="C22" s="2843" t="s">
        <v>2443</v>
      </c>
      <c r="D22" s="2844"/>
      <c r="E22" s="2845">
        <v>0.9</v>
      </c>
      <c r="F22" s="2842" t="s">
        <v>2444</v>
      </c>
      <c r="G22" s="2842"/>
    </row>
    <row r="23" spans="1:13" ht="19.5" customHeight="1">
      <c r="A23" s="3468"/>
      <c r="B23" s="3461"/>
      <c r="C23" s="2843" t="s">
        <v>2445</v>
      </c>
      <c r="D23" s="2844"/>
      <c r="E23" s="2845">
        <v>0.9</v>
      </c>
      <c r="F23" s="2842" t="s">
        <v>2446</v>
      </c>
      <c r="G23" s="2842"/>
    </row>
    <row r="24" spans="1:13" ht="19.5" customHeight="1">
      <c r="A24" s="3468"/>
      <c r="B24" s="3461"/>
      <c r="C24" s="2843" t="s">
        <v>2447</v>
      </c>
      <c r="D24" s="2844"/>
      <c r="E24" s="2845">
        <v>0.8</v>
      </c>
      <c r="F24" s="2842" t="s">
        <v>2448</v>
      </c>
      <c r="G24" s="2842"/>
    </row>
    <row r="25" spans="1:13" ht="19.5" customHeight="1" thickBot="1">
      <c r="A25" s="3469"/>
      <c r="B25" s="3462"/>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63" t="s">
        <v>2631</v>
      </c>
      <c r="B27" s="3460" t="s">
        <v>2612</v>
      </c>
      <c r="C27" s="2839" t="s">
        <v>2452</v>
      </c>
      <c r="D27" s="2840"/>
      <c r="E27" s="2841">
        <v>1</v>
      </c>
      <c r="F27" s="2842" t="s">
        <v>2453</v>
      </c>
      <c r="G27" s="2842"/>
    </row>
    <row r="28" spans="1:13" ht="19.5" customHeight="1">
      <c r="A28" s="3464"/>
      <c r="B28" s="3461"/>
      <c r="C28" s="2843" t="s">
        <v>2454</v>
      </c>
      <c r="D28" s="2844"/>
      <c r="E28" s="2845">
        <v>1</v>
      </c>
      <c r="F28" s="2842" t="s">
        <v>2455</v>
      </c>
      <c r="G28" s="2842"/>
    </row>
    <row r="29" spans="1:13" ht="19.5" customHeight="1">
      <c r="A29" s="3464"/>
      <c r="B29" s="3461"/>
      <c r="C29" s="2843" t="s">
        <v>2456</v>
      </c>
      <c r="D29" s="2844"/>
      <c r="E29" s="2845">
        <v>0.8</v>
      </c>
      <c r="F29" s="2842" t="s">
        <v>2457</v>
      </c>
      <c r="G29" s="2842"/>
    </row>
    <row r="30" spans="1:13" ht="19.5" customHeight="1">
      <c r="A30" s="3464"/>
      <c r="B30" s="3461"/>
      <c r="C30" s="2843" t="s">
        <v>2458</v>
      </c>
      <c r="D30" s="2844"/>
      <c r="E30" s="2845">
        <v>0.8</v>
      </c>
      <c r="F30" s="2842" t="s">
        <v>2459</v>
      </c>
      <c r="G30" s="2842"/>
    </row>
    <row r="31" spans="1:13" ht="19.5" customHeight="1">
      <c r="A31" s="3464"/>
      <c r="B31" s="3461"/>
      <c r="C31" s="2843" t="s">
        <v>2460</v>
      </c>
      <c r="D31" s="2844"/>
      <c r="E31" s="2845">
        <v>0.8</v>
      </c>
      <c r="F31" s="2842" t="s">
        <v>2461</v>
      </c>
      <c r="G31" s="2842"/>
    </row>
    <row r="32" spans="1:13" ht="19.5" customHeight="1">
      <c r="A32" s="3464"/>
      <c r="B32" s="3461"/>
      <c r="C32" s="2843" t="s">
        <v>2462</v>
      </c>
      <c r="D32" s="2844"/>
      <c r="E32" s="2845">
        <v>0.7</v>
      </c>
      <c r="F32" s="2842" t="s">
        <v>2463</v>
      </c>
      <c r="G32" s="2842"/>
    </row>
    <row r="33" spans="1:7" ht="19.5" customHeight="1">
      <c r="A33" s="3464"/>
      <c r="B33" s="3461"/>
      <c r="C33" s="2843" t="s">
        <v>2464</v>
      </c>
      <c r="D33" s="2844"/>
      <c r="E33" s="2845">
        <v>0.8</v>
      </c>
      <c r="F33" s="2842" t="s">
        <v>2465</v>
      </c>
      <c r="G33" s="2842"/>
    </row>
    <row r="34" spans="1:7" ht="19.5" customHeight="1">
      <c r="A34" s="3464"/>
      <c r="B34" s="3461"/>
      <c r="C34" s="2843" t="s">
        <v>2466</v>
      </c>
      <c r="D34" s="2844"/>
      <c r="E34" s="2845">
        <v>0.6</v>
      </c>
      <c r="F34" s="2842" t="s">
        <v>2467</v>
      </c>
      <c r="G34" s="2842"/>
    </row>
    <row r="35" spans="1:7" ht="19.5" customHeight="1">
      <c r="A35" s="3464"/>
      <c r="B35" s="3461"/>
      <c r="C35" s="2843" t="s">
        <v>2468</v>
      </c>
      <c r="D35" s="2844"/>
      <c r="E35" s="2845">
        <v>0.2</v>
      </c>
      <c r="F35" s="2842" t="s">
        <v>2469</v>
      </c>
      <c r="G35" s="2842"/>
    </row>
    <row r="36" spans="1:7" ht="19.5" customHeight="1">
      <c r="A36" s="3464"/>
      <c r="B36" s="3461"/>
      <c r="C36" s="2843" t="s">
        <v>2470</v>
      </c>
      <c r="D36" s="2844"/>
      <c r="E36" s="2845">
        <v>0.2</v>
      </c>
      <c r="F36" s="2842" t="s">
        <v>2471</v>
      </c>
      <c r="G36" s="2842"/>
    </row>
    <row r="37" spans="1:7" ht="19.5" customHeight="1">
      <c r="A37" s="3464"/>
      <c r="B37" s="3466" t="s">
        <v>2632</v>
      </c>
      <c r="C37" s="2843" t="s">
        <v>2472</v>
      </c>
      <c r="D37" s="2844"/>
      <c r="E37" s="2845">
        <v>0.6</v>
      </c>
      <c r="F37" s="2842" t="s">
        <v>2473</v>
      </c>
      <c r="G37" s="2842"/>
    </row>
    <row r="38" spans="1:7" ht="19.5" customHeight="1">
      <c r="A38" s="3464"/>
      <c r="B38" s="3461"/>
      <c r="C38" s="2843" t="s">
        <v>2474</v>
      </c>
      <c r="D38" s="2844"/>
      <c r="E38" s="2845">
        <v>0.6</v>
      </c>
      <c r="F38" s="2842" t="s">
        <v>2475</v>
      </c>
      <c r="G38" s="2842"/>
    </row>
    <row r="39" spans="1:7" ht="19.5" customHeight="1" thickBot="1">
      <c r="A39" s="3465"/>
      <c r="B39" s="3462"/>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467" t="s">
        <v>2610</v>
      </c>
      <c r="B41" s="3460" t="s">
        <v>2634</v>
      </c>
      <c r="C41" s="2839" t="s">
        <v>2479</v>
      </c>
      <c r="D41" s="2840"/>
      <c r="E41" s="2841">
        <v>1</v>
      </c>
      <c r="F41" s="2842" t="s">
        <v>2480</v>
      </c>
      <c r="G41" s="2842"/>
    </row>
    <row r="42" spans="1:7" ht="19.5" customHeight="1">
      <c r="A42" s="3468"/>
      <c r="B42" s="3461"/>
      <c r="C42" s="2843" t="s">
        <v>2481</v>
      </c>
      <c r="D42" s="2844"/>
      <c r="E42" s="2845">
        <v>1</v>
      </c>
      <c r="F42" s="2842" t="s">
        <v>2482</v>
      </c>
      <c r="G42" s="2842"/>
    </row>
    <row r="43" spans="1:7" ht="19.5" customHeight="1">
      <c r="A43" s="3468"/>
      <c r="B43" s="3470"/>
      <c r="C43" s="2843" t="s">
        <v>2483</v>
      </c>
      <c r="D43" s="2844"/>
      <c r="E43" s="2845">
        <v>1.5</v>
      </c>
      <c r="F43" s="2842" t="s">
        <v>2484</v>
      </c>
      <c r="G43" s="2842"/>
    </row>
    <row r="44" spans="1:7" ht="19.5" customHeight="1">
      <c r="A44" s="3468"/>
      <c r="B44" s="2854" t="s">
        <v>2635</v>
      </c>
      <c r="C44" s="2843" t="s">
        <v>2636</v>
      </c>
      <c r="D44" s="2844"/>
      <c r="E44" s="2845">
        <v>2</v>
      </c>
      <c r="F44" s="2842" t="s">
        <v>2485</v>
      </c>
      <c r="G44" s="2842"/>
    </row>
    <row r="45" spans="1:7" ht="19.5" customHeight="1">
      <c r="A45" s="3468"/>
      <c r="B45" s="3466" t="s">
        <v>2637</v>
      </c>
      <c r="C45" s="2843" t="s">
        <v>2486</v>
      </c>
      <c r="D45" s="2844"/>
      <c r="E45" s="2845">
        <v>1</v>
      </c>
      <c r="F45" s="2842" t="s">
        <v>2487</v>
      </c>
      <c r="G45" s="2842"/>
    </row>
    <row r="46" spans="1:7" ht="19.5" customHeight="1">
      <c r="A46" s="3468"/>
      <c r="B46" s="3461"/>
      <c r="C46" s="2843" t="s">
        <v>2488</v>
      </c>
      <c r="D46" s="2844"/>
      <c r="E46" s="2845">
        <v>1</v>
      </c>
      <c r="F46" s="2842" t="s">
        <v>2489</v>
      </c>
      <c r="G46" s="2842"/>
    </row>
    <row r="47" spans="1:7" ht="19.5" customHeight="1">
      <c r="A47" s="3468"/>
      <c r="B47" s="3461"/>
      <c r="C47" s="2843" t="s">
        <v>2490</v>
      </c>
      <c r="D47" s="2844"/>
      <c r="E47" s="2845">
        <v>1</v>
      </c>
      <c r="F47" s="2842" t="s">
        <v>2491</v>
      </c>
      <c r="G47" s="2842"/>
    </row>
    <row r="48" spans="1:7" ht="19.5" customHeight="1">
      <c r="A48" s="3468"/>
      <c r="B48" s="3461"/>
      <c r="C48" s="2843" t="s">
        <v>2492</v>
      </c>
      <c r="D48" s="2844"/>
      <c r="E48" s="2845">
        <v>1</v>
      </c>
      <c r="F48" s="2842" t="s">
        <v>2493</v>
      </c>
      <c r="G48" s="2842"/>
    </row>
    <row r="49" spans="1:7" ht="19.5" customHeight="1">
      <c r="A49" s="3468"/>
      <c r="B49" s="3461"/>
      <c r="C49" s="2843" t="s">
        <v>2494</v>
      </c>
      <c r="D49" s="2844"/>
      <c r="E49" s="2845">
        <v>1</v>
      </c>
      <c r="F49" s="2842" t="s">
        <v>2495</v>
      </c>
      <c r="G49" s="2842"/>
    </row>
    <row r="50" spans="1:7" ht="19.5" customHeight="1">
      <c r="A50" s="3468"/>
      <c r="B50" s="3461"/>
      <c r="C50" s="2843" t="s">
        <v>2496</v>
      </c>
      <c r="D50" s="2844"/>
      <c r="E50" s="2845">
        <v>1</v>
      </c>
      <c r="F50" s="2842" t="s">
        <v>2497</v>
      </c>
      <c r="G50" s="2842"/>
    </row>
    <row r="51" spans="1:7" ht="19.5" customHeight="1" thickBot="1">
      <c r="A51" s="3469"/>
      <c r="B51" s="3462"/>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4.4">
      <c r="A72" s="2854"/>
      <c r="B72" s="2854"/>
      <c r="C72" s="2854" t="s">
        <v>2650</v>
      </c>
      <c r="D72" s="2854"/>
      <c r="E72" s="2854" t="s">
        <v>2621</v>
      </c>
      <c r="F72" s="2854" t="s">
        <v>2621</v>
      </c>
    </row>
    <row r="73" spans="1:7" ht="14.4">
      <c r="A73" s="2854">
        <v>1</v>
      </c>
      <c r="B73" s="3466" t="s">
        <v>2651</v>
      </c>
      <c r="C73" s="2828" t="s">
        <v>2652</v>
      </c>
      <c r="D73" s="2828" t="s">
        <v>2653</v>
      </c>
      <c r="E73" s="2854">
        <v>0.2</v>
      </c>
      <c r="F73" s="2854">
        <v>25</v>
      </c>
    </row>
    <row r="74" spans="1:7" ht="24">
      <c r="A74" s="2854">
        <v>2</v>
      </c>
      <c r="B74" s="3461"/>
      <c r="C74" s="2828" t="s">
        <v>2654</v>
      </c>
      <c r="D74" s="2828" t="s">
        <v>2655</v>
      </c>
      <c r="E74" s="2854">
        <v>0.2</v>
      </c>
      <c r="F74" s="2854">
        <v>25</v>
      </c>
    </row>
    <row r="75" spans="1:7" ht="24">
      <c r="A75" s="2854">
        <v>3</v>
      </c>
      <c r="B75" s="3461"/>
      <c r="C75" s="2828" t="s">
        <v>2656</v>
      </c>
      <c r="D75" s="2828" t="s">
        <v>2657</v>
      </c>
      <c r="E75" s="2854">
        <v>0.2</v>
      </c>
      <c r="F75" s="2854">
        <v>25</v>
      </c>
    </row>
    <row r="76" spans="1:7" ht="14.4">
      <c r="A76" s="2854">
        <v>4</v>
      </c>
      <c r="B76" s="3461"/>
      <c r="C76" s="2828" t="s">
        <v>2658</v>
      </c>
      <c r="D76" s="2828" t="s">
        <v>2659</v>
      </c>
      <c r="E76" s="2854">
        <v>0.15</v>
      </c>
      <c r="F76" s="2854">
        <v>20</v>
      </c>
    </row>
    <row r="77" spans="1:7" ht="24">
      <c r="A77" s="2854">
        <v>5</v>
      </c>
      <c r="B77" s="3461"/>
      <c r="C77" s="2828" t="s">
        <v>2660</v>
      </c>
      <c r="D77" s="2828" t="s">
        <v>2661</v>
      </c>
      <c r="E77" s="2854">
        <v>0.15</v>
      </c>
      <c r="F77" s="2854">
        <v>20</v>
      </c>
    </row>
    <row r="78" spans="1:7" ht="24">
      <c r="A78" s="2854">
        <v>6</v>
      </c>
      <c r="B78" s="3461"/>
      <c r="C78" s="2828" t="s">
        <v>2662</v>
      </c>
      <c r="D78" s="2828" t="s">
        <v>2663</v>
      </c>
      <c r="E78" s="2854">
        <v>0.15</v>
      </c>
      <c r="F78" s="2854">
        <v>20</v>
      </c>
    </row>
    <row r="79" spans="1:7" ht="24">
      <c r="A79" s="2854">
        <v>7</v>
      </c>
      <c r="B79" s="3461"/>
      <c r="C79" s="2828" t="s">
        <v>2664</v>
      </c>
      <c r="D79" s="2828" t="s">
        <v>2665</v>
      </c>
      <c r="E79" s="2854">
        <v>0.15</v>
      </c>
      <c r="F79" s="2854">
        <v>20</v>
      </c>
    </row>
    <row r="80" spans="1:7" ht="24">
      <c r="A80" s="2854">
        <v>8</v>
      </c>
      <c r="B80" s="3461"/>
      <c r="C80" s="2828" t="s">
        <v>2666</v>
      </c>
      <c r="D80" s="2828" t="s">
        <v>2667</v>
      </c>
      <c r="E80" s="2854">
        <v>0.1</v>
      </c>
      <c r="F80" s="2854">
        <v>15</v>
      </c>
    </row>
    <row r="81" spans="1:6" ht="24">
      <c r="A81" s="2854">
        <v>9</v>
      </c>
      <c r="B81" s="3461"/>
      <c r="C81" s="2828" t="s">
        <v>2668</v>
      </c>
      <c r="D81" s="2828" t="s">
        <v>2669</v>
      </c>
      <c r="E81" s="2854">
        <v>0.1</v>
      </c>
      <c r="F81" s="2854">
        <v>15</v>
      </c>
    </row>
    <row r="82" spans="1:6" ht="24">
      <c r="A82" s="2854">
        <v>10</v>
      </c>
      <c r="B82" s="3461"/>
      <c r="C82" s="2828" t="s">
        <v>2670</v>
      </c>
      <c r="D82" s="2828" t="s">
        <v>2671</v>
      </c>
      <c r="E82" s="2854">
        <v>0.1</v>
      </c>
      <c r="F82" s="2854">
        <v>15</v>
      </c>
    </row>
    <row r="83" spans="1:6" ht="24">
      <c r="A83" s="2854">
        <v>11</v>
      </c>
      <c r="B83" s="3461"/>
      <c r="C83" s="2828" t="s">
        <v>2672</v>
      </c>
      <c r="D83" s="2828" t="s">
        <v>2673</v>
      </c>
      <c r="E83" s="2854">
        <v>0.1</v>
      </c>
      <c r="F83" s="2854">
        <v>15</v>
      </c>
    </row>
    <row r="84" spans="1:6" ht="24">
      <c r="A84" s="2854">
        <v>12</v>
      </c>
      <c r="B84" s="3461"/>
      <c r="C84" s="2828" t="s">
        <v>2674</v>
      </c>
      <c r="D84" s="2828" t="s">
        <v>2675</v>
      </c>
      <c r="E84" s="2854">
        <v>0.1</v>
      </c>
      <c r="F84" s="2854">
        <v>15</v>
      </c>
    </row>
    <row r="85" spans="1:6" ht="24">
      <c r="A85" s="2854">
        <v>13</v>
      </c>
      <c r="B85" s="3461"/>
      <c r="C85" s="2828" t="s">
        <v>2676</v>
      </c>
      <c r="D85" s="2828" t="s">
        <v>2677</v>
      </c>
      <c r="E85" s="2854">
        <v>0.1</v>
      </c>
      <c r="F85" s="2854">
        <v>15</v>
      </c>
    </row>
    <row r="86" spans="1:6" ht="24">
      <c r="A86" s="2854">
        <v>14</v>
      </c>
      <c r="B86" s="3461"/>
      <c r="C86" s="2828" t="s">
        <v>2678</v>
      </c>
      <c r="D86" s="2828" t="s">
        <v>2679</v>
      </c>
      <c r="E86" s="2854">
        <v>0.1</v>
      </c>
      <c r="F86" s="2854">
        <v>15</v>
      </c>
    </row>
    <row r="87" spans="1:6" ht="24">
      <c r="A87" s="2854">
        <v>15</v>
      </c>
      <c r="B87" s="3461"/>
      <c r="C87" s="2828" t="s">
        <v>2680</v>
      </c>
      <c r="D87" s="2828" t="s">
        <v>2681</v>
      </c>
      <c r="E87" s="2854">
        <v>0.1</v>
      </c>
      <c r="F87" s="2854">
        <v>15</v>
      </c>
    </row>
    <row r="88" spans="1:6" ht="24">
      <c r="A88" s="2854">
        <v>16</v>
      </c>
      <c r="B88" s="3461"/>
      <c r="C88" s="2828" t="s">
        <v>2682</v>
      </c>
      <c r="D88" s="2828" t="s">
        <v>2683</v>
      </c>
      <c r="E88" s="2854">
        <v>0.1</v>
      </c>
      <c r="F88" s="2854">
        <v>15</v>
      </c>
    </row>
    <row r="89" spans="1:6" ht="24">
      <c r="A89" s="2854">
        <v>17</v>
      </c>
      <c r="B89" s="3470"/>
      <c r="C89" s="2828" t="s">
        <v>2684</v>
      </c>
      <c r="D89" s="2828" t="s">
        <v>2685</v>
      </c>
      <c r="E89" s="2854">
        <v>0.1</v>
      </c>
      <c r="F89" s="2854">
        <v>15</v>
      </c>
    </row>
    <row r="90" spans="1:6" ht="14.4">
      <c r="A90" s="2854">
        <v>18</v>
      </c>
      <c r="B90" s="3466" t="s">
        <v>2686</v>
      </c>
      <c r="C90" s="2828" t="s">
        <v>2687</v>
      </c>
      <c r="D90" s="2828" t="s">
        <v>2688</v>
      </c>
      <c r="E90" s="2854">
        <v>0.2</v>
      </c>
      <c r="F90" s="2854">
        <v>25</v>
      </c>
    </row>
    <row r="91" spans="1:6" ht="24">
      <c r="A91" s="2854">
        <v>19</v>
      </c>
      <c r="B91" s="3461"/>
      <c r="C91" s="2828" t="s">
        <v>2689</v>
      </c>
      <c r="D91" s="2828" t="s">
        <v>2690</v>
      </c>
      <c r="E91" s="2854">
        <v>0.2</v>
      </c>
      <c r="F91" s="2854">
        <v>25</v>
      </c>
    </row>
    <row r="92" spans="1:6" ht="14.4">
      <c r="A92" s="2854">
        <v>20</v>
      </c>
      <c r="B92" s="3461"/>
      <c r="C92" s="2828" t="s">
        <v>2691</v>
      </c>
      <c r="D92" s="2828" t="s">
        <v>2692</v>
      </c>
      <c r="E92" s="2854">
        <v>0.15</v>
      </c>
      <c r="F92" s="2854">
        <v>20</v>
      </c>
    </row>
    <row r="93" spans="1:6" ht="24">
      <c r="A93" s="2854">
        <v>21</v>
      </c>
      <c r="B93" s="3461"/>
      <c r="C93" s="2828" t="s">
        <v>2693</v>
      </c>
      <c r="D93" s="2828" t="s">
        <v>2694</v>
      </c>
      <c r="E93" s="2854">
        <v>0.15</v>
      </c>
      <c r="F93" s="2854">
        <v>20</v>
      </c>
    </row>
    <row r="94" spans="1:6" ht="24">
      <c r="A94" s="2854">
        <v>22</v>
      </c>
      <c r="B94" s="3461"/>
      <c r="C94" s="2828" t="s">
        <v>2695</v>
      </c>
      <c r="D94" s="2828" t="s">
        <v>2696</v>
      </c>
      <c r="E94" s="2854">
        <v>0.15</v>
      </c>
      <c r="F94" s="2854">
        <v>20</v>
      </c>
    </row>
    <row r="95" spans="1:6" ht="36">
      <c r="A95" s="2854">
        <v>23</v>
      </c>
      <c r="B95" s="3461"/>
      <c r="C95" s="2828" t="s">
        <v>2697</v>
      </c>
      <c r="D95" s="2828" t="s">
        <v>2698</v>
      </c>
      <c r="E95" s="2854">
        <v>0.15</v>
      </c>
      <c r="F95" s="2854">
        <v>20</v>
      </c>
    </row>
    <row r="96" spans="1:6" ht="24">
      <c r="A96" s="2854">
        <v>24</v>
      </c>
      <c r="B96" s="3461"/>
      <c r="C96" s="2828" t="s">
        <v>2699</v>
      </c>
      <c r="D96" s="2828" t="s">
        <v>2700</v>
      </c>
      <c r="E96" s="2854">
        <v>0.1</v>
      </c>
      <c r="F96" s="2854">
        <v>15</v>
      </c>
    </row>
    <row r="97" spans="1:6" ht="24">
      <c r="A97" s="2854">
        <v>25</v>
      </c>
      <c r="B97" s="3461"/>
      <c r="C97" s="2828" t="s">
        <v>2701</v>
      </c>
      <c r="D97" s="2828" t="s">
        <v>2702</v>
      </c>
      <c r="E97" s="2854">
        <v>0.1</v>
      </c>
      <c r="F97" s="2854">
        <v>15</v>
      </c>
    </row>
    <row r="98" spans="1:6" ht="24">
      <c r="A98" s="2854">
        <v>26</v>
      </c>
      <c r="B98" s="3461"/>
      <c r="C98" s="2828" t="s">
        <v>2703</v>
      </c>
      <c r="D98" s="2828" t="s">
        <v>2704</v>
      </c>
      <c r="E98" s="2854">
        <v>0.1</v>
      </c>
      <c r="F98" s="2854">
        <v>15</v>
      </c>
    </row>
    <row r="99" spans="1:6" ht="24">
      <c r="A99" s="2854">
        <v>27</v>
      </c>
      <c r="B99" s="3461"/>
      <c r="C99" s="2828" t="s">
        <v>2705</v>
      </c>
      <c r="D99" s="2828" t="s">
        <v>2706</v>
      </c>
      <c r="E99" s="2854">
        <v>0.1</v>
      </c>
      <c r="F99" s="2854">
        <v>15</v>
      </c>
    </row>
    <row r="100" spans="1:6" ht="24">
      <c r="A100" s="2854">
        <v>28</v>
      </c>
      <c r="B100" s="3461"/>
      <c r="C100" s="2828" t="s">
        <v>2707</v>
      </c>
      <c r="D100" s="2828" t="s">
        <v>2708</v>
      </c>
      <c r="E100" s="2854">
        <v>0.1</v>
      </c>
      <c r="F100" s="2854">
        <v>15</v>
      </c>
    </row>
    <row r="101" spans="1:6" ht="24">
      <c r="A101" s="2854">
        <v>29</v>
      </c>
      <c r="B101" s="3461"/>
      <c r="C101" s="2828" t="s">
        <v>2709</v>
      </c>
      <c r="D101" s="2828" t="s">
        <v>2710</v>
      </c>
      <c r="E101" s="2854">
        <v>0.1</v>
      </c>
      <c r="F101" s="2854">
        <v>15</v>
      </c>
    </row>
    <row r="102" spans="1:6" ht="24">
      <c r="A102" s="2854">
        <v>30</v>
      </c>
      <c r="B102" s="3461"/>
      <c r="C102" s="2828" t="s">
        <v>2711</v>
      </c>
      <c r="D102" s="2828" t="s">
        <v>2712</v>
      </c>
      <c r="E102" s="2854">
        <v>0.1</v>
      </c>
      <c r="F102" s="2854">
        <v>15</v>
      </c>
    </row>
    <row r="103" spans="1:6" ht="24">
      <c r="A103" s="2854">
        <v>31</v>
      </c>
      <c r="B103" s="3461"/>
      <c r="C103" s="2828" t="s">
        <v>2713</v>
      </c>
      <c r="D103" s="2828" t="s">
        <v>2714</v>
      </c>
      <c r="E103" s="2854">
        <v>0.1</v>
      </c>
      <c r="F103" s="2854">
        <v>15</v>
      </c>
    </row>
    <row r="104" spans="1:6" ht="24">
      <c r="A104" s="2854">
        <v>32</v>
      </c>
      <c r="B104" s="3461"/>
      <c r="C104" s="2828" t="s">
        <v>2715</v>
      </c>
      <c r="D104" s="2828" t="s">
        <v>2716</v>
      </c>
      <c r="E104" s="2854">
        <v>0.1</v>
      </c>
      <c r="F104" s="2854">
        <v>15</v>
      </c>
    </row>
    <row r="105" spans="1:6" ht="24">
      <c r="A105" s="2854">
        <v>33</v>
      </c>
      <c r="B105" s="3461"/>
      <c r="C105" s="2828" t="s">
        <v>2717</v>
      </c>
      <c r="D105" s="2828" t="s">
        <v>2718</v>
      </c>
      <c r="E105" s="2854">
        <v>0.1</v>
      </c>
      <c r="F105" s="2854">
        <v>15</v>
      </c>
    </row>
    <row r="106" spans="1:6" ht="24">
      <c r="A106" s="2854">
        <v>34</v>
      </c>
      <c r="B106" s="3470"/>
      <c r="C106" s="2828" t="s">
        <v>2719</v>
      </c>
      <c r="D106" s="2828" t="s">
        <v>2720</v>
      </c>
      <c r="E106" s="2854">
        <v>0.1</v>
      </c>
      <c r="F106" s="2854">
        <v>15</v>
      </c>
    </row>
    <row r="107" spans="1:6" ht="36">
      <c r="A107" s="2854">
        <v>35</v>
      </c>
      <c r="B107" s="3466" t="s">
        <v>2721</v>
      </c>
      <c r="C107" s="2854" t="s">
        <v>2722</v>
      </c>
      <c r="D107" s="2828" t="s">
        <v>2723</v>
      </c>
      <c r="E107" s="2854">
        <v>0.15</v>
      </c>
      <c r="F107" s="2854">
        <v>20</v>
      </c>
    </row>
    <row r="108" spans="1:6" ht="24">
      <c r="A108" s="2854">
        <v>36</v>
      </c>
      <c r="B108" s="3461"/>
      <c r="C108" s="2854" t="s">
        <v>2724</v>
      </c>
      <c r="D108" s="2828" t="s">
        <v>2725</v>
      </c>
      <c r="E108" s="2854">
        <v>0.15</v>
      </c>
      <c r="F108" s="2854">
        <v>20</v>
      </c>
    </row>
    <row r="109" spans="1:6" ht="24">
      <c r="A109" s="2854">
        <v>37</v>
      </c>
      <c r="B109" s="3461"/>
      <c r="C109" s="2854" t="s">
        <v>2726</v>
      </c>
      <c r="D109" s="2828" t="s">
        <v>2727</v>
      </c>
      <c r="E109" s="2854">
        <v>0.15</v>
      </c>
      <c r="F109" s="2854">
        <v>20</v>
      </c>
    </row>
    <row r="110" spans="1:6" ht="24">
      <c r="A110" s="2854">
        <v>38</v>
      </c>
      <c r="B110" s="3461"/>
      <c r="C110" s="2854" t="s">
        <v>2728</v>
      </c>
      <c r="D110" s="2828" t="s">
        <v>2729</v>
      </c>
      <c r="E110" s="2854">
        <v>0.1</v>
      </c>
      <c r="F110" s="2854">
        <v>15</v>
      </c>
    </row>
    <row r="111" spans="1:6" ht="24">
      <c r="A111" s="2854">
        <v>39</v>
      </c>
      <c r="B111" s="3461"/>
      <c r="C111" s="2854" t="s">
        <v>2730</v>
      </c>
      <c r="D111" s="2828" t="s">
        <v>2731</v>
      </c>
      <c r="E111" s="2854">
        <v>0.1</v>
      </c>
      <c r="F111" s="2854">
        <v>15</v>
      </c>
    </row>
    <row r="112" spans="1:6" ht="24">
      <c r="A112" s="2854">
        <v>40</v>
      </c>
      <c r="B112" s="3470"/>
      <c r="C112" s="2854" t="s">
        <v>2732</v>
      </c>
      <c r="D112" s="2828" t="s">
        <v>2733</v>
      </c>
      <c r="E112" s="2854">
        <v>0.1</v>
      </c>
      <c r="F112" s="2854">
        <v>15</v>
      </c>
    </row>
    <row r="113" spans="1:6" ht="24">
      <c r="A113" s="2854">
        <v>41</v>
      </c>
      <c r="B113" s="3471" t="s">
        <v>2734</v>
      </c>
      <c r="C113" s="2854" t="s">
        <v>2735</v>
      </c>
      <c r="D113" s="2828" t="s">
        <v>2736</v>
      </c>
      <c r="E113" s="2854">
        <v>0.1</v>
      </c>
      <c r="F113" s="2854">
        <v>15</v>
      </c>
    </row>
    <row r="114" spans="1:6" ht="24">
      <c r="A114" s="2854">
        <v>42</v>
      </c>
      <c r="B114" s="3471"/>
      <c r="C114" s="2854" t="s">
        <v>2737</v>
      </c>
      <c r="D114" s="2828" t="s">
        <v>2738</v>
      </c>
      <c r="E114" s="2854">
        <v>0.1</v>
      </c>
      <c r="F114" s="2854">
        <v>15</v>
      </c>
    </row>
    <row r="115" spans="1:6" ht="24">
      <c r="A115" s="2854">
        <v>43</v>
      </c>
      <c r="B115" s="3471"/>
      <c r="C115" s="2854" t="s">
        <v>2739</v>
      </c>
      <c r="D115" s="2828" t="s">
        <v>2740</v>
      </c>
      <c r="E115" s="2854">
        <v>0.1</v>
      </c>
      <c r="F115" s="2854">
        <v>15</v>
      </c>
    </row>
    <row r="116" spans="1:6" ht="24">
      <c r="A116" s="2854">
        <v>44</v>
      </c>
      <c r="B116" s="3466" t="s">
        <v>2741</v>
      </c>
      <c r="C116" s="2854" t="s">
        <v>2742</v>
      </c>
      <c r="D116" s="2828" t="s">
        <v>2743</v>
      </c>
      <c r="E116" s="2854">
        <v>0.1</v>
      </c>
      <c r="F116" s="2854">
        <v>15</v>
      </c>
    </row>
    <row r="117" spans="1:6" ht="24">
      <c r="A117" s="2854">
        <v>45</v>
      </c>
      <c r="B117" s="3470"/>
      <c r="C117" s="2828" t="s">
        <v>2744</v>
      </c>
      <c r="D117" s="2828" t="s">
        <v>2745</v>
      </c>
      <c r="E117" s="2854">
        <v>0.1</v>
      </c>
      <c r="F117" s="2854">
        <v>15</v>
      </c>
    </row>
    <row r="118" spans="1:6" ht="24">
      <c r="A118" s="2854">
        <v>46</v>
      </c>
      <c r="B118" s="3466" t="s">
        <v>2746</v>
      </c>
      <c r="C118" s="2854" t="s">
        <v>2747</v>
      </c>
      <c r="D118" s="2828" t="s">
        <v>2748</v>
      </c>
      <c r="E118" s="2854">
        <v>0.1</v>
      </c>
      <c r="F118" s="2854">
        <v>15</v>
      </c>
    </row>
    <row r="119" spans="1:6" ht="24">
      <c r="A119" s="2854">
        <v>47</v>
      </c>
      <c r="B119" s="3470"/>
      <c r="C119" s="2854" t="s">
        <v>2749</v>
      </c>
      <c r="D119" s="2828" t="s">
        <v>2750</v>
      </c>
      <c r="E119" s="2854">
        <v>0.1</v>
      </c>
      <c r="F119" s="2854">
        <v>15</v>
      </c>
    </row>
    <row r="120" spans="1:6" ht="24">
      <c r="A120" s="2854">
        <v>48</v>
      </c>
      <c r="B120" s="3466" t="s">
        <v>2751</v>
      </c>
      <c r="C120" s="2854" t="s">
        <v>2752</v>
      </c>
      <c r="D120" s="2828" t="s">
        <v>2753</v>
      </c>
      <c r="E120" s="2854">
        <v>0.1</v>
      </c>
      <c r="F120" s="2854">
        <v>15</v>
      </c>
    </row>
    <row r="121" spans="1:6" ht="24">
      <c r="A121" s="2854">
        <v>49</v>
      </c>
      <c r="B121" s="3470"/>
      <c r="C121" s="2854" t="s">
        <v>2754</v>
      </c>
      <c r="D121" s="2828" t="s">
        <v>2755</v>
      </c>
      <c r="E121" s="2854">
        <v>0.1</v>
      </c>
      <c r="F121" s="2854">
        <v>15</v>
      </c>
    </row>
    <row r="122" spans="1:6" ht="24">
      <c r="A122" s="2854">
        <v>50</v>
      </c>
      <c r="B122" s="3471" t="s">
        <v>2756</v>
      </c>
      <c r="C122" s="2854" t="s">
        <v>2757</v>
      </c>
      <c r="D122" s="2828" t="s">
        <v>2758</v>
      </c>
      <c r="E122" s="2854">
        <v>0.1</v>
      </c>
      <c r="F122" s="2854">
        <v>15</v>
      </c>
    </row>
    <row r="123" spans="1:6" ht="24">
      <c r="A123" s="2854">
        <v>51</v>
      </c>
      <c r="B123" s="3471"/>
      <c r="C123" s="2854" t="s">
        <v>2759</v>
      </c>
      <c r="D123" s="2828" t="s">
        <v>2760</v>
      </c>
      <c r="E123" s="2854">
        <v>0.1</v>
      </c>
      <c r="F123" s="2854">
        <v>15</v>
      </c>
    </row>
    <row r="124" spans="1:6" ht="24">
      <c r="A124" s="2854">
        <v>52</v>
      </c>
      <c r="B124" s="3471" t="s">
        <v>2761</v>
      </c>
      <c r="C124" s="2854" t="s">
        <v>2762</v>
      </c>
      <c r="D124" s="2828" t="s">
        <v>2763</v>
      </c>
      <c r="E124" s="2854">
        <v>0.1</v>
      </c>
      <c r="F124" s="2854">
        <v>15</v>
      </c>
    </row>
    <row r="125" spans="1:6" ht="24">
      <c r="A125" s="2854">
        <v>53</v>
      </c>
      <c r="B125" s="3471"/>
      <c r="C125" s="2854" t="s">
        <v>2764</v>
      </c>
      <c r="D125" s="2828" t="s">
        <v>2765</v>
      </c>
      <c r="E125" s="2854">
        <v>0.1</v>
      </c>
      <c r="F125" s="2854">
        <v>15</v>
      </c>
    </row>
    <row r="126" spans="1:6" ht="24">
      <c r="A126" s="2854">
        <v>54</v>
      </c>
      <c r="B126" s="2854" t="s">
        <v>2766</v>
      </c>
      <c r="C126" s="2854" t="s">
        <v>2767</v>
      </c>
      <c r="D126" s="2828" t="s">
        <v>2768</v>
      </c>
      <c r="E126" s="2854">
        <v>0.1</v>
      </c>
      <c r="F126" s="2854">
        <v>15</v>
      </c>
    </row>
    <row r="127" spans="1:6" ht="24">
      <c r="A127" s="2854">
        <v>55</v>
      </c>
      <c r="B127" s="3471" t="s">
        <v>2769</v>
      </c>
      <c r="C127" s="2854" t="s">
        <v>2770</v>
      </c>
      <c r="D127" s="2828" t="s">
        <v>2771</v>
      </c>
      <c r="E127" s="2854">
        <v>0.1</v>
      </c>
      <c r="F127" s="2854">
        <v>15</v>
      </c>
    </row>
    <row r="128" spans="1:6" ht="24">
      <c r="A128" s="2854">
        <v>56</v>
      </c>
      <c r="B128" s="3471"/>
      <c r="C128" s="2854" t="s">
        <v>2772</v>
      </c>
      <c r="D128" s="2828" t="s">
        <v>2773</v>
      </c>
      <c r="E128" s="2854">
        <v>0.1</v>
      </c>
      <c r="F128" s="2854">
        <v>15</v>
      </c>
    </row>
    <row r="129" spans="1:6" ht="24">
      <c r="A129" s="2854">
        <v>57</v>
      </c>
      <c r="B129" s="3471"/>
      <c r="C129" s="2854" t="s">
        <v>2774</v>
      </c>
      <c r="D129" s="2828" t="s">
        <v>2775</v>
      </c>
      <c r="E129" s="2854">
        <v>0.1</v>
      </c>
      <c r="F129" s="2854">
        <v>15</v>
      </c>
    </row>
    <row r="130" spans="1:6" ht="24">
      <c r="A130" s="2854">
        <v>58</v>
      </c>
      <c r="B130" s="3471" t="s">
        <v>2776</v>
      </c>
      <c r="C130" s="2854" t="s">
        <v>2777</v>
      </c>
      <c r="D130" s="2828" t="s">
        <v>2778</v>
      </c>
      <c r="E130" s="2854">
        <v>0.1</v>
      </c>
      <c r="F130" s="2854">
        <v>15</v>
      </c>
    </row>
    <row r="131" spans="1:6" ht="24">
      <c r="A131" s="2854">
        <v>59</v>
      </c>
      <c r="B131" s="3471"/>
      <c r="C131" s="2854" t="s">
        <v>2779</v>
      </c>
      <c r="D131" s="2828" t="s">
        <v>2780</v>
      </c>
      <c r="E131" s="2854">
        <v>0.1</v>
      </c>
      <c r="F131" s="2854">
        <v>15</v>
      </c>
    </row>
    <row r="132" spans="1:6" ht="24">
      <c r="A132" s="2854">
        <v>60</v>
      </c>
      <c r="B132" s="3466" t="s">
        <v>2781</v>
      </c>
      <c r="C132" s="2854" t="s">
        <v>2782</v>
      </c>
      <c r="D132" s="2828" t="s">
        <v>2783</v>
      </c>
      <c r="E132" s="2854">
        <v>0.1</v>
      </c>
      <c r="F132" s="2854">
        <v>15</v>
      </c>
    </row>
    <row r="133" spans="1:6" ht="24">
      <c r="A133" s="2854">
        <v>61</v>
      </c>
      <c r="B133" s="3470"/>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24">
      <c r="A135" s="2854">
        <v>63</v>
      </c>
      <c r="B135" s="3471" t="s">
        <v>2789</v>
      </c>
      <c r="C135" s="2854" t="s">
        <v>2790</v>
      </c>
      <c r="D135" s="2828" t="s">
        <v>2791</v>
      </c>
      <c r="E135" s="2854">
        <v>0.1</v>
      </c>
      <c r="F135" s="2854">
        <v>15</v>
      </c>
    </row>
    <row r="136" spans="1:6" ht="24">
      <c r="A136" s="2854">
        <v>64</v>
      </c>
      <c r="B136" s="3471"/>
      <c r="C136" s="2854" t="s">
        <v>2792</v>
      </c>
      <c r="D136" s="2828" t="s">
        <v>2793</v>
      </c>
      <c r="E136" s="2854">
        <v>0.1</v>
      </c>
      <c r="F136" s="2854">
        <v>15</v>
      </c>
    </row>
    <row r="137" spans="1:6" ht="24">
      <c r="A137" s="2854">
        <v>65</v>
      </c>
      <c r="B137" s="2854" t="s">
        <v>2794</v>
      </c>
      <c r="C137" s="2854" t="s">
        <v>2795</v>
      </c>
      <c r="D137" s="2828" t="s">
        <v>2796</v>
      </c>
      <c r="E137" s="2854">
        <v>0.1</v>
      </c>
      <c r="F137" s="2854">
        <v>15</v>
      </c>
    </row>
    <row r="138" spans="1:6" ht="14.4">
      <c r="A138" s="2854"/>
      <c r="B138" s="2854"/>
      <c r="C138" s="2854"/>
      <c r="D138" s="2854"/>
      <c r="E138" s="2854" t="s">
        <v>2797</v>
      </c>
      <c r="F138" s="285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2798</v>
      </c>
      <c r="B1" s="2862"/>
      <c r="C1" s="2862"/>
      <c r="D1" s="2862"/>
      <c r="E1" s="2862"/>
      <c r="F1" s="2862"/>
      <c r="G1" s="2862"/>
      <c r="H1" s="2862"/>
      <c r="I1" s="2862"/>
      <c r="J1" s="2862"/>
      <c r="K1" s="2862"/>
      <c r="L1" s="2862"/>
      <c r="M1" s="2862"/>
      <c r="N1" s="707"/>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0</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0</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7.399999999999999">
      <c r="A3" s="3161" t="str">
        <f>IF(项目基本情况!B9="房地产市场价值","估价结果一览表（市场价值不需“结果表-1”）","估价结果一览表")</f>
        <v>估价结果一览表</v>
      </c>
      <c r="B3" s="3161"/>
      <c r="C3" s="3161"/>
      <c r="D3" s="3161"/>
      <c r="E3" s="3161"/>
    </row>
    <row r="4" spans="1:5" ht="18" thickBot="1">
      <c r="A4" s="1391"/>
      <c r="B4" s="3159" t="s">
        <v>917</v>
      </c>
      <c r="C4" s="3159"/>
      <c r="D4" s="3159"/>
      <c r="E4" s="1391"/>
    </row>
    <row r="5" spans="1:5" ht="16.2" thickTop="1">
      <c r="B5" s="3157" t="s">
        <v>909</v>
      </c>
      <c r="C5" s="1392" t="s">
        <v>910</v>
      </c>
      <c r="D5" s="797" t="e">
        <f ca="1">结果表!H101</f>
        <v>#REF!</v>
      </c>
    </row>
    <row r="6" spans="1:5" ht="15.6">
      <c r="B6" s="3157"/>
      <c r="C6" s="1392" t="s">
        <v>911</v>
      </c>
      <c r="D6" s="797" t="e">
        <f ca="1">NUMBERSTRING(INT(D5*10000),2)&amp;"元整"</f>
        <v>#REF!</v>
      </c>
    </row>
    <row r="7" spans="1:5" ht="15.6">
      <c r="B7" s="3162"/>
      <c r="C7" s="1393" t="s">
        <v>912</v>
      </c>
      <c r="D7" s="798" t="e">
        <f ca="1">结果表!H102</f>
        <v>#REF!</v>
      </c>
    </row>
    <row r="8" spans="1:5" ht="15.6">
      <c r="B8" s="3163" t="str">
        <f>结果表!E103</f>
        <v>2.估价师知悉的法定优先受偿款</v>
      </c>
      <c r="C8" s="1394" t="s">
        <v>913</v>
      </c>
      <c r="D8" s="798">
        <f>结果表!H103</f>
        <v>0</v>
      </c>
    </row>
    <row r="9" spans="1:5" ht="15.6">
      <c r="B9" s="316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6" t="str">
        <f>结果表!E107</f>
        <v>3.房地产抵押价值</v>
      </c>
      <c r="C13" s="1397" t="s">
        <v>910</v>
      </c>
      <c r="D13" s="800" t="e">
        <f ca="1">结果表!H107</f>
        <v>#REF!</v>
      </c>
    </row>
    <row r="14" spans="1:5" ht="15.6">
      <c r="B14" s="3157"/>
      <c r="C14" s="1392" t="s">
        <v>911</v>
      </c>
      <c r="D14" s="797" t="e">
        <f ca="1">NUMBERSTRING(INT(D13*10000),2)&amp;"元整"</f>
        <v>#REF!</v>
      </c>
    </row>
    <row r="15" spans="1:5" ht="15.6">
      <c r="B15" s="3162"/>
      <c r="C15" s="1393" t="s">
        <v>921</v>
      </c>
      <c r="D15" s="806" t="e">
        <f ca="1">结果表!H108</f>
        <v>#REF!</v>
      </c>
    </row>
    <row r="16" spans="1:5" ht="15.6">
      <c r="B16" s="3163" t="str">
        <f>结果表!E109</f>
        <v>——</v>
      </c>
      <c r="C16" s="1397" t="s">
        <v>922</v>
      </c>
      <c r="D16" s="1398" t="str">
        <f>结果表!H109</f>
        <v>——</v>
      </c>
    </row>
    <row r="17" spans="1:5" ht="15.6">
      <c r="B17" s="3164"/>
      <c r="C17" s="1392" t="s">
        <v>923</v>
      </c>
      <c r="D17" s="797" t="e">
        <f>NUMBERSTRING(INT(D16*10000),2)&amp;"元整"</f>
        <v>#VALUE!</v>
      </c>
    </row>
    <row r="18" spans="1:5" ht="15.6">
      <c r="B18" s="3165"/>
      <c r="C18" s="1393" t="s">
        <v>912</v>
      </c>
      <c r="D18" s="806" t="str">
        <f>结果表!H110</f>
        <v>——</v>
      </c>
    </row>
    <row r="19" spans="1:5" ht="15.6">
      <c r="B19" s="3156" t="str">
        <f>结果表!E111</f>
        <v>——</v>
      </c>
      <c r="C19" s="1397" t="s">
        <v>910</v>
      </c>
      <c r="D19" s="798" t="str">
        <f>结果表!H111</f>
        <v>——</v>
      </c>
    </row>
    <row r="20" spans="1:5" ht="15.6">
      <c r="B20" s="3157"/>
      <c r="C20" s="1392" t="s">
        <v>923</v>
      </c>
      <c r="D20" s="797" t="e">
        <f>NUMBERSTRING(INT(D19*10000),2)&amp;"元整"</f>
        <v>#VALUE!</v>
      </c>
    </row>
    <row r="21" spans="1:5" ht="16.2" thickBot="1">
      <c r="B21" s="315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772.54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772.54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772.54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37" t="s">
        <v>94</v>
      </c>
    </row>
    <row r="43" spans="1:7" ht="13.5" customHeight="1">
      <c r="A43" s="734" t="s">
        <v>347</v>
      </c>
      <c r="B43" s="207" t="s">
        <v>426</v>
      </c>
      <c r="C43" s="230" t="e">
        <f ca="1">ROUND(IF('数据-取费表'!B22&lt;=1,C39*F22*'数据-取费表'!B21/2,C39*(POWER((1+F22),'数据-取费表'!B21/2)-1)),0)</f>
        <v>#VALUE!</v>
      </c>
      <c r="D43" s="230"/>
      <c r="E43" s="230"/>
      <c r="F43" s="231"/>
      <c r="G43" s="3338"/>
    </row>
    <row r="44" spans="1:7" ht="13.5" customHeight="1">
      <c r="A44" s="734" t="s">
        <v>348</v>
      </c>
      <c r="B44" s="207" t="s">
        <v>428</v>
      </c>
      <c r="C44" s="230" t="e">
        <f ca="1">ROUND(IF('数据-取费表'!B22&lt;=1,C40*F22*'数据-取费表'!B21/2,C40*(POWER((1+F22),'数据-取费表'!B21/2)-1)),4)</f>
        <v>#VALUE!</v>
      </c>
      <c r="D44" s="230"/>
      <c r="E44" s="230"/>
      <c r="F44" s="231"/>
      <c r="G44" s="333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474" t="s">
        <v>2839</v>
      </c>
      <c r="B1" s="3474"/>
      <c r="C1" s="3474"/>
      <c r="D1" s="3474"/>
      <c r="E1" s="3474"/>
      <c r="F1" s="3474"/>
      <c r="G1" s="3475"/>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1.4"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472"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1.4" thickBot="1">
      <c r="A4" s="3473"/>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1.4"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1.4"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1.4"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1.4"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76" t="s">
        <v>3181</v>
      </c>
      <c r="B1" s="3476"/>
    </row>
    <row r="2" spans="1:7" ht="15" thickBot="1">
      <c r="A2" s="2965"/>
      <c r="B2" s="2965"/>
    </row>
    <row r="3" spans="1:7" ht="15" thickBot="1">
      <c r="A3" s="2965"/>
      <c r="B3" s="2965"/>
      <c r="C3" s="2966" t="s">
        <v>2811</v>
      </c>
      <c r="D3" s="2966" t="s">
        <v>2867</v>
      </c>
      <c r="E3" s="2966" t="s">
        <v>2813</v>
      </c>
      <c r="F3" s="2966" t="s">
        <v>2868</v>
      </c>
      <c r="G3" s="2966" t="s">
        <v>2631</v>
      </c>
    </row>
    <row r="4" spans="1:7" ht="1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477" t="s">
        <v>3232</v>
      </c>
      <c r="B1" s="3477"/>
      <c r="C1" s="3477"/>
      <c r="D1" s="3477"/>
      <c r="E1" s="3477"/>
      <c r="F1" s="3478"/>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4">
        <f>基准地价修正!G23</f>
        <v>45747</v>
      </c>
      <c r="B1" s="2926" t="s">
        <v>3380</v>
      </c>
      <c r="C1" s="2927"/>
      <c r="D1" s="2927"/>
      <c r="E1" s="2927"/>
      <c r="F1" s="2927"/>
      <c r="G1" s="2927"/>
      <c r="H1" s="2927"/>
      <c r="I1" s="2927"/>
      <c r="J1" s="2893"/>
      <c r="K1" s="2927" t="s">
        <v>454</v>
      </c>
      <c r="L1" s="2927"/>
      <c r="M1" s="2927"/>
      <c r="N1" s="2927"/>
      <c r="O1" s="2927"/>
      <c r="P1" s="2927"/>
      <c r="Q1" s="2893"/>
      <c r="R1" s="3479" t="s">
        <v>456</v>
      </c>
      <c r="S1" s="3480"/>
      <c r="T1" s="3480"/>
      <c r="U1" s="3480"/>
      <c r="V1" s="3480"/>
      <c r="W1" s="3480"/>
      <c r="X1" s="2893"/>
      <c r="Y1" s="3479" t="s">
        <v>457</v>
      </c>
      <c r="Z1" s="3480"/>
      <c r="AA1" s="3480"/>
      <c r="AB1" s="3480"/>
      <c r="AC1" s="3480"/>
      <c r="AD1" s="3480"/>
    </row>
    <row r="2" spans="1:30" s="2010" customFormat="1" ht="15" thickBot="1">
      <c r="B2" s="2878"/>
      <c r="C2" s="2879"/>
      <c r="D2" s="2011" t="s">
        <v>2810</v>
      </c>
      <c r="E2" s="2012" t="s">
        <v>2811</v>
      </c>
      <c r="F2" s="2012" t="s">
        <v>2812</v>
      </c>
      <c r="G2" s="2012" t="s">
        <v>2813</v>
      </c>
      <c r="H2" s="2012" t="s">
        <v>2814</v>
      </c>
      <c r="I2" s="2012" t="s">
        <v>2631</v>
      </c>
      <c r="J2" s="2880"/>
      <c r="K2" s="2011" t="s">
        <v>2810</v>
      </c>
      <c r="L2" s="2012" t="s">
        <v>2811</v>
      </c>
      <c r="M2" s="2012" t="s">
        <v>2812</v>
      </c>
      <c r="N2" s="2012" t="s">
        <v>2813</v>
      </c>
      <c r="O2" s="2012" t="s">
        <v>2815</v>
      </c>
      <c r="P2" s="2012" t="s">
        <v>2631</v>
      </c>
      <c r="Q2" s="2880"/>
      <c r="R2" s="2011" t="s">
        <v>2810</v>
      </c>
      <c r="S2" s="2012" t="s">
        <v>2811</v>
      </c>
      <c r="T2" s="2012" t="s">
        <v>2812</v>
      </c>
      <c r="U2" s="2012" t="s">
        <v>2816</v>
      </c>
      <c r="V2" s="2012" t="s">
        <v>2817</v>
      </c>
      <c r="W2" s="2012" t="s">
        <v>2631</v>
      </c>
      <c r="X2" s="2880"/>
      <c r="Y2" s="2011" t="s">
        <v>2810</v>
      </c>
      <c r="Z2" s="2012" t="s">
        <v>2811</v>
      </c>
      <c r="AA2" s="2012" t="s">
        <v>2812</v>
      </c>
      <c r="AB2" s="2012" t="s">
        <v>2818</v>
      </c>
      <c r="AC2" s="2012" t="s">
        <v>2817</v>
      </c>
      <c r="AD2" s="2012" t="s">
        <v>2631</v>
      </c>
    </row>
    <row r="3" spans="1:30" s="2883" customFormat="1" ht="13.2">
      <c r="A3" s="2881" t="s">
        <v>2819</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9" customFormat="1" ht="13.2">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30" s="2045" customFormat="1" ht="13.2">
      <c r="A5" s="2040" t="s">
        <v>3376</v>
      </c>
      <c r="B5" s="2031">
        <v>2025</v>
      </c>
      <c r="C5" s="2042">
        <v>1</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M5</f>
        <v>0</v>
      </c>
      <c r="Q5" s="2903"/>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3"/>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3" customFormat="1" ht="13.2">
      <c r="A6" s="2904" t="s">
        <v>3385</v>
      </c>
      <c r="B6" s="2905">
        <v>2024</v>
      </c>
      <c r="C6" s="2906">
        <v>4</v>
      </c>
      <c r="D6" s="2907">
        <v>-1.02</v>
      </c>
      <c r="E6" s="2907">
        <v>-0.48</v>
      </c>
      <c r="F6" s="2907">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3"/>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3"/>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3"/>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2" t="s">
        <v>3377</v>
      </c>
      <c r="B8" s="2031">
        <v>2024</v>
      </c>
      <c r="C8" s="2042">
        <v>2</v>
      </c>
      <c r="D8" s="2007">
        <v>-0.59</v>
      </c>
      <c r="E8" s="2007">
        <v>-0.21</v>
      </c>
      <c r="F8" s="2007">
        <v>-1.38</v>
      </c>
      <c r="G8" s="2007">
        <v>-1.24</v>
      </c>
      <c r="H8" s="2914">
        <v>0.34</v>
      </c>
      <c r="I8" s="2008">
        <f t="shared" ref="I8:I21" si="37">F8</f>
        <v>-1.38</v>
      </c>
      <c r="J8" s="2903"/>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3"/>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3"/>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2" t="s">
        <v>3375</v>
      </c>
      <c r="B9" s="2031">
        <v>2024</v>
      </c>
      <c r="C9" s="2042">
        <v>1</v>
      </c>
      <c r="D9" s="2007">
        <v>0.08</v>
      </c>
      <c r="E9" s="2007">
        <v>0.46</v>
      </c>
      <c r="F9" s="2007">
        <v>-0.16</v>
      </c>
      <c r="G9" s="2007">
        <v>0.26</v>
      </c>
      <c r="H9" s="2914">
        <v>0.59</v>
      </c>
      <c r="I9" s="2008">
        <v>0</v>
      </c>
      <c r="J9" s="2903"/>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3"/>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3"/>
      <c r="Y9" s="2028"/>
      <c r="Z9" s="2028"/>
      <c r="AA9" s="2028"/>
      <c r="AB9" s="2028"/>
      <c r="AC9" s="2028"/>
      <c r="AD9" s="2028"/>
    </row>
    <row r="10" spans="1:30" s="2045" customFormat="1" ht="13.2">
      <c r="A10" s="2902" t="s">
        <v>3371</v>
      </c>
      <c r="B10" s="2031">
        <v>2023</v>
      </c>
      <c r="C10" s="2042">
        <v>4</v>
      </c>
      <c r="D10" s="2007">
        <v>0.19</v>
      </c>
      <c r="E10" s="2007">
        <v>0.24</v>
      </c>
      <c r="F10" s="2007">
        <v>-0.16</v>
      </c>
      <c r="G10" s="2007">
        <v>0.17</v>
      </c>
      <c r="H10" s="2914">
        <v>0.61</v>
      </c>
      <c r="I10" s="2008">
        <f>F10</f>
        <v>-0.16</v>
      </c>
      <c r="J10" s="2903"/>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3"/>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3"/>
      <c r="Y10" s="2028"/>
      <c r="Z10" s="2028"/>
      <c r="AA10" s="2028"/>
      <c r="AB10" s="2028"/>
      <c r="AC10" s="2028"/>
      <c r="AD10" s="2028"/>
    </row>
    <row r="11" spans="1:30" s="2045" customFormat="1" ht="13.2">
      <c r="A11" s="2902" t="s">
        <v>3370</v>
      </c>
      <c r="B11" s="2031">
        <v>2023</v>
      </c>
      <c r="C11" s="2042">
        <v>3</v>
      </c>
      <c r="D11" s="2007">
        <v>0.25</v>
      </c>
      <c r="E11" s="2007">
        <v>0.5</v>
      </c>
      <c r="F11" s="2007">
        <v>0.31</v>
      </c>
      <c r="G11" s="2007">
        <v>0.21</v>
      </c>
      <c r="H11" s="2914">
        <v>0.43</v>
      </c>
      <c r="I11" s="2008">
        <f t="shared" si="37"/>
        <v>0.31</v>
      </c>
      <c r="J11" s="2903"/>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3"/>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3"/>
      <c r="Y11" s="2028"/>
      <c r="Z11" s="2028"/>
      <c r="AA11" s="2028"/>
      <c r="AB11" s="2028"/>
      <c r="AC11" s="2028"/>
      <c r="AD11" s="2028"/>
    </row>
    <row r="12" spans="1:30" s="2045" customFormat="1" ht="13.2">
      <c r="A12" s="2902" t="s">
        <v>3368</v>
      </c>
      <c r="B12" s="2031">
        <v>2023</v>
      </c>
      <c r="C12" s="2042">
        <v>2</v>
      </c>
      <c r="D12" s="2007">
        <v>0.91</v>
      </c>
      <c r="E12" s="2007">
        <v>0.66</v>
      </c>
      <c r="F12" s="2007">
        <v>0.47</v>
      </c>
      <c r="G12" s="2007">
        <v>0.96</v>
      </c>
      <c r="H12" s="2914">
        <v>0.71</v>
      </c>
      <c r="I12" s="2008">
        <f t="shared" si="37"/>
        <v>0.47</v>
      </c>
      <c r="J12" s="2903"/>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3"/>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3"/>
      <c r="Y12" s="2028"/>
      <c r="Z12" s="2028"/>
      <c r="AA12" s="2028"/>
      <c r="AB12" s="2028"/>
      <c r="AC12" s="2028"/>
      <c r="AD12" s="2028"/>
    </row>
    <row r="13" spans="1:30" s="2045" customFormat="1" ht="13.2">
      <c r="A13" s="2902" t="s">
        <v>3367</v>
      </c>
      <c r="B13" s="2031">
        <v>2023</v>
      </c>
      <c r="C13" s="2042">
        <v>1</v>
      </c>
      <c r="D13" s="2007">
        <v>0.89</v>
      </c>
      <c r="E13" s="2007">
        <v>0.74</v>
      </c>
      <c r="F13" s="2007">
        <v>0.56999999999999995</v>
      </c>
      <c r="G13" s="2007">
        <v>0.92</v>
      </c>
      <c r="H13" s="2914">
        <v>0.5</v>
      </c>
      <c r="I13" s="2008">
        <f t="shared" si="37"/>
        <v>0.56999999999999995</v>
      </c>
      <c r="J13" s="2903"/>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3"/>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3"/>
      <c r="Y13" s="2028"/>
      <c r="Z13" s="2028"/>
      <c r="AA13" s="2028"/>
      <c r="AB13" s="2028"/>
      <c r="AC13" s="2028"/>
      <c r="AD13" s="2028"/>
    </row>
    <row r="14" spans="1:30" s="2045" customFormat="1" ht="13.2">
      <c r="A14" s="2902" t="s">
        <v>3366</v>
      </c>
      <c r="B14" s="2031">
        <v>2022</v>
      </c>
      <c r="C14" s="2042">
        <v>4</v>
      </c>
      <c r="D14" s="2007">
        <v>0.62</v>
      </c>
      <c r="E14" s="2007">
        <v>0.2</v>
      </c>
      <c r="F14" s="2007">
        <v>0.11</v>
      </c>
      <c r="G14" s="2007">
        <v>0.69</v>
      </c>
      <c r="H14" s="2914">
        <v>0.53</v>
      </c>
      <c r="I14" s="2008">
        <f t="shared" si="37"/>
        <v>0.11</v>
      </c>
      <c r="J14" s="2903"/>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3"/>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3"/>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2" t="s">
        <v>3364</v>
      </c>
      <c r="B15" s="2031">
        <v>2022</v>
      </c>
      <c r="C15" s="2042">
        <v>3</v>
      </c>
      <c r="D15" s="2007">
        <v>0.66</v>
      </c>
      <c r="E15" s="2007">
        <v>0.32</v>
      </c>
      <c r="F15" s="2007">
        <v>0.23</v>
      </c>
      <c r="G15" s="2007">
        <v>0.72</v>
      </c>
      <c r="H15" s="2914">
        <v>0.63</v>
      </c>
      <c r="I15" s="2008">
        <f t="shared" si="37"/>
        <v>0.23</v>
      </c>
      <c r="J15" s="2903"/>
      <c r="K15" s="2043">
        <f t="shared" si="38"/>
        <v>6.6E-3</v>
      </c>
      <c r="L15" s="2028">
        <f t="shared" si="38"/>
        <v>3.2000000000000002E-3</v>
      </c>
      <c r="M15" s="2028">
        <f t="shared" si="38"/>
        <v>2.3E-3</v>
      </c>
      <c r="N15" s="2028">
        <f t="shared" si="38"/>
        <v>7.1999999999999998E-3</v>
      </c>
      <c r="O15" s="2028">
        <f t="shared" si="38"/>
        <v>6.3E-3</v>
      </c>
      <c r="P15" s="2028">
        <f t="shared" si="58"/>
        <v>2.3E-3</v>
      </c>
      <c r="Q15" s="2903"/>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3"/>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2" t="s">
        <v>3355</v>
      </c>
      <c r="B16" s="2031">
        <v>2022</v>
      </c>
      <c r="C16" s="2042">
        <v>2</v>
      </c>
      <c r="D16" s="2007">
        <v>0.93</v>
      </c>
      <c r="E16" s="2007">
        <v>0.15</v>
      </c>
      <c r="F16" s="2007">
        <v>0.01</v>
      </c>
      <c r="G16" s="2007">
        <v>1.05</v>
      </c>
      <c r="H16" s="2914">
        <v>1.08</v>
      </c>
      <c r="I16" s="2008">
        <f t="shared" si="37"/>
        <v>0.01</v>
      </c>
      <c r="J16" s="2903"/>
      <c r="K16" s="2043">
        <f t="shared" si="38"/>
        <v>9.300000000000001E-3</v>
      </c>
      <c r="L16" s="2028">
        <f t="shared" si="38"/>
        <v>1.5E-3</v>
      </c>
      <c r="M16" s="2028">
        <f t="shared" si="38"/>
        <v>1E-4</v>
      </c>
      <c r="N16" s="2028">
        <f t="shared" si="38"/>
        <v>1.0500000000000001E-2</v>
      </c>
      <c r="O16" s="2028">
        <f t="shared" si="38"/>
        <v>1.0800000000000001E-2</v>
      </c>
      <c r="P16" s="2028">
        <f t="shared" si="58"/>
        <v>1E-4</v>
      </c>
      <c r="Q16" s="2903"/>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3"/>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2" t="s">
        <v>2820</v>
      </c>
      <c r="B17" s="2031">
        <v>2022</v>
      </c>
      <c r="C17" s="2042">
        <v>1</v>
      </c>
      <c r="D17" s="2007">
        <v>0.89</v>
      </c>
      <c r="E17" s="2007">
        <v>0.44</v>
      </c>
      <c r="F17" s="2007">
        <v>0.37</v>
      </c>
      <c r="G17" s="2007">
        <v>0.96</v>
      </c>
      <c r="H17" s="2914">
        <v>0.64</v>
      </c>
      <c r="I17" s="2008">
        <f t="shared" si="37"/>
        <v>0.37</v>
      </c>
      <c r="J17" s="2903"/>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3"/>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3"/>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2" t="s">
        <v>2821</v>
      </c>
      <c r="B18" s="2031">
        <v>2021</v>
      </c>
      <c r="C18" s="2042">
        <v>4</v>
      </c>
      <c r="D18" s="2007">
        <v>1.03</v>
      </c>
      <c r="E18" s="2007">
        <v>0.24</v>
      </c>
      <c r="F18" s="2007">
        <v>7.0000000000000007E-2</v>
      </c>
      <c r="G18" s="2007">
        <v>1.17</v>
      </c>
      <c r="H18" s="2914">
        <v>0.55000000000000004</v>
      </c>
      <c r="I18" s="2008">
        <f t="shared" si="37"/>
        <v>7.0000000000000007E-2</v>
      </c>
      <c r="J18" s="2903"/>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3"/>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3"/>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2" t="s">
        <v>2822</v>
      </c>
      <c r="B19" s="2031">
        <v>2021</v>
      </c>
      <c r="C19" s="2042">
        <v>3</v>
      </c>
      <c r="D19" s="2007">
        <v>0.47</v>
      </c>
      <c r="E19" s="2007">
        <v>0.41</v>
      </c>
      <c r="F19" s="2007">
        <v>0.24</v>
      </c>
      <c r="G19" s="2007">
        <v>0.48</v>
      </c>
      <c r="H19" s="2914">
        <v>0.48</v>
      </c>
      <c r="I19" s="2008">
        <f t="shared" si="37"/>
        <v>0.24</v>
      </c>
      <c r="J19" s="2903"/>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3"/>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3"/>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2" t="s">
        <v>2823</v>
      </c>
      <c r="B20" s="2031">
        <v>2021</v>
      </c>
      <c r="C20" s="2042">
        <v>2</v>
      </c>
      <c r="D20" s="2007">
        <v>0.92</v>
      </c>
      <c r="E20" s="2007">
        <v>0.72</v>
      </c>
      <c r="F20" s="2007">
        <v>0.41</v>
      </c>
      <c r="G20" s="2007">
        <v>0.95</v>
      </c>
      <c r="H20" s="2914">
        <v>1.01</v>
      </c>
      <c r="I20" s="2008">
        <f t="shared" si="37"/>
        <v>0.41</v>
      </c>
      <c r="J20" s="2903"/>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3"/>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3"/>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5" customFormat="1" ht="13.8" thickBot="1">
      <c r="A21" s="2915" t="s">
        <v>2824</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3383</v>
      </c>
    </row>
    <row r="24" spans="1:30">
      <c r="I24" s="1405" t="s">
        <v>2825</v>
      </c>
    </row>
    <row r="26" spans="1:30" s="2009" customFormat="1" ht="13.2">
      <c r="B26" s="2926" t="s">
        <v>3381</v>
      </c>
      <c r="C26" s="2927"/>
      <c r="D26" s="2927"/>
      <c r="E26" s="2927"/>
      <c r="F26" s="2927"/>
      <c r="G26" s="2927"/>
      <c r="H26" s="2927"/>
      <c r="I26" s="2927"/>
      <c r="J26" s="2893"/>
      <c r="K26" s="2927" t="s">
        <v>2826</v>
      </c>
      <c r="L26" s="2927"/>
      <c r="M26" s="2927"/>
      <c r="N26" s="2927"/>
      <c r="O26" s="2927"/>
      <c r="P26" s="2927"/>
      <c r="Q26" s="2893"/>
      <c r="R26" s="3479" t="s">
        <v>2827</v>
      </c>
      <c r="S26" s="3480"/>
      <c r="T26" s="3480"/>
      <c r="U26" s="3480"/>
      <c r="V26" s="3480"/>
      <c r="W26" s="3480"/>
      <c r="X26" s="2893"/>
      <c r="Y26" s="3479" t="s">
        <v>2828</v>
      </c>
      <c r="Z26" s="3480"/>
      <c r="AA26" s="3480"/>
      <c r="AB26" s="3480"/>
      <c r="AC26" s="3480"/>
      <c r="AD26" s="3480"/>
    </row>
    <row r="27" spans="1:30" s="2010" customFormat="1" ht="15" thickBot="1">
      <c r="B27" s="2878"/>
      <c r="C27" s="2879"/>
      <c r="D27" s="2011" t="s">
        <v>2829</v>
      </c>
      <c r="E27" s="2012" t="s">
        <v>2830</v>
      </c>
      <c r="F27" s="2012" t="s">
        <v>2831</v>
      </c>
      <c r="G27" s="2012" t="s">
        <v>2832</v>
      </c>
      <c r="H27" s="2012"/>
      <c r="I27" s="2012" t="s">
        <v>2833</v>
      </c>
      <c r="J27" s="2880"/>
      <c r="K27" s="2011" t="s">
        <v>2829</v>
      </c>
      <c r="L27" s="2012" t="s">
        <v>2830</v>
      </c>
      <c r="M27" s="2012" t="s">
        <v>2831</v>
      </c>
      <c r="N27" s="2012" t="s">
        <v>2832</v>
      </c>
      <c r="O27" s="2012"/>
      <c r="P27" s="2012" t="s">
        <v>2833</v>
      </c>
      <c r="Q27" s="2880"/>
      <c r="R27" s="2011" t="s">
        <v>2829</v>
      </c>
      <c r="S27" s="2012" t="s">
        <v>2830</v>
      </c>
      <c r="T27" s="2012" t="s">
        <v>2831</v>
      </c>
      <c r="U27" s="2012" t="s">
        <v>2832</v>
      </c>
      <c r="V27" s="2012"/>
      <c r="W27" s="2012" t="s">
        <v>2833</v>
      </c>
      <c r="X27" s="2880"/>
      <c r="Y27" s="2011" t="s">
        <v>2829</v>
      </c>
      <c r="Z27" s="2012" t="s">
        <v>2830</v>
      </c>
      <c r="AA27" s="2012" t="s">
        <v>2831</v>
      </c>
      <c r="AB27" s="2012" t="s">
        <v>2832</v>
      </c>
      <c r="AC27" s="2012"/>
      <c r="AD27" s="2012" t="s">
        <v>2833</v>
      </c>
    </row>
    <row r="28" spans="1:30" s="2883" customFormat="1" ht="13.2">
      <c r="A28" s="2881" t="s">
        <v>2834</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9" customFormat="1" ht="13.2">
      <c r="B29" s="2025"/>
      <c r="J29" s="2893"/>
      <c r="K29" s="2894"/>
      <c r="L29" s="2895"/>
      <c r="M29" s="2895"/>
      <c r="N29" s="2895"/>
      <c r="O29" s="2895"/>
      <c r="P29" s="2895"/>
      <c r="Q29" s="2893"/>
      <c r="R29" s="2027"/>
      <c r="S29" s="2896"/>
      <c r="T29" s="2897"/>
      <c r="U29" s="2027"/>
      <c r="V29" s="2898"/>
      <c r="W29" s="2027"/>
      <c r="X29" s="2893"/>
      <c r="Y29" s="2028"/>
      <c r="Z29" s="2899"/>
      <c r="AA29" s="2900"/>
      <c r="AB29" s="2028"/>
      <c r="AC29" s="2901"/>
      <c r="AD29" s="2028"/>
    </row>
    <row r="30" spans="1:30" s="2045" customFormat="1" ht="13.2">
      <c r="A30" s="2040" t="s">
        <v>3376</v>
      </c>
      <c r="B30" s="2031">
        <v>2025</v>
      </c>
      <c r="C30" s="2042">
        <v>1</v>
      </c>
      <c r="D30" s="2007"/>
      <c r="E30" s="2007">
        <v>0</v>
      </c>
      <c r="F30" s="2007">
        <v>0</v>
      </c>
      <c r="G30" s="2007">
        <v>0</v>
      </c>
      <c r="H30" s="2007"/>
      <c r="I30" s="2008">
        <f t="shared" ref="I30" si="69">F30</f>
        <v>0</v>
      </c>
      <c r="J30" s="2903"/>
      <c r="K30" s="2043"/>
      <c r="L30" s="2028">
        <f t="shared" ref="L30" si="70">E30/100</f>
        <v>0</v>
      </c>
      <c r="M30" s="2028">
        <f t="shared" ref="M30" si="71">F30/100</f>
        <v>0</v>
      </c>
      <c r="N30" s="2028">
        <f t="shared" ref="N30" si="72">G30/100</f>
        <v>0</v>
      </c>
      <c r="O30" s="2028"/>
      <c r="P30" s="2028">
        <f>M30</f>
        <v>0</v>
      </c>
      <c r="Q30" s="2903"/>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3"/>
      <c r="Y30" s="2028"/>
      <c r="Z30" s="2899">
        <f t="shared" ref="Z30" si="73">IF(E30=0,0,ROUND(AVERAGE(E30:E43)/100,4))</f>
        <v>0</v>
      </c>
      <c r="AA30" s="2899">
        <f t="shared" ref="AA30" si="74">IF(F30=0,0,ROUND(AVERAGE(F30:F43)/100,4))</f>
        <v>0</v>
      </c>
      <c r="AB30" s="2899">
        <f t="shared" ref="AB30" si="75">IF(G30=0,0,ROUND(AVERAGE(G30:G43)/100,4))</f>
        <v>0</v>
      </c>
      <c r="AC30" s="2901"/>
      <c r="AD30" s="2028">
        <f>IF(I30=0,0,ROUND(AVERAGE(I30:I43)/100,4))</f>
        <v>0</v>
      </c>
    </row>
    <row r="31" spans="1:30" s="2913" customFormat="1" ht="13.2">
      <c r="A31" s="2904" t="s">
        <v>3378</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3"/>
      <c r="K32" s="2043"/>
      <c r="L32" s="2028">
        <f t="shared" ref="L32" si="84">E32/100</f>
        <v>-6.6E-3</v>
      </c>
      <c r="M32" s="2028">
        <f t="shared" ref="M32" si="85">F32/100</f>
        <v>-5.1999999999999998E-3</v>
      </c>
      <c r="N32" s="2028">
        <f t="shared" ref="N32" si="86">G32/100</f>
        <v>-2.87E-2</v>
      </c>
      <c r="O32" s="2028"/>
      <c r="P32" s="2028">
        <f>M32</f>
        <v>-5.1999999999999998E-3</v>
      </c>
      <c r="Q32" s="2903"/>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3"/>
      <c r="Y32" s="2028"/>
      <c r="Z32" s="2899">
        <f t="shared" ref="Z32:AB33" si="87">IF(E32=0,0,ROUND(AVERAGE(E32:E45)/100,4))</f>
        <v>2.5999999999999999E-3</v>
      </c>
      <c r="AA32" s="2899">
        <f t="shared" si="87"/>
        <v>1.6999999999999999E-3</v>
      </c>
      <c r="AB32" s="2899">
        <f t="shared" si="87"/>
        <v>3.3999999999999998E-3</v>
      </c>
      <c r="AC32" s="2901"/>
      <c r="AD32" s="2028">
        <f>IF(I32=0,0,ROUND(AVERAGE(I32:I45)/100,4))</f>
        <v>1.6999999999999999E-3</v>
      </c>
    </row>
    <row r="33" spans="1:30" s="2045" customFormat="1" ht="13.2">
      <c r="A33" s="2902" t="s">
        <v>3379</v>
      </c>
      <c r="B33" s="2031">
        <v>2024</v>
      </c>
      <c r="C33" s="2042">
        <v>2</v>
      </c>
      <c r="D33" s="2007"/>
      <c r="E33" s="2007">
        <v>-0.31</v>
      </c>
      <c r="F33" s="2007">
        <v>-0.39</v>
      </c>
      <c r="G33" s="2007">
        <v>1.23</v>
      </c>
      <c r="H33" s="2914"/>
      <c r="I33" s="2008">
        <f t="shared" ref="I33:I46" si="88">F33</f>
        <v>-0.39</v>
      </c>
      <c r="J33" s="2903"/>
      <c r="K33" s="2043"/>
      <c r="L33" s="2028">
        <f t="shared" ref="L33:N46" si="89">E33/100</f>
        <v>-3.0999999999999999E-3</v>
      </c>
      <c r="M33" s="2028">
        <f t="shared" si="89"/>
        <v>-3.9000000000000003E-3</v>
      </c>
      <c r="N33" s="2028">
        <f t="shared" si="89"/>
        <v>1.23E-2</v>
      </c>
      <c r="O33" s="2028"/>
      <c r="P33" s="2028">
        <f>M33</f>
        <v>-3.9000000000000003E-3</v>
      </c>
      <c r="Q33" s="2903"/>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3"/>
      <c r="Y33" s="2028"/>
      <c r="Z33" s="2899">
        <f t="shared" si="87"/>
        <v>3.3E-3</v>
      </c>
      <c r="AA33" s="2900">
        <f t="shared" si="87"/>
        <v>2.3999999999999998E-3</v>
      </c>
      <c r="AB33" s="2028">
        <f t="shared" si="87"/>
        <v>6.1999999999999998E-3</v>
      </c>
      <c r="AC33" s="2901"/>
      <c r="AD33" s="2028">
        <f>IF(I33=0,0,ROUND(AVERAGE(I33:I46)/100,4))</f>
        <v>2.3999999999999998E-3</v>
      </c>
    </row>
    <row r="34" spans="1:30" s="2045" customFormat="1" ht="13.2">
      <c r="A34" s="2902" t="s">
        <v>3374</v>
      </c>
      <c r="B34" s="2031">
        <v>2024</v>
      </c>
      <c r="C34" s="2042">
        <v>1</v>
      </c>
      <c r="D34" s="2007"/>
      <c r="E34" s="2007">
        <v>0.25</v>
      </c>
      <c r="F34" s="2007">
        <v>0.4</v>
      </c>
      <c r="G34" s="2007">
        <v>-0.63</v>
      </c>
      <c r="H34" s="2914"/>
      <c r="I34" s="2008">
        <f t="shared" ref="I34:I35" si="90">F34</f>
        <v>0.4</v>
      </c>
      <c r="J34" s="2903"/>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3"/>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3"/>
      <c r="Y34" s="2028"/>
      <c r="Z34" s="2899"/>
      <c r="AA34" s="2900"/>
      <c r="AB34" s="2028"/>
      <c r="AC34" s="2901"/>
      <c r="AD34" s="2028"/>
    </row>
    <row r="35" spans="1:30" s="2045" customFormat="1" ht="13.2">
      <c r="A35" s="2902" t="s">
        <v>3372</v>
      </c>
      <c r="B35" s="2031">
        <v>2023</v>
      </c>
      <c r="C35" s="2042">
        <v>4</v>
      </c>
      <c r="D35" s="2007"/>
      <c r="E35" s="2007">
        <v>7.0000000000000007E-2</v>
      </c>
      <c r="F35" s="2007">
        <v>0.09</v>
      </c>
      <c r="G35" s="2007">
        <v>0.03</v>
      </c>
      <c r="H35" s="2914"/>
      <c r="I35" s="2008">
        <f t="shared" si="90"/>
        <v>0.09</v>
      </c>
      <c r="J35" s="2903"/>
      <c r="K35" s="2043"/>
      <c r="L35" s="2028">
        <f t="shared" si="89"/>
        <v>7.000000000000001E-4</v>
      </c>
      <c r="M35" s="2028">
        <f t="shared" si="89"/>
        <v>8.9999999999999998E-4</v>
      </c>
      <c r="N35" s="2028">
        <f t="shared" si="89"/>
        <v>2.9999999999999997E-4</v>
      </c>
      <c r="O35" s="2028"/>
      <c r="P35" s="2028">
        <f t="shared" ref="P35" si="96">M35</f>
        <v>8.9999999999999998E-4</v>
      </c>
      <c r="Q35" s="2903"/>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3"/>
      <c r="Y35" s="2028"/>
      <c r="Z35" s="2899"/>
      <c r="AA35" s="2900"/>
      <c r="AB35" s="2028"/>
      <c r="AC35" s="2901"/>
      <c r="AD35" s="2028"/>
    </row>
    <row r="36" spans="1:30" s="2045" customFormat="1" ht="13.2">
      <c r="A36" s="2902" t="s">
        <v>3370</v>
      </c>
      <c r="B36" s="2031">
        <v>2023</v>
      </c>
      <c r="C36" s="2042">
        <v>3</v>
      </c>
      <c r="D36" s="2007"/>
      <c r="E36" s="2007">
        <v>0.35</v>
      </c>
      <c r="F36" s="2007">
        <v>0.17</v>
      </c>
      <c r="G36" s="2007">
        <v>0.52</v>
      </c>
      <c r="H36" s="2914"/>
      <c r="I36" s="2008">
        <f t="shared" si="88"/>
        <v>0.17</v>
      </c>
      <c r="J36" s="2903"/>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3"/>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3"/>
      <c r="Y36" s="2028"/>
      <c r="Z36" s="2899"/>
      <c r="AA36" s="2900"/>
      <c r="AB36" s="2028"/>
      <c r="AC36" s="2901"/>
      <c r="AD36" s="2028"/>
    </row>
    <row r="37" spans="1:30" s="2045" customFormat="1" ht="13.2">
      <c r="A37" s="2902" t="s">
        <v>3369</v>
      </c>
      <c r="B37" s="2031">
        <v>2023</v>
      </c>
      <c r="C37" s="2042">
        <v>2</v>
      </c>
      <c r="D37" s="2007"/>
      <c r="E37" s="2007">
        <v>0.5</v>
      </c>
      <c r="F37" s="2007">
        <v>0.45</v>
      </c>
      <c r="G37" s="2007">
        <v>0.89</v>
      </c>
      <c r="H37" s="2914"/>
      <c r="I37" s="2008">
        <f t="shared" si="88"/>
        <v>0.45</v>
      </c>
      <c r="J37" s="2903"/>
      <c r="K37" s="2043"/>
      <c r="L37" s="2028">
        <f t="shared" si="98"/>
        <v>5.0000000000000001E-3</v>
      </c>
      <c r="M37" s="2028">
        <f t="shared" si="99"/>
        <v>4.5000000000000005E-3</v>
      </c>
      <c r="N37" s="2028">
        <f t="shared" si="100"/>
        <v>8.8999999999999999E-3</v>
      </c>
      <c r="O37" s="2028"/>
      <c r="P37" s="2028">
        <f t="shared" si="101"/>
        <v>4.5000000000000005E-3</v>
      </c>
      <c r="Q37" s="2903"/>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3"/>
      <c r="Y37" s="2028"/>
      <c r="Z37" s="2899"/>
      <c r="AA37" s="2900"/>
      <c r="AB37" s="2028"/>
      <c r="AC37" s="2901"/>
      <c r="AD37" s="2028"/>
    </row>
    <row r="38" spans="1:30" s="2045" customFormat="1" ht="13.2">
      <c r="A38" s="2902" t="s">
        <v>3367</v>
      </c>
      <c r="B38" s="2031">
        <v>2023</v>
      </c>
      <c r="C38" s="2042">
        <v>1</v>
      </c>
      <c r="D38" s="2007"/>
      <c r="E38" s="2007">
        <v>0.55000000000000004</v>
      </c>
      <c r="F38" s="2007">
        <v>0.59</v>
      </c>
      <c r="G38" s="2007">
        <v>0.64</v>
      </c>
      <c r="H38" s="2914"/>
      <c r="I38" s="2008">
        <f t="shared" si="88"/>
        <v>0.59</v>
      </c>
      <c r="J38" s="2903"/>
      <c r="K38" s="2043"/>
      <c r="L38" s="2028">
        <f t="shared" si="98"/>
        <v>5.5000000000000005E-3</v>
      </c>
      <c r="M38" s="2028">
        <f t="shared" si="99"/>
        <v>5.8999999999999999E-3</v>
      </c>
      <c r="N38" s="2028">
        <f t="shared" si="100"/>
        <v>6.4000000000000003E-3</v>
      </c>
      <c r="O38" s="2028"/>
      <c r="P38" s="2028">
        <f t="shared" si="101"/>
        <v>5.8999999999999999E-3</v>
      </c>
      <c r="Q38" s="2903"/>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3"/>
      <c r="Y38" s="2028"/>
      <c r="Z38" s="2899"/>
      <c r="AA38" s="2900"/>
      <c r="AB38" s="2028"/>
      <c r="AC38" s="2901"/>
      <c r="AD38" s="2028"/>
    </row>
    <row r="39" spans="1:30" s="2045" customFormat="1" ht="13.2">
      <c r="A39" s="2902" t="s">
        <v>3366</v>
      </c>
      <c r="B39" s="2031">
        <v>2022</v>
      </c>
      <c r="C39" s="2042">
        <v>4</v>
      </c>
      <c r="D39" s="2007"/>
      <c r="E39" s="2007">
        <v>0.45</v>
      </c>
      <c r="F39" s="2007">
        <v>0.2</v>
      </c>
      <c r="G39" s="2007">
        <v>0.38</v>
      </c>
      <c r="H39" s="2914"/>
      <c r="I39" s="2008">
        <f t="shared" si="88"/>
        <v>0.2</v>
      </c>
      <c r="J39" s="2903"/>
      <c r="K39" s="2043"/>
      <c r="L39" s="2028">
        <f t="shared" si="89"/>
        <v>4.5000000000000005E-3</v>
      </c>
      <c r="M39" s="2028">
        <f t="shared" si="89"/>
        <v>2E-3</v>
      </c>
      <c r="N39" s="2028">
        <f t="shared" si="89"/>
        <v>3.8E-3</v>
      </c>
      <c r="O39" s="2028"/>
      <c r="P39" s="2028">
        <f t="shared" ref="P39:P46" si="103">M39</f>
        <v>2E-3</v>
      </c>
      <c r="Q39" s="2903"/>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3"/>
      <c r="Y39" s="2028"/>
      <c r="Z39" s="2899">
        <f t="shared" ref="Z39:AD46" si="105">IF(E39=0,0,ROUND(AVERAGE(E39:E47)/100,4))</f>
        <v>4.0000000000000001E-3</v>
      </c>
      <c r="AA39" s="2900">
        <f t="shared" si="105"/>
        <v>2.5999999999999999E-3</v>
      </c>
      <c r="AB39" s="2028">
        <f t="shared" si="105"/>
        <v>7.4000000000000003E-3</v>
      </c>
      <c r="AC39" s="2901"/>
      <c r="AD39" s="2028">
        <f t="shared" si="105"/>
        <v>2.5999999999999999E-3</v>
      </c>
    </row>
    <row r="40" spans="1:30" s="2045" customFormat="1" ht="13.2">
      <c r="A40" s="2902" t="s">
        <v>3365</v>
      </c>
      <c r="B40" s="2031">
        <v>2022</v>
      </c>
      <c r="C40" s="2042">
        <v>3</v>
      </c>
      <c r="D40" s="2007"/>
      <c r="E40" s="2007">
        <v>0.3</v>
      </c>
      <c r="F40" s="2007">
        <v>0.28999999999999998</v>
      </c>
      <c r="G40" s="2007">
        <v>0.83</v>
      </c>
      <c r="H40" s="2914"/>
      <c r="I40" s="2008">
        <f t="shared" si="88"/>
        <v>0.28999999999999998</v>
      </c>
      <c r="J40" s="2903"/>
      <c r="K40" s="2043"/>
      <c r="L40" s="2028">
        <f t="shared" si="89"/>
        <v>3.0000000000000001E-3</v>
      </c>
      <c r="M40" s="2028">
        <f t="shared" si="89"/>
        <v>2.8999999999999998E-3</v>
      </c>
      <c r="N40" s="2028">
        <f t="shared" si="89"/>
        <v>8.3000000000000001E-3</v>
      </c>
      <c r="O40" s="2028"/>
      <c r="P40" s="2028">
        <f t="shared" si="103"/>
        <v>2.8999999999999998E-3</v>
      </c>
      <c r="Q40" s="2903"/>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3"/>
      <c r="Y40" s="2028"/>
      <c r="Z40" s="2899">
        <f t="shared" si="105"/>
        <v>3.8999999999999998E-3</v>
      </c>
      <c r="AA40" s="2900">
        <f t="shared" si="105"/>
        <v>2.7000000000000001E-3</v>
      </c>
      <c r="AB40" s="2028">
        <f t="shared" si="105"/>
        <v>7.9000000000000008E-3</v>
      </c>
      <c r="AC40" s="2901"/>
      <c r="AD40" s="2028">
        <f t="shared" si="105"/>
        <v>2.7000000000000001E-3</v>
      </c>
    </row>
    <row r="41" spans="1:30" s="2045" customFormat="1" ht="13.2">
      <c r="A41" s="2902" t="s">
        <v>3355</v>
      </c>
      <c r="B41" s="2031">
        <v>2022</v>
      </c>
      <c r="C41" s="2042">
        <v>2</v>
      </c>
      <c r="D41" s="2007"/>
      <c r="E41" s="2007">
        <v>-0.11</v>
      </c>
      <c r="F41" s="2007">
        <v>-0.13</v>
      </c>
      <c r="G41" s="2007">
        <v>0.53</v>
      </c>
      <c r="H41" s="2914"/>
      <c r="I41" s="2008">
        <f t="shared" si="88"/>
        <v>-0.13</v>
      </c>
      <c r="J41" s="2903"/>
      <c r="K41" s="2043"/>
      <c r="L41" s="2028">
        <f t="shared" si="89"/>
        <v>-1.1000000000000001E-3</v>
      </c>
      <c r="M41" s="2028">
        <f t="shared" si="89"/>
        <v>-1.2999999999999999E-3</v>
      </c>
      <c r="N41" s="2028">
        <f t="shared" si="89"/>
        <v>5.3E-3</v>
      </c>
      <c r="O41" s="2028"/>
      <c r="P41" s="2028">
        <f t="shared" si="103"/>
        <v>-1.2999999999999999E-3</v>
      </c>
      <c r="Q41" s="2903"/>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3"/>
      <c r="Y41" s="2028"/>
      <c r="Z41" s="2899">
        <f t="shared" si="105"/>
        <v>4.1000000000000003E-3</v>
      </c>
      <c r="AA41" s="2900">
        <f t="shared" si="105"/>
        <v>2.7000000000000001E-3</v>
      </c>
      <c r="AB41" s="2028">
        <f t="shared" si="105"/>
        <v>7.9000000000000008E-3</v>
      </c>
      <c r="AC41" s="2901"/>
      <c r="AD41" s="2028">
        <f t="shared" si="105"/>
        <v>2.7000000000000001E-3</v>
      </c>
    </row>
    <row r="42" spans="1:30" s="2045" customFormat="1" ht="13.2">
      <c r="A42" s="2902" t="s">
        <v>2835</v>
      </c>
      <c r="B42" s="2031">
        <v>2022</v>
      </c>
      <c r="C42" s="2042">
        <v>1</v>
      </c>
      <c r="D42" s="2007"/>
      <c r="E42" s="2007">
        <v>0.6</v>
      </c>
      <c r="F42" s="2007">
        <v>0.45</v>
      </c>
      <c r="G42" s="2007">
        <v>0.53</v>
      </c>
      <c r="H42" s="2914"/>
      <c r="I42" s="2008">
        <f t="shared" si="88"/>
        <v>0.45</v>
      </c>
      <c r="J42" s="2903"/>
      <c r="K42" s="2043"/>
      <c r="L42" s="2028">
        <f t="shared" si="89"/>
        <v>6.0000000000000001E-3</v>
      </c>
      <c r="M42" s="2028">
        <f t="shared" si="89"/>
        <v>4.5000000000000005E-3</v>
      </c>
      <c r="N42" s="2028">
        <f t="shared" si="89"/>
        <v>5.3E-3</v>
      </c>
      <c r="O42" s="2028"/>
      <c r="P42" s="2028">
        <f t="shared" si="103"/>
        <v>4.5000000000000005E-3</v>
      </c>
      <c r="Q42" s="2903"/>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3"/>
      <c r="Y42" s="2028"/>
      <c r="Z42" s="2899">
        <f t="shared" si="105"/>
        <v>5.1000000000000004E-3</v>
      </c>
      <c r="AA42" s="2900">
        <f t="shared" si="105"/>
        <v>3.5000000000000001E-3</v>
      </c>
      <c r="AB42" s="2028">
        <f t="shared" si="105"/>
        <v>8.3999999999999995E-3</v>
      </c>
      <c r="AC42" s="2901"/>
      <c r="AD42" s="2028">
        <f t="shared" si="105"/>
        <v>3.5000000000000001E-3</v>
      </c>
    </row>
    <row r="43" spans="1:30" s="2045" customFormat="1" ht="13.2">
      <c r="A43" s="2902" t="s">
        <v>2836</v>
      </c>
      <c r="B43" s="2031">
        <v>2021</v>
      </c>
      <c r="C43" s="2042">
        <v>4</v>
      </c>
      <c r="D43" s="2007"/>
      <c r="E43" s="2007">
        <v>0.57999999999999996</v>
      </c>
      <c r="F43" s="2007">
        <v>0.08</v>
      </c>
      <c r="G43" s="2007">
        <v>0.68</v>
      </c>
      <c r="H43" s="2914"/>
      <c r="I43" s="2008">
        <f t="shared" si="88"/>
        <v>0.08</v>
      </c>
      <c r="J43" s="2903"/>
      <c r="K43" s="2043"/>
      <c r="L43" s="2028">
        <f t="shared" si="89"/>
        <v>5.7999999999999996E-3</v>
      </c>
      <c r="M43" s="2028">
        <f t="shared" si="89"/>
        <v>8.0000000000000004E-4</v>
      </c>
      <c r="N43" s="2028">
        <f t="shared" si="89"/>
        <v>6.8000000000000005E-3</v>
      </c>
      <c r="O43" s="2028"/>
      <c r="P43" s="2028">
        <f t="shared" si="103"/>
        <v>8.0000000000000004E-4</v>
      </c>
      <c r="Q43" s="2903"/>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3"/>
      <c r="Y43" s="2028"/>
      <c r="Z43" s="2899">
        <f t="shared" si="105"/>
        <v>4.8999999999999998E-3</v>
      </c>
      <c r="AA43" s="2900">
        <f t="shared" si="105"/>
        <v>3.3E-3</v>
      </c>
      <c r="AB43" s="2028">
        <f t="shared" si="105"/>
        <v>9.1999999999999998E-3</v>
      </c>
      <c r="AC43" s="2901"/>
      <c r="AD43" s="2028">
        <f t="shared" si="105"/>
        <v>3.3E-3</v>
      </c>
    </row>
    <row r="44" spans="1:30" s="2045" customFormat="1" ht="13.2">
      <c r="A44" s="2902" t="s">
        <v>2837</v>
      </c>
      <c r="B44" s="2031">
        <v>2021</v>
      </c>
      <c r="C44" s="2042">
        <v>3</v>
      </c>
      <c r="D44" s="2007"/>
      <c r="E44" s="2007">
        <v>0.47</v>
      </c>
      <c r="F44" s="2007">
        <v>0.28000000000000003</v>
      </c>
      <c r="G44" s="2007">
        <v>0.91</v>
      </c>
      <c r="H44" s="2914"/>
      <c r="I44" s="2008">
        <f t="shared" si="88"/>
        <v>0.28000000000000003</v>
      </c>
      <c r="J44" s="2903"/>
      <c r="K44" s="2043"/>
      <c r="L44" s="2028">
        <f t="shared" si="89"/>
        <v>4.6999999999999993E-3</v>
      </c>
      <c r="M44" s="2028">
        <f t="shared" si="89"/>
        <v>2.8000000000000004E-3</v>
      </c>
      <c r="N44" s="2028">
        <f t="shared" si="89"/>
        <v>9.1000000000000004E-3</v>
      </c>
      <c r="O44" s="2028"/>
      <c r="P44" s="2028">
        <f t="shared" si="103"/>
        <v>2.8000000000000004E-3</v>
      </c>
      <c r="Q44" s="2903"/>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3"/>
      <c r="Y44" s="2028"/>
      <c r="Z44" s="2899">
        <f t="shared" si="105"/>
        <v>4.5999999999999999E-3</v>
      </c>
      <c r="AA44" s="2900">
        <f t="shared" si="105"/>
        <v>4.1000000000000003E-3</v>
      </c>
      <c r="AB44" s="2028">
        <f t="shared" si="105"/>
        <v>0.01</v>
      </c>
      <c r="AC44" s="2901"/>
      <c r="AD44" s="2028">
        <f t="shared" si="105"/>
        <v>4.1000000000000003E-3</v>
      </c>
    </row>
    <row r="45" spans="1:30" s="2045" customFormat="1" ht="13.2">
      <c r="A45" s="2902" t="s">
        <v>2838</v>
      </c>
      <c r="B45" s="2031">
        <v>2021</v>
      </c>
      <c r="C45" s="2042">
        <v>2</v>
      </c>
      <c r="D45" s="2007"/>
      <c r="E45" s="2007">
        <v>0.55000000000000004</v>
      </c>
      <c r="F45" s="2007">
        <v>0.46</v>
      </c>
      <c r="G45" s="2007">
        <v>1.1000000000000001</v>
      </c>
      <c r="H45" s="2914"/>
      <c r="I45" s="2008">
        <f t="shared" si="88"/>
        <v>0.46</v>
      </c>
      <c r="J45" s="2903"/>
      <c r="K45" s="2043"/>
      <c r="L45" s="2028">
        <f t="shared" si="89"/>
        <v>5.5000000000000005E-3</v>
      </c>
      <c r="M45" s="2028">
        <f t="shared" si="89"/>
        <v>4.5999999999999999E-3</v>
      </c>
      <c r="N45" s="2028">
        <f t="shared" si="89"/>
        <v>1.1000000000000001E-2</v>
      </c>
      <c r="O45" s="2028"/>
      <c r="P45" s="2028">
        <f t="shared" si="103"/>
        <v>4.5999999999999999E-3</v>
      </c>
      <c r="Q45" s="2903"/>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3"/>
      <c r="Y45" s="2028"/>
      <c r="Z45" s="2899">
        <f t="shared" si="105"/>
        <v>4.4999999999999997E-3</v>
      </c>
      <c r="AA45" s="2900">
        <f t="shared" si="105"/>
        <v>4.7000000000000002E-3</v>
      </c>
      <c r="AB45" s="2028">
        <f t="shared" si="105"/>
        <v>1.04E-2</v>
      </c>
      <c r="AC45" s="2901"/>
      <c r="AD45" s="2028">
        <f t="shared" si="105"/>
        <v>4.7000000000000002E-3</v>
      </c>
    </row>
    <row r="46" spans="1:30" s="2925" customFormat="1" ht="13.8" thickBot="1">
      <c r="A46" s="2915" t="s">
        <v>2824</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45747</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6">
      <c r="A3" s="3168"/>
      <c r="B3" s="3168"/>
      <c r="C3" s="3168"/>
      <c r="D3" s="801" t="s">
        <v>925</v>
      </c>
      <c r="E3" s="801" t="s">
        <v>931</v>
      </c>
      <c r="F3" s="801" t="s">
        <v>925</v>
      </c>
      <c r="G3" s="801" t="s">
        <v>926</v>
      </c>
      <c r="H3" s="801" t="s">
        <v>925</v>
      </c>
      <c r="I3" s="801" t="s">
        <v>926</v>
      </c>
    </row>
    <row r="4" spans="1:9" ht="75">
      <c r="A4" s="1403" t="str">
        <f>项目基本情况!S2</f>
        <v>武汉市湖北省武汉市江汉区新华路468号CFD时代财富中心/栋/单元19层（1）、（2）、（3）、（4）办号房地产</v>
      </c>
      <c r="B4" s="801">
        <f>项目基本情况!C17</f>
        <v>772.54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8" t="s">
        <v>927</v>
      </c>
      <c r="B5" s="3168"/>
      <c r="C5" s="3168"/>
      <c r="D5" s="3168" t="e">
        <f ca="1">结果表!D119</f>
        <v>#REF!</v>
      </c>
      <c r="E5" s="3168"/>
      <c r="F5" s="3168" t="e">
        <f ca="1">结果表!F119</f>
        <v>#REF!</v>
      </c>
      <c r="G5" s="3168"/>
      <c r="H5" s="3168" t="e">
        <f ca="1">结果表!H119</f>
        <v>#REF!</v>
      </c>
      <c r="I5" s="3168"/>
    </row>
    <row r="6" spans="1:9" ht="15.6">
      <c r="A6" s="3169" t="str">
        <f>结果表!A120</f>
        <v>估价师知悉的法定优先受偿款</v>
      </c>
      <c r="B6" s="3169"/>
      <c r="C6" s="3169"/>
      <c r="D6" s="3169">
        <f>结果表!D120</f>
        <v>0</v>
      </c>
      <c r="E6" s="3169"/>
      <c r="F6" s="3169"/>
      <c r="G6" s="3169"/>
      <c r="H6" s="3169"/>
      <c r="I6" s="3169"/>
    </row>
    <row r="7" spans="1:9" ht="15">
      <c r="A7" s="3168" t="s">
        <v>927</v>
      </c>
      <c r="B7" s="3168"/>
      <c r="C7" s="3168"/>
      <c r="D7" s="3170" t="str">
        <f>结果表!D121</f>
        <v>零元整</v>
      </c>
      <c r="E7" s="3171"/>
      <c r="F7" s="3171"/>
      <c r="G7" s="3171"/>
      <c r="H7" s="3171"/>
      <c r="I7" s="3172"/>
    </row>
    <row r="8" spans="1:9" ht="15.6">
      <c r="A8" s="3169" t="str">
        <f>结果表!A122</f>
        <v>房地产抵押价值</v>
      </c>
      <c r="B8" s="3169"/>
      <c r="C8" s="3169"/>
      <c r="D8" s="3169" t="e">
        <f ca="1">结果表!D122</f>
        <v>#REF!</v>
      </c>
      <c r="E8" s="3169"/>
      <c r="F8" s="3169"/>
      <c r="G8" s="3169"/>
      <c r="H8" s="3169"/>
      <c r="I8" s="3169"/>
    </row>
    <row r="9" spans="1:9" ht="15">
      <c r="A9" s="3168" t="s">
        <v>927</v>
      </c>
      <c r="B9" s="3168"/>
      <c r="C9" s="3168"/>
      <c r="D9" s="3168" t="e">
        <f ca="1">结果表!D123</f>
        <v>#REF!</v>
      </c>
      <c r="E9" s="3168"/>
      <c r="F9" s="3168"/>
      <c r="G9" s="3168"/>
      <c r="H9" s="3168"/>
      <c r="I9" s="3168"/>
    </row>
    <row r="10" spans="1:9" ht="15.6">
      <c r="A10" s="3169" t="str">
        <f>结果表!A124</f>
        <v/>
      </c>
      <c r="B10" s="3169"/>
      <c r="C10" s="3169"/>
      <c r="D10" s="3169" t="str">
        <f>结果表!D124</f>
        <v>——</v>
      </c>
      <c r="E10" s="3169"/>
      <c r="F10" s="3169"/>
      <c r="G10" s="3169"/>
      <c r="H10" s="3169"/>
      <c r="I10" s="3169"/>
    </row>
    <row r="11" spans="1:9" ht="15">
      <c r="A11" s="3168" t="s">
        <v>927</v>
      </c>
      <c r="B11" s="3168"/>
      <c r="C11" s="3168"/>
      <c r="D11" s="3168" t="e">
        <f>结果表!D125</f>
        <v>#VALUE!</v>
      </c>
      <c r="E11" s="3168"/>
      <c r="F11" s="3168"/>
      <c r="G11" s="3168"/>
      <c r="H11" s="3168"/>
      <c r="I11" s="3168"/>
    </row>
    <row r="12" spans="1:9" ht="15.6">
      <c r="A12" s="3169" t="str">
        <f>结果表!A126</f>
        <v/>
      </c>
      <c r="B12" s="3169"/>
      <c r="C12" s="3169"/>
      <c r="D12" s="3169" t="str">
        <f>结果表!D126</f>
        <v>——</v>
      </c>
      <c r="E12" s="3169"/>
      <c r="F12" s="3169"/>
      <c r="G12" s="3169"/>
      <c r="H12" s="3169"/>
      <c r="I12" s="3169"/>
    </row>
    <row r="13" spans="1:9" ht="15.6" thickBot="1">
      <c r="A13" s="3173" t="s">
        <v>927</v>
      </c>
      <c r="B13" s="3173"/>
      <c r="C13" s="3173"/>
      <c r="D13" s="3173" t="e">
        <f>结果表!D127</f>
        <v>#VALUE!</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5" t="s">
        <v>949</v>
      </c>
      <c r="B1" s="3175"/>
      <c r="C1" s="3175"/>
      <c r="D1" s="3175"/>
    </row>
    <row r="2" spans="1:4" ht="17.399999999999999">
      <c r="A2" s="3176" t="s">
        <v>933</v>
      </c>
      <c r="B2" s="3176"/>
      <c r="C2" s="3176"/>
      <c r="D2" s="317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6" t="s">
        <v>939</v>
      </c>
      <c r="B6" s="3176"/>
      <c r="C6" s="3176"/>
      <c r="D6" s="317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7" t="s">
        <v>942</v>
      </c>
      <c r="B11" s="3178"/>
      <c r="C11" s="3178"/>
      <c r="D11" s="3178"/>
    </row>
    <row r="12" spans="1:4" ht="15.6">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1" t="s">
        <v>943</v>
      </c>
      <c r="B16" s="3181"/>
      <c r="C16" s="3181"/>
      <c r="D16" s="3181"/>
    </row>
    <row r="17" spans="1:4" ht="144" customHeight="1">
      <c r="A17" s="3181" t="s">
        <v>944</v>
      </c>
      <c r="B17" s="3181"/>
      <c r="C17" s="3181"/>
      <c r="D17" s="3181"/>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9" t="s">
        <v>956</v>
      </c>
      <c r="B15" s="3184" t="s">
        <v>109</v>
      </c>
      <c r="C15" s="3185"/>
    </row>
    <row r="16" spans="1:7" ht="14.4">
      <c r="A16" s="3190"/>
      <c r="B16" s="3184" t="s">
        <v>42</v>
      </c>
      <c r="C16" s="3185"/>
    </row>
    <row r="17" spans="1:3" ht="14.4">
      <c r="A17" s="3190"/>
      <c r="B17" s="3187" t="s">
        <v>957</v>
      </c>
      <c r="C17" s="1429" t="s">
        <v>956</v>
      </c>
    </row>
    <row r="18" spans="1:3" ht="14.4">
      <c r="A18" s="3190"/>
      <c r="B18" s="3187"/>
      <c r="C18" s="1429" t="s">
        <v>958</v>
      </c>
    </row>
    <row r="19" spans="1:3" ht="14.4">
      <c r="A19" s="3190"/>
      <c r="B19" s="3187"/>
      <c r="C19" s="1429" t="s">
        <v>959</v>
      </c>
    </row>
    <row r="20" spans="1:3" ht="14.4">
      <c r="A20" s="3191"/>
      <c r="B20" s="3186" t="s">
        <v>960</v>
      </c>
      <c r="C20" s="3185"/>
    </row>
    <row r="21" spans="1:3" ht="14.4">
      <c r="A21" s="1430" t="s">
        <v>961</v>
      </c>
      <c r="B21" s="1431"/>
      <c r="C21" s="1432"/>
    </row>
    <row r="22" spans="1:3" ht="14.4">
      <c r="A22" s="3188" t="s">
        <v>962</v>
      </c>
      <c r="B22" s="3186" t="s">
        <v>963</v>
      </c>
      <c r="C22" s="3185"/>
    </row>
    <row r="23" spans="1:3" ht="14.4">
      <c r="A23" s="3188"/>
      <c r="B23" s="3186" t="s">
        <v>964</v>
      </c>
      <c r="C23" s="3185"/>
    </row>
    <row r="24" spans="1:3" ht="14.4">
      <c r="A24" s="3188"/>
      <c r="B24" s="3186" t="s">
        <v>965</v>
      </c>
      <c r="C24" s="3185"/>
    </row>
    <row r="25" spans="1:3" ht="14.4">
      <c r="A25" s="3188"/>
      <c r="B25" s="3187" t="s">
        <v>966</v>
      </c>
      <c r="C25" s="1429" t="s">
        <v>967</v>
      </c>
    </row>
    <row r="26" spans="1:3" ht="14.4">
      <c r="A26" s="3188"/>
      <c r="B26" s="3187"/>
      <c r="C26" s="1429" t="s">
        <v>968</v>
      </c>
    </row>
    <row r="27" spans="1:3" ht="14.4">
      <c r="A27" s="3188"/>
      <c r="B27" s="3187"/>
      <c r="C27" s="1429" t="s">
        <v>969</v>
      </c>
    </row>
    <row r="28" spans="1:3" ht="14.4">
      <c r="A28" s="3188"/>
      <c r="B28" s="3187"/>
      <c r="C28" s="1429" t="s">
        <v>970</v>
      </c>
    </row>
    <row r="29" spans="1:3" ht="14.4">
      <c r="A29" s="3188"/>
      <c r="B29" s="3187"/>
      <c r="C29" s="1429" t="s">
        <v>971</v>
      </c>
    </row>
    <row r="30" spans="1:3" ht="14.4">
      <c r="A30" s="3188"/>
      <c r="B30" s="3187"/>
      <c r="C30" s="1429" t="s">
        <v>972</v>
      </c>
    </row>
    <row r="31" spans="1:3" ht="14.4">
      <c r="A31" s="3188"/>
      <c r="B31" s="3187"/>
      <c r="C31" s="1429" t="s">
        <v>973</v>
      </c>
    </row>
    <row r="32" spans="1:3" ht="14.4">
      <c r="A32" s="3188"/>
      <c r="B32" s="3187"/>
      <c r="C32" s="1429" t="s">
        <v>974</v>
      </c>
    </row>
    <row r="33" spans="1:3" ht="14.4">
      <c r="A33" s="3188"/>
      <c r="B33" s="318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45747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60"/>
      <c r="E18" s="3194" t="s">
        <v>2162</v>
      </c>
      <c r="F18" s="3193"/>
      <c r="G18" s="319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分套价值</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2025-03-31T03:04:09Z</dcterms:modified>
</cp:coreProperties>
</file>