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询价\2018.9.8鄂州询价\"/>
    </mc:Choice>
  </mc:AlternateContent>
  <bookViews>
    <workbookView xWindow="480" yWindow="216" windowWidth="12120" windowHeight="7620"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案例" sheetId="68" r:id="rId10"/>
    <sheet name="项目基本情况" sheetId="4" r:id="rId11"/>
    <sheet name="Sheet1" sheetId="75" state="hidden" r:id="rId12"/>
    <sheet name="面积表 (2)" sheetId="72"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sheetId="74" state="hidden" r:id="rId33"/>
    <sheet name="不动产比较法平层" sheetId="21" state="hidden" r:id="rId34"/>
    <sheet name="不动产收益法底" sheetId="15" r:id="rId35"/>
    <sheet name="不动产收益法商" sheetId="69" state="hidden" r:id="rId36"/>
    <sheet name="不动产收益法" sheetId="71"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收益法车" sheetId="70"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不动产比较法平层!$A$1:$L$49</definedName>
    <definedName name="_xlnm._FilterDatabase" localSheetId="39" hidden="1">'不动产比较法-商业'!$A$1:$L$49</definedName>
    <definedName name="_xlnm._FilterDatabase" localSheetId="32" hidden="1">不动产比较法住宅!$A$1:$L$49</definedName>
    <definedName name="_xlnm._FilterDatabase" localSheetId="13"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不动产比较法住宅!$B$88:$M$88</definedName>
    <definedName name="住宅朝向">不动产比较法平层!$B$88:$M$88</definedName>
    <definedName name="住宅房型" localSheetId="32">不动产比较法住宅!$B$118:$M$118</definedName>
    <definedName name="住宅房型">不动产比较法平层!$B$118:$M$118</definedName>
    <definedName name="住宅公共部分装修" localSheetId="32">不动产比较法住宅!$B$109:$M$109</definedName>
    <definedName name="住宅公共部分装修">不动产比较法平层!$B$109:$M$109</definedName>
    <definedName name="住宅基础设施水平" localSheetId="32">不动产比较法住宅!$B$116:$M$116</definedName>
    <definedName name="住宅基础设施水平">不动产比较法平层!$B$116:$M$116</definedName>
    <definedName name="住宅建筑结构" localSheetId="32">不动产比较法住宅!$B$105:$M$105</definedName>
    <definedName name="住宅建筑结构">不动产比较法平层!$B$105:$M$105</definedName>
    <definedName name="住宅建筑类型" localSheetId="32">不动产比较法住宅!$B$100:$M$100</definedName>
    <definedName name="住宅建筑类型">不动产比较法平层!$B$100:$M$100</definedName>
    <definedName name="住宅建筑品质" localSheetId="32">不动产比较法住宅!$B$107:$M$107</definedName>
    <definedName name="住宅建筑品质">不动产比较法平层!$B$107:$M$107</definedName>
    <definedName name="住宅交易情况" localSheetId="32">不动产比较法住宅!$A$61:$M$61</definedName>
    <definedName name="住宅交易情况">不动产比较法平层!$A$61:$M$61</definedName>
    <definedName name="住宅楼层" localSheetId="32">不动产比较法住宅!$B$86:$M$86</definedName>
    <definedName name="住宅楼层">不动产比较法平层!$B$86:$M$86</definedName>
    <definedName name="住宅内部装修" localSheetId="32">不动产比较法住宅!$B$122:$M$122</definedName>
    <definedName name="住宅内部装修">不动产比较法平层!$B$122:$M$122</definedName>
    <definedName name="住宅物业管理" localSheetId="32">不动产比较法住宅!$B$114:$M$114</definedName>
    <definedName name="住宅物业管理">不动产比较法平层!$B$114:$M$114</definedName>
    <definedName name="住宅用途" localSheetId="32">不动产比较法住宅!$B$63:$M$63</definedName>
    <definedName name="住宅用途">不动产比较法平层!$B$63:$M$63</definedName>
    <definedName name="住宅主力户型面积" localSheetId="32">不动产比较法住宅!$B$120:$M$120</definedName>
    <definedName name="住宅主力户型面积">不动产比较法平层!$B$120:$M$120</definedName>
    <definedName name="注册房地产估价师">估价师及机构信息!$A$3:$A$24</definedName>
  </definedNames>
  <calcPr calcId="162913"/>
</workbook>
</file>

<file path=xl/calcChain.xml><?xml version="1.0" encoding="utf-8"?>
<calcChain xmlns="http://schemas.openxmlformats.org/spreadsheetml/2006/main">
  <c r="D10" i="12" l="1"/>
  <c r="C10" i="12"/>
  <c r="F21" i="6"/>
  <c r="F20" i="6"/>
  <c r="F19" i="6"/>
  <c r="I48" i="39"/>
  <c r="G48" i="39"/>
  <c r="E48" i="39"/>
  <c r="I40" i="39"/>
  <c r="G40" i="39"/>
  <c r="I9" i="39"/>
  <c r="G9" i="39"/>
  <c r="I8" i="39"/>
  <c r="I7" i="39"/>
  <c r="G7" i="39"/>
  <c r="E40" i="39"/>
  <c r="E9" i="39"/>
  <c r="E7" i="39"/>
  <c r="AN13" i="3"/>
  <c r="AF13" i="3"/>
  <c r="AD13" i="3"/>
  <c r="M13" i="3"/>
  <c r="K13" i="3"/>
  <c r="I13" i="3"/>
  <c r="G8" i="39" l="1"/>
  <c r="C7" i="39"/>
  <c r="AS34" i="68"/>
  <c r="AS33" i="68"/>
  <c r="AS32" i="68"/>
  <c r="AS31" i="68"/>
  <c r="AS30" i="68"/>
  <c r="AS29" i="68"/>
  <c r="AS28" i="68"/>
  <c r="AS27" i="68"/>
  <c r="AS26" i="68"/>
  <c r="AS25" i="68"/>
  <c r="AS24" i="68"/>
  <c r="AS23" i="68"/>
  <c r="AS22" i="68"/>
  <c r="AS20" i="68"/>
  <c r="AS19" i="68"/>
  <c r="AS18" i="68"/>
  <c r="AS17" i="68"/>
  <c r="AS16" i="68"/>
  <c r="AS15" i="68"/>
  <c r="AS14" i="68"/>
  <c r="AS13" i="68"/>
  <c r="AS12" i="68"/>
  <c r="AS11" i="68"/>
  <c r="AS10" i="68"/>
  <c r="AS9" i="68"/>
  <c r="AS8" i="68"/>
  <c r="AS7" i="68"/>
  <c r="AS6" i="68"/>
  <c r="AS5" i="68"/>
  <c r="AS4" i="68"/>
  <c r="AS3" i="68"/>
  <c r="AS2" i="68"/>
  <c r="B18" i="3" l="1"/>
  <c r="A3" i="3" s="1"/>
  <c r="B7" i="4" l="1"/>
  <c r="I39" i="6" l="1"/>
  <c r="C145" i="74" l="1"/>
  <c r="K139" i="74" s="1"/>
  <c r="J142" i="74"/>
  <c r="J140" i="74"/>
  <c r="B130" i="74"/>
  <c r="J46" i="74" s="1"/>
  <c r="AC46" i="74" s="1"/>
  <c r="B128" i="74"/>
  <c r="J45" i="74" s="1"/>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J9" i="74" s="1"/>
  <c r="AC9" i="74" s="1"/>
  <c r="I54" i="74"/>
  <c r="J54" i="74" s="1"/>
  <c r="G54" i="74"/>
  <c r="H54" i="74" s="1"/>
  <c r="E54" i="74"/>
  <c r="F54" i="74" s="1"/>
  <c r="P49" i="74"/>
  <c r="P48" i="74"/>
  <c r="V47" i="74"/>
  <c r="T47" i="74"/>
  <c r="R47" i="74"/>
  <c r="P47" i="74"/>
  <c r="Q46" i="74"/>
  <c r="Z46" i="74" s="1"/>
  <c r="H46" i="74"/>
  <c r="AB46" i="74" s="1"/>
  <c r="Q45" i="74"/>
  <c r="Z45" i="74" s="1"/>
  <c r="H45" i="74"/>
  <c r="AB45" i="74" s="1"/>
  <c r="Q44" i="74"/>
  <c r="Z44" i="74" s="1"/>
  <c r="H44" i="74"/>
  <c r="AB44" i="74" s="1"/>
  <c r="Q43" i="74"/>
  <c r="Z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J37" i="74"/>
  <c r="H37" i="74"/>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C19" i="74"/>
  <c r="Q17" i="74"/>
  <c r="Z17" i="74" s="1"/>
  <c r="D79" i="74"/>
  <c r="E79" i="74" s="1"/>
  <c r="F79" i="74" s="1"/>
  <c r="G79" i="74" s="1"/>
  <c r="C17" i="74"/>
  <c r="Q15" i="74"/>
  <c r="Z15" i="74" s="1"/>
  <c r="D77" i="74"/>
  <c r="E77" i="74" s="1"/>
  <c r="F77" i="74" s="1"/>
  <c r="G77"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H9" i="74"/>
  <c r="AB9" i="74" s="1"/>
  <c r="J8" i="74"/>
  <c r="W8" i="74" s="1"/>
  <c r="H8" i="74"/>
  <c r="AB8" i="74" s="1"/>
  <c r="F8" i="74"/>
  <c r="S8" i="74" s="1"/>
  <c r="I37" i="21"/>
  <c r="G37" i="21"/>
  <c r="K23" i="21"/>
  <c r="K21" i="21"/>
  <c r="K19" i="21"/>
  <c r="K17" i="21"/>
  <c r="K15" i="21"/>
  <c r="H15" i="74" l="1"/>
  <c r="AB15" i="74" s="1"/>
  <c r="F9" i="74"/>
  <c r="AA9" i="74" s="1"/>
  <c r="H19" i="74"/>
  <c r="U19" i="74" s="1"/>
  <c r="AB23" i="74"/>
  <c r="H43" i="74"/>
  <c r="AB43" i="74" s="1"/>
  <c r="F45" i="74"/>
  <c r="AA45" i="74" s="1"/>
  <c r="K143" i="74"/>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F17" i="74"/>
  <c r="J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S15" i="74" l="1"/>
  <c r="U15" i="74"/>
  <c r="W15" i="74"/>
  <c r="U17" i="74"/>
  <c r="S44" i="74"/>
  <c r="S40" i="74"/>
  <c r="S43" i="74"/>
  <c r="S28" i="74"/>
  <c r="AC21" i="74"/>
  <c r="W21" i="74"/>
  <c r="AA17" i="74"/>
  <c r="S17" i="74"/>
  <c r="AC17" i="74"/>
  <c r="W17" i="74"/>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L29" i="72"/>
  <c r="E29" i="72"/>
  <c r="L28" i="72"/>
  <c r="E28" i="72"/>
  <c r="L27" i="72"/>
  <c r="E27" i="72"/>
  <c r="L26" i="72"/>
  <c r="E26" i="72"/>
  <c r="L25" i="72"/>
  <c r="E25" i="72"/>
  <c r="L24" i="72"/>
  <c r="E24" i="72"/>
  <c r="L23" i="72"/>
  <c r="E23" i="72"/>
  <c r="L22" i="72"/>
  <c r="E22" i="72"/>
  <c r="D22" i="72" s="1"/>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s="1"/>
  <c r="O5" i="72"/>
  <c r="O33" i="72" s="1"/>
  <c r="E5" i="72"/>
  <c r="L4" i="72"/>
  <c r="E4" i="72"/>
  <c r="L3" i="72"/>
  <c r="E3" i="72"/>
  <c r="D3" i="72" s="1"/>
  <c r="L5" i="72" l="1"/>
  <c r="D30" i="72"/>
  <c r="D10" i="72"/>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53" i="72" l="1"/>
  <c r="D55" i="72" s="1"/>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C11" i="4"/>
  <c r="D3" i="4"/>
  <c r="F17" i="71" l="1"/>
  <c r="F17" i="70"/>
  <c r="F17" i="69"/>
  <c r="D7" i="59"/>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3" i="67"/>
  <c r="E9" i="67"/>
  <c r="F8" i="67"/>
  <c r="B12" i="67"/>
  <c r="F14" i="67"/>
  <c r="E14" i="67"/>
  <c r="F9" i="67"/>
  <c r="F11" i="67"/>
  <c r="B10" i="67"/>
  <c r="E10" i="67"/>
  <c r="B11" i="67"/>
  <c r="F12" i="67"/>
  <c r="E8" i="67"/>
  <c r="B13" i="67"/>
  <c r="B14" i="67"/>
  <c r="B9" i="67"/>
  <c r="E11" i="67"/>
  <c r="B8" i="67"/>
  <c r="E12" i="67"/>
  <c r="E13" i="67"/>
  <c r="F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4" i="65"/>
  <c r="N5" i="65"/>
  <c r="N3" i="65"/>
  <c r="N6" i="65"/>
  <c r="J3" i="65"/>
  <c r="J1" i="65" l="1"/>
  <c r="C4" i="65"/>
  <c r="B39" i="1" s="1"/>
  <c r="J5" i="65"/>
  <c r="J6" i="65"/>
  <c r="I5" i="65"/>
  <c r="I4" i="65"/>
  <c r="I6" i="65"/>
  <c r="I7" i="65"/>
  <c r="I3" i="65"/>
  <c r="J7" i="65"/>
  <c r="J4"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G13" i="1" s="1"/>
  <c r="D6" i="1"/>
  <c r="D7" i="1"/>
  <c r="D8" i="1"/>
  <c r="D9" i="1"/>
  <c r="D10" i="1"/>
  <c r="B2" i="1"/>
  <c r="A12" i="1"/>
  <c r="R12" i="1" s="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L17" i="3" s="1"/>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L19" i="3" s="1"/>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F23" i="36" s="1"/>
  <c r="AA23" i="36" s="1"/>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BL563" i="3"/>
  <c r="BL551" i="3"/>
  <c r="BL533" i="3"/>
  <c r="G518" i="3"/>
  <c r="G510" i="3"/>
  <c r="BL503" i="3"/>
  <c r="BL495" i="3"/>
  <c r="BL485" i="3"/>
  <c r="G18" i="3"/>
  <c r="BA565" i="3"/>
  <c r="BA557" i="3"/>
  <c r="BA555" i="3"/>
  <c r="BA551" i="3"/>
  <c r="BA545" i="3"/>
  <c r="BA541" i="3"/>
  <c r="BA531" i="3"/>
  <c r="BA509" i="3"/>
  <c r="BA505" i="3"/>
  <c r="BA501" i="3"/>
  <c r="AZ501" i="3" s="1"/>
  <c r="BA493" i="3"/>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s="1"/>
  <c r="BQ550" i="3"/>
  <c r="BL550" i="3" s="1"/>
  <c r="BQ548" i="3"/>
  <c r="BQ546" i="3"/>
  <c r="BQ544" i="3"/>
  <c r="G538" i="3"/>
  <c r="G530" i="3"/>
  <c r="G522" i="3"/>
  <c r="BQ540" i="3"/>
  <c r="BL540" i="3" s="1"/>
  <c r="BQ538" i="3"/>
  <c r="BL538" i="3" s="1"/>
  <c r="BQ536" i="3"/>
  <c r="BQ534" i="3"/>
  <c r="BQ532" i="3"/>
  <c r="BQ530" i="3"/>
  <c r="BL530" i="3" s="1"/>
  <c r="BQ528" i="3"/>
  <c r="BQ526" i="3"/>
  <c r="BQ524" i="3"/>
  <c r="BQ522" i="3"/>
  <c r="BQ520" i="3"/>
  <c r="BL520" i="3" s="1"/>
  <c r="BQ518" i="3"/>
  <c r="BQ516" i="3"/>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G483" i="3"/>
  <c r="G515" i="3"/>
  <c r="G507" i="3"/>
  <c r="G501" i="3"/>
  <c r="BA15" i="3"/>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G132" i="3"/>
  <c r="BA134" i="3"/>
  <c r="AZ134" i="3" s="1"/>
  <c r="BL135" i="3"/>
  <c r="G136" i="3"/>
  <c r="BA138" i="3"/>
  <c r="AZ138" i="3" s="1"/>
  <c r="BL139" i="3"/>
  <c r="G140" i="3"/>
  <c r="BA142" i="3"/>
  <c r="AZ142" i="3" s="1"/>
  <c r="BL143" i="3"/>
  <c r="G144" i="3"/>
  <c r="BA146" i="3"/>
  <c r="AZ146" i="3" s="1"/>
  <c r="BL147" i="3"/>
  <c r="AZ147" i="3" s="1"/>
  <c r="G148" i="3"/>
  <c r="BA150" i="3"/>
  <c r="AZ150" i="3" s="1"/>
  <c r="BL151" i="3"/>
  <c r="BA153" i="3"/>
  <c r="AZ153" i="3" s="1"/>
  <c r="BL154" i="3"/>
  <c r="AZ154" i="3" s="1"/>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AZ179" i="3" s="1"/>
  <c r="G180"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AZ78" i="3"/>
  <c r="AZ86" i="3"/>
  <c r="AZ90" i="3"/>
  <c r="AZ94" i="3"/>
  <c r="AZ110" i="3"/>
  <c r="G491" i="3"/>
  <c r="BA298" i="3"/>
  <c r="BA299" i="3"/>
  <c r="BL299" i="3"/>
  <c r="G300" i="3"/>
  <c r="G303" i="3"/>
  <c r="BL304" i="3"/>
  <c r="BA306" i="3"/>
  <c r="BA307" i="3"/>
  <c r="BL307" i="3"/>
  <c r="G308" i="3"/>
  <c r="G319" i="3"/>
  <c r="BL320" i="3"/>
  <c r="BA322" i="3"/>
  <c r="AZ322" i="3" s="1"/>
  <c r="BA323" i="3"/>
  <c r="AZ323" i="3" s="1"/>
  <c r="BL323" i="3"/>
  <c r="G324" i="3"/>
  <c r="G327" i="3"/>
  <c r="BL328" i="3"/>
  <c r="BA330" i="3"/>
  <c r="BA331" i="3"/>
  <c r="AZ331" i="3" s="1"/>
  <c r="BL331" i="3"/>
  <c r="G332" i="3"/>
  <c r="G335" i="3"/>
  <c r="BL336" i="3"/>
  <c r="BA338" i="3"/>
  <c r="BA339" i="3"/>
  <c r="AZ339" i="3" s="1"/>
  <c r="BL339" i="3"/>
  <c r="G340" i="3"/>
  <c r="G343" i="3"/>
  <c r="BL344" i="3"/>
  <c r="AZ344" i="3" s="1"/>
  <c r="BA346" i="3"/>
  <c r="BA347" i="3"/>
  <c r="BL347" i="3"/>
  <c r="AZ347" i="3" s="1"/>
  <c r="G348" i="3"/>
  <c r="G351" i="3"/>
  <c r="BL352" i="3"/>
  <c r="BA354" i="3"/>
  <c r="AZ354" i="3" s="1"/>
  <c r="BA355" i="3"/>
  <c r="AZ355" i="3"/>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BA381" i="3"/>
  <c r="BL381" i="3"/>
  <c r="G382" i="3"/>
  <c r="G385" i="3"/>
  <c r="AZ191" i="3"/>
  <c r="G523" i="3"/>
  <c r="BL297" i="3"/>
  <c r="AZ297" i="3" s="1"/>
  <c r="G298" i="3"/>
  <c r="BA300" i="3"/>
  <c r="BL301" i="3"/>
  <c r="AZ301" i="3" s="1"/>
  <c r="G302" i="3"/>
  <c r="BA304" i="3"/>
  <c r="AZ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BL349" i="3"/>
  <c r="G350" i="3"/>
  <c r="BA352" i="3"/>
  <c r="AZ352" i="3" s="1"/>
  <c r="BL353" i="3"/>
  <c r="G354" i="3"/>
  <c r="BA356" i="3"/>
  <c r="AZ356" i="3" s="1"/>
  <c r="BL357" i="3"/>
  <c r="AZ357" i="3" s="1"/>
  <c r="G358" i="3"/>
  <c r="BA362" i="3"/>
  <c r="BL363" i="3"/>
  <c r="G364" i="3"/>
  <c r="BA366" i="3"/>
  <c r="AZ366" i="3" s="1"/>
  <c r="BL367" i="3"/>
  <c r="AZ229" i="3"/>
  <c r="AZ233" i="3"/>
  <c r="AZ317" i="3"/>
  <c r="AZ337" i="3"/>
  <c r="AZ341" i="3"/>
  <c r="AZ363" i="3"/>
  <c r="G368" i="3"/>
  <c r="BA370" i="3"/>
  <c r="BL371" i="3"/>
  <c r="G372" i="3"/>
  <c r="BA374" i="3"/>
  <c r="BL375" i="3"/>
  <c r="G376" i="3"/>
  <c r="BA378" i="3"/>
  <c r="AZ378" i="3" s="1"/>
  <c r="BL379" i="3"/>
  <c r="G380" i="3"/>
  <c r="BA382" i="3"/>
  <c r="AZ382" i="3"/>
  <c r="BL383" i="3"/>
  <c r="G384" i="3"/>
  <c r="AZ261" i="3"/>
  <c r="AZ265" i="3"/>
  <c r="AZ375" i="3"/>
  <c r="AZ290" i="3"/>
  <c r="AZ313" i="3"/>
  <c r="AZ319" i="3"/>
  <c r="AZ369" i="3"/>
  <c r="AZ385" i="3"/>
  <c r="AZ414" i="3"/>
  <c r="AZ422" i="3"/>
  <c r="AZ434" i="3"/>
  <c r="AZ438"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BL549" i="3"/>
  <c r="AZ549" i="3" s="1"/>
  <c r="BA549" i="3"/>
  <c r="BL548" i="3"/>
  <c r="AZ548" i="3" s="1"/>
  <c r="BA548" i="3"/>
  <c r="BL547" i="3"/>
  <c r="BA547" i="3"/>
  <c r="BL539" i="3"/>
  <c r="AZ539" i="3" s="1"/>
  <c r="BA539" i="3"/>
  <c r="BA538" i="3"/>
  <c r="AZ538" i="3" s="1"/>
  <c r="BL537" i="3"/>
  <c r="BA537" i="3"/>
  <c r="BL536" i="3"/>
  <c r="BA535" i="3"/>
  <c r="AZ535" i="3"/>
  <c r="BA534" i="3"/>
  <c r="BA533" i="3"/>
  <c r="AZ533" i="3" s="1"/>
  <c r="BL531" i="3"/>
  <c r="AZ531" i="3" s="1"/>
  <c r="BA530" i="3"/>
  <c r="AZ530" i="3" s="1"/>
  <c r="BL529" i="3"/>
  <c r="BA529" i="3"/>
  <c r="AZ529" i="3" s="1"/>
  <c r="BL528" i="3"/>
  <c r="BA527" i="3"/>
  <c r="BA526" i="3"/>
  <c r="BA525" i="3"/>
  <c r="BL523" i="3"/>
  <c r="BA523" i="3"/>
  <c r="BL522" i="3"/>
  <c r="BA522" i="3"/>
  <c r="BL521" i="3"/>
  <c r="BA519" i="3"/>
  <c r="AZ519" i="3" s="1"/>
  <c r="BL518" i="3"/>
  <c r="BA518" i="3"/>
  <c r="BL517" i="3"/>
  <c r="BA517" i="3"/>
  <c r="BL515" i="3"/>
  <c r="BA515" i="3"/>
  <c r="BA514" i="3"/>
  <c r="AZ514" i="3" s="1"/>
  <c r="BL513" i="3"/>
  <c r="BA513" i="3"/>
  <c r="BL512" i="3"/>
  <c r="BA511" i="3"/>
  <c r="AZ511" i="3" s="1"/>
  <c r="BA510" i="3"/>
  <c r="BL509" i="3"/>
  <c r="BL507" i="3"/>
  <c r="BA507" i="3"/>
  <c r="AZ507" i="3" s="1"/>
  <c r="BL506" i="3"/>
  <c r="BA506" i="3"/>
  <c r="BL505" i="3"/>
  <c r="AZ505" i="3" s="1"/>
  <c r="BL504" i="3"/>
  <c r="BA504" i="3"/>
  <c r="BA503" i="3"/>
  <c r="AZ503" i="3" s="1"/>
  <c r="BA500" i="3"/>
  <c r="BL499" i="3"/>
  <c r="BA499" i="3"/>
  <c r="AZ499" i="3" s="1"/>
  <c r="BL498" i="3"/>
  <c r="AZ498" i="3" s="1"/>
  <c r="BL497" i="3"/>
  <c r="BA497" i="3"/>
  <c r="BA496" i="3"/>
  <c r="AZ496" i="3" s="1"/>
  <c r="BA495" i="3"/>
  <c r="AZ495" i="3" s="1"/>
  <c r="BL494" i="3"/>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B41" i="1"/>
  <c r="F71" i="9" s="1"/>
  <c r="J42" i="40"/>
  <c r="AC42" i="40" s="1"/>
  <c r="J40" i="40"/>
  <c r="AC40" i="40" s="1"/>
  <c r="J34" i="40"/>
  <c r="AC34" i="40" s="1"/>
  <c r="H16" i="40"/>
  <c r="AB16" i="40" s="1"/>
  <c r="H14" i="40"/>
  <c r="F32" i="40"/>
  <c r="AA32" i="40" s="1"/>
  <c r="AZ401" i="3"/>
  <c r="AZ436" i="3"/>
  <c r="AZ441" i="3"/>
  <c r="M1" i="46"/>
  <c r="M6" i="46"/>
  <c r="M10" i="46"/>
  <c r="N2" i="46"/>
  <c r="N5" i="46"/>
  <c r="F58" i="46" s="1"/>
  <c r="F47" i="46"/>
  <c r="H49" i="46" s="1"/>
  <c r="N7" i="46"/>
  <c r="AZ474" i="3"/>
  <c r="AZ477" i="3"/>
  <c r="AZ228" i="3"/>
  <c r="AZ231" i="3"/>
  <c r="AZ260" i="3"/>
  <c r="AZ263" i="3"/>
  <c r="AZ292" i="3"/>
  <c r="AZ121" i="3"/>
  <c r="AZ140" i="3"/>
  <c r="AZ152" i="3"/>
  <c r="M7" i="46"/>
  <c r="M11" i="46"/>
  <c r="N3" i="46"/>
  <c r="N6" i="46"/>
  <c r="N10" i="46"/>
  <c r="AZ167" i="3"/>
  <c r="AZ177" i="3"/>
  <c r="AZ71" i="3"/>
  <c r="AZ79" i="3"/>
  <c r="AZ107" i="3"/>
  <c r="J13" i="40"/>
  <c r="F27" i="43"/>
  <c r="AC47" i="39"/>
  <c r="S47" i="39"/>
  <c r="U37" i="34"/>
  <c r="AB37" i="34"/>
  <c r="AC41" i="40"/>
  <c r="W41" i="40"/>
  <c r="U41" i="40"/>
  <c r="J23" i="40"/>
  <c r="AC23" i="40" s="1"/>
  <c r="F23" i="40"/>
  <c r="S23" i="40" s="1"/>
  <c r="W15" i="40"/>
  <c r="U23" i="35"/>
  <c r="AB23" i="35"/>
  <c r="H20" i="35"/>
  <c r="AB20" i="35" s="1"/>
  <c r="F20" i="35"/>
  <c r="S20" i="35" s="1"/>
  <c r="H15" i="34"/>
  <c r="AB15" i="34" s="1"/>
  <c r="G78" i="34"/>
  <c r="J15" i="34"/>
  <c r="W15" i="34" s="1"/>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AC15" i="34"/>
  <c r="J51" i="15"/>
  <c r="B11" i="1"/>
  <c r="E11" i="1" s="1"/>
  <c r="K11" i="1"/>
  <c r="M11" i="1" s="1"/>
  <c r="B9" i="1"/>
  <c r="E9" i="1" s="1"/>
  <c r="C20" i="43"/>
  <c r="E2" i="65"/>
  <c r="G12" i="1" l="1"/>
  <c r="S40" i="39"/>
  <c r="U40" i="39"/>
  <c r="G16" i="3"/>
  <c r="AZ500" i="3"/>
  <c r="AZ380" i="3"/>
  <c r="BL572" i="3"/>
  <c r="AA31" i="35"/>
  <c r="F9" i="36"/>
  <c r="AA9" i="36" s="1"/>
  <c r="G559" i="3"/>
  <c r="G555" i="3"/>
  <c r="G554" i="3"/>
  <c r="G535" i="3"/>
  <c r="G534" i="3"/>
  <c r="G528" i="3"/>
  <c r="G526" i="3"/>
  <c r="G511" i="3"/>
  <c r="G490" i="3"/>
  <c r="G389" i="3"/>
  <c r="BL390" i="3"/>
  <c r="G391" i="3"/>
  <c r="BA392" i="3"/>
  <c r="BL392" i="3"/>
  <c r="BA393" i="3"/>
  <c r="AZ393" i="3" s="1"/>
  <c r="BA394" i="3"/>
  <c r="AZ394" i="3" s="1"/>
  <c r="BL396" i="3"/>
  <c r="G397" i="3"/>
  <c r="G399" i="3"/>
  <c r="G403" i="3"/>
  <c r="G406" i="3"/>
  <c r="BL407" i="3"/>
  <c r="G408" i="3"/>
  <c r="G416" i="3"/>
  <c r="BA417" i="3"/>
  <c r="BL417" i="3"/>
  <c r="BL419" i="3"/>
  <c r="G420" i="3"/>
  <c r="G424" i="3"/>
  <c r="BA425" i="3"/>
  <c r="AZ425" i="3" s="1"/>
  <c r="BL425" i="3"/>
  <c r="BA427" i="3"/>
  <c r="AZ427" i="3" s="1"/>
  <c r="BL427" i="3"/>
  <c r="BL429" i="3"/>
  <c r="G430" i="3"/>
  <c r="BL431" i="3"/>
  <c r="G432" i="3"/>
  <c r="G436"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BA309" i="3"/>
  <c r="AZ309" i="3" s="1"/>
  <c r="G317" i="3"/>
  <c r="BL318" i="3"/>
  <c r="G331" i="3"/>
  <c r="BL332" i="3"/>
  <c r="AZ332" i="3" s="1"/>
  <c r="BA334" i="3"/>
  <c r="AZ334" i="3" s="1"/>
  <c r="G345" i="3"/>
  <c r="BL346" i="3"/>
  <c r="AZ346" i="3" s="1"/>
  <c r="BA349" i="3"/>
  <c r="BA351" i="3"/>
  <c r="AZ351" i="3" s="1"/>
  <c r="BL351" i="3"/>
  <c r="BL360" i="3"/>
  <c r="AZ360" i="3" s="1"/>
  <c r="G363" i="3"/>
  <c r="BA371" i="3"/>
  <c r="AB32" i="40"/>
  <c r="AZ494" i="3"/>
  <c r="AZ497" i="3"/>
  <c r="AZ504" i="3"/>
  <c r="AZ506" i="3"/>
  <c r="AZ510" i="3"/>
  <c r="AZ517" i="3"/>
  <c r="AZ518" i="3"/>
  <c r="AZ522" i="3"/>
  <c r="AZ537" i="3"/>
  <c r="AZ552" i="3"/>
  <c r="AZ371" i="3"/>
  <c r="AZ362" i="3"/>
  <c r="AZ349" i="3"/>
  <c r="AZ381" i="3"/>
  <c r="AZ364" i="3"/>
  <c r="AZ359" i="3"/>
  <c r="AZ338" i="3"/>
  <c r="AZ307" i="3"/>
  <c r="AZ306" i="3"/>
  <c r="AZ298" i="3"/>
  <c r="AZ158" i="3"/>
  <c r="AZ343" i="3"/>
  <c r="AZ492" i="3"/>
  <c r="AZ493" i="3"/>
  <c r="BB5" i="3"/>
  <c r="G375" i="3"/>
  <c r="BL376" i="3"/>
  <c r="AZ376" i="3" s="1"/>
  <c r="G379" i="3"/>
  <c r="G387" i="3"/>
  <c r="BL388" i="3"/>
  <c r="G205" i="3"/>
  <c r="BA206" i="3"/>
  <c r="BL206" i="3"/>
  <c r="BL208" i="3"/>
  <c r="G209" i="3"/>
  <c r="BA210" i="3"/>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BL238" i="3"/>
  <c r="BL240" i="3"/>
  <c r="G241" i="3"/>
  <c r="BA242" i="3"/>
  <c r="BL242" i="3"/>
  <c r="BA243" i="3"/>
  <c r="AZ243" i="3" s="1"/>
  <c r="BA244" i="3"/>
  <c r="AZ244" i="3" s="1"/>
  <c r="BA245" i="3"/>
  <c r="AZ245" i="3" s="1"/>
  <c r="BA247" i="3"/>
  <c r="BL247" i="3"/>
  <c r="BA248" i="3"/>
  <c r="AZ248" i="3" s="1"/>
  <c r="BA249" i="3"/>
  <c r="AZ249" i="3" s="1"/>
  <c r="BL251" i="3"/>
  <c r="G252" i="3"/>
  <c r="BL253" i="3"/>
  <c r="G254" i="3"/>
  <c r="G256" i="3"/>
  <c r="BL257" i="3"/>
  <c r="G258" i="3"/>
  <c r="G263" i="3"/>
  <c r="G267" i="3"/>
  <c r="BL268" i="3"/>
  <c r="G269" i="3"/>
  <c r="G271" i="3"/>
  <c r="BA272" i="3"/>
  <c r="BL272" i="3"/>
  <c r="BA274" i="3"/>
  <c r="BL274" i="3"/>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L129" i="3"/>
  <c r="G130" i="3"/>
  <c r="BA131" i="3"/>
  <c r="AZ131" i="3" s="1"/>
  <c r="BA133" i="3"/>
  <c r="BL133" i="3"/>
  <c r="BA135" i="3"/>
  <c r="AZ135" i="3" s="1"/>
  <c r="G138" i="3"/>
  <c r="G142" i="3"/>
  <c r="G145" i="3"/>
  <c r="G150" i="3"/>
  <c r="G152" i="3"/>
  <c r="BA155" i="3"/>
  <c r="BL155" i="3"/>
  <c r="BL156" i="3"/>
  <c r="G157" i="3"/>
  <c r="BA158" i="3"/>
  <c r="BA160" i="3"/>
  <c r="AZ160" i="3" s="1"/>
  <c r="BL160" i="3"/>
  <c r="BA162" i="3"/>
  <c r="AZ162" i="3" s="1"/>
  <c r="G165" i="3"/>
  <c r="G169" i="3"/>
  <c r="G172" i="3"/>
  <c r="G177" i="3"/>
  <c r="BL180" i="3"/>
  <c r="G181" i="3"/>
  <c r="BA183" i="3"/>
  <c r="BL183" i="3"/>
  <c r="BA185" i="3"/>
  <c r="AZ185" i="3" s="1"/>
  <c r="G188" i="3"/>
  <c r="G191" i="3"/>
  <c r="BA194" i="3"/>
  <c r="BL194" i="3"/>
  <c r="BL196" i="3"/>
  <c r="AZ196" i="3" s="1"/>
  <c r="G197" i="3"/>
  <c r="BA199" i="3"/>
  <c r="AZ199" i="3" s="1"/>
  <c r="BL199" i="3"/>
  <c r="BA201" i="3"/>
  <c r="AZ201" i="3" s="1"/>
  <c r="BL202" i="3"/>
  <c r="G203" i="3"/>
  <c r="BA204" i="3"/>
  <c r="BL204" i="3"/>
  <c r="BL22" i="3"/>
  <c r="BA49" i="3"/>
  <c r="AZ49" i="3" s="1"/>
  <c r="BA51" i="3"/>
  <c r="BL51" i="3"/>
  <c r="BA52" i="3"/>
  <c r="AZ52" i="3" s="1"/>
  <c r="BA55" i="3"/>
  <c r="AZ55" i="3" s="1"/>
  <c r="BA56" i="3"/>
  <c r="AZ56" i="3" s="1"/>
  <c r="BA57" i="3"/>
  <c r="AZ57" i="3" s="1"/>
  <c r="BL57" i="3"/>
  <c r="BA58" i="3"/>
  <c r="AZ58" i="3" s="1"/>
  <c r="BA59" i="3"/>
  <c r="AZ59" i="3" s="1"/>
  <c r="BL61" i="3"/>
  <c r="G62" i="3"/>
  <c r="G64" i="3"/>
  <c r="BA65" i="3"/>
  <c r="BL65" i="3"/>
  <c r="BL67" i="3"/>
  <c r="G68" i="3"/>
  <c r="G71" i="3"/>
  <c r="BA73" i="3"/>
  <c r="BL73" i="3"/>
  <c r="BL75" i="3"/>
  <c r="G76" i="3"/>
  <c r="G81" i="3"/>
  <c r="BL82" i="3"/>
  <c r="G83" i="3"/>
  <c r="G85" i="3"/>
  <c r="G88" i="3"/>
  <c r="G90" i="3"/>
  <c r="G92" i="3"/>
  <c r="G94" i="3"/>
  <c r="G97" i="3"/>
  <c r="BL98" i="3"/>
  <c r="G99" i="3"/>
  <c r="BA100" i="3"/>
  <c r="BL100" i="3"/>
  <c r="BA101" i="3"/>
  <c r="AZ101" i="3" s="1"/>
  <c r="BA102" i="3"/>
  <c r="AZ102" i="3" s="1"/>
  <c r="BL104" i="3"/>
  <c r="G105" i="3"/>
  <c r="G107" i="3"/>
  <c r="G110" i="3"/>
  <c r="BL112" i="3"/>
  <c r="AC5" i="3"/>
  <c r="BL15" i="3"/>
  <c r="AC9" i="33"/>
  <c r="W9" i="33"/>
  <c r="AZ502" i="3"/>
  <c r="BJ5" i="3"/>
  <c r="BH5" i="3"/>
  <c r="BF5" i="3"/>
  <c r="H36" i="35"/>
  <c r="J36" i="35"/>
  <c r="AC36" i="35" s="1"/>
  <c r="BL541" i="3"/>
  <c r="AZ541" i="3" s="1"/>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E19" i="6"/>
  <c r="BA572" i="3"/>
  <c r="AZ572" i="3" s="1"/>
  <c r="BA571" i="3"/>
  <c r="AZ571" i="3" s="1"/>
  <c r="BL570" i="3"/>
  <c r="BE5" i="3"/>
  <c r="BG5" i="3"/>
  <c r="E23" i="6"/>
  <c r="D3" i="21" s="1"/>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176"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O12" i="1" s="1"/>
  <c r="P12" i="1" s="1"/>
  <c r="C42" i="1"/>
  <c r="C7" i="74"/>
  <c r="C58" i="74"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AZ44" i="3" s="1"/>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50" i="3"/>
  <c r="AZ53" i="3"/>
  <c r="AZ60" i="3"/>
  <c r="BA43" i="3"/>
  <c r="AZ43" i="3" s="1"/>
  <c r="BL21" i="3"/>
  <c r="BL23" i="3"/>
  <c r="BA35" i="3"/>
  <c r="AZ35" i="3" s="1"/>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BL36" i="3"/>
  <c r="BA38" i="3"/>
  <c r="BL38" i="3"/>
  <c r="BA40" i="3"/>
  <c r="BL40" i="3"/>
  <c r="BA42" i="3"/>
  <c r="AZ42" i="3" s="1"/>
  <c r="BA25" i="3"/>
  <c r="BA27" i="3"/>
  <c r="BA29" i="3"/>
  <c r="BA31" i="3"/>
  <c r="BA33" i="3"/>
  <c r="BA39" i="3"/>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8" i="44"/>
  <c r="M29" i="44"/>
  <c r="L49" i="44"/>
  <c r="M10" i="44"/>
  <c r="M26" i="44"/>
  <c r="F40" i="44"/>
  <c r="M25" i="44"/>
  <c r="M11" i="44"/>
  <c r="F39" i="44"/>
  <c r="F26" i="15"/>
  <c r="M30" i="44"/>
  <c r="F38" i="44"/>
  <c r="F6" i="15"/>
  <c r="F10" i="44"/>
  <c r="F40" i="15"/>
  <c r="F28" i="44"/>
  <c r="F18" i="44"/>
  <c r="M24" i="44"/>
  <c r="L48" i="44"/>
  <c r="M8" i="44"/>
  <c r="F11" i="44"/>
  <c r="J15" i="15"/>
  <c r="J17" i="44"/>
  <c r="F42" i="15"/>
  <c r="F43" i="44"/>
  <c r="F45" i="44"/>
  <c r="M28" i="44"/>
  <c r="F15" i="44"/>
  <c r="L47" i="15"/>
  <c r="AP7" i="1" l="1"/>
  <c r="AP9" i="1"/>
  <c r="W42" i="39"/>
  <c r="AP8" i="1"/>
  <c r="BL5" i="3"/>
  <c r="U27" i="39"/>
  <c r="AZ39" i="3"/>
  <c r="D1" i="57"/>
  <c r="E10" i="57" s="1"/>
  <c r="AZ100" i="3"/>
  <c r="AZ65" i="3"/>
  <c r="AZ51" i="3"/>
  <c r="AZ183" i="3"/>
  <c r="AZ133" i="3"/>
  <c r="AZ278" i="3"/>
  <c r="AZ274" i="3"/>
  <c r="AZ247" i="3"/>
  <c r="AZ215" i="3"/>
  <c r="AZ461" i="3"/>
  <c r="AZ417" i="3"/>
  <c r="U23" i="39"/>
  <c r="K9" i="1"/>
  <c r="D3" i="74"/>
  <c r="K6" i="1"/>
  <c r="M6" i="1"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AA25" i="37"/>
  <c r="S25" i="37"/>
  <c r="W12" i="36"/>
  <c r="AC12" i="36"/>
  <c r="AC12" i="21"/>
  <c r="W12" i="21"/>
  <c r="AC23" i="21"/>
  <c r="G5" i="3"/>
  <c r="B3" i="3" s="1"/>
  <c r="E193" i="3" s="1"/>
  <c r="D9" i="12"/>
  <c r="K7" i="1"/>
  <c r="E8" i="6"/>
  <c r="E53" i="40" s="1"/>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 i="6"/>
  <c r="C29" i="44"/>
  <c r="E12" i="6"/>
  <c r="E64" i="39" s="1"/>
  <c r="BA5" i="3"/>
  <c r="AZ13" i="3"/>
  <c r="G29" i="6"/>
  <c r="G30" i="6" s="1"/>
  <c r="G31" i="6" s="1"/>
  <c r="AZ16" i="3"/>
  <c r="E14" i="6"/>
  <c r="E10" i="6"/>
  <c r="E15"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F13" i="15"/>
  <c r="J15" i="70"/>
  <c r="L48" i="15"/>
  <c r="F13" i="70"/>
  <c r="F40" i="69"/>
  <c r="F38" i="15"/>
  <c r="F16" i="69"/>
  <c r="F42" i="71"/>
  <c r="F37" i="71"/>
  <c r="M31" i="44"/>
  <c r="J36" i="70"/>
  <c r="F6" i="70"/>
  <c r="F8" i="69"/>
  <c r="F38" i="69"/>
  <c r="M22" i="71"/>
  <c r="F9" i="15"/>
  <c r="F6" i="71"/>
  <c r="L47" i="71"/>
  <c r="M23" i="69"/>
  <c r="F38" i="71"/>
  <c r="F9" i="69"/>
  <c r="L48" i="69"/>
  <c r="M28" i="71"/>
  <c r="F42" i="70"/>
  <c r="F26" i="69"/>
  <c r="F8" i="70"/>
  <c r="J36" i="71"/>
  <c r="F43" i="71"/>
  <c r="L48" i="70"/>
  <c r="M29" i="70"/>
  <c r="M24" i="71"/>
  <c r="M29" i="71"/>
  <c r="M24" i="69"/>
  <c r="F36" i="69"/>
  <c r="L47" i="69"/>
  <c r="F36" i="70"/>
  <c r="F8" i="15"/>
  <c r="F42" i="69"/>
  <c r="M8" i="71"/>
  <c r="F7" i="71"/>
  <c r="M26" i="69"/>
  <c r="M23" i="71"/>
  <c r="F8" i="71"/>
  <c r="F43" i="69"/>
  <c r="M6" i="71"/>
  <c r="F9" i="70"/>
  <c r="L47" i="70"/>
  <c r="M27" i="70"/>
  <c r="F7" i="15"/>
  <c r="F40" i="71"/>
  <c r="M6" i="69"/>
  <c r="M26" i="15"/>
  <c r="F26" i="70"/>
  <c r="F7" i="70"/>
  <c r="F43" i="70"/>
  <c r="F40" i="70"/>
  <c r="F7" i="69"/>
  <c r="F16" i="70"/>
  <c r="M22" i="69"/>
  <c r="M26" i="71"/>
  <c r="F43" i="15"/>
  <c r="L48" i="71"/>
  <c r="M8" i="70"/>
  <c r="M9" i="15"/>
  <c r="F38" i="70"/>
  <c r="M6" i="70"/>
  <c r="F37" i="69"/>
  <c r="M29" i="69"/>
  <c r="F6" i="69"/>
  <c r="F36" i="71"/>
  <c r="M24" i="15"/>
  <c r="F9" i="44"/>
  <c r="F16" i="15"/>
  <c r="M28" i="70"/>
  <c r="F9" i="71"/>
  <c r="M26" i="70"/>
  <c r="M8" i="15"/>
  <c r="F13" i="69"/>
  <c r="M27" i="71"/>
  <c r="F13" i="71"/>
  <c r="M29" i="15"/>
  <c r="M23" i="15"/>
  <c r="M9" i="71"/>
  <c r="F37" i="15"/>
  <c r="M27" i="15"/>
  <c r="M27" i="69"/>
  <c r="F37" i="70"/>
  <c r="M23" i="70"/>
  <c r="F26" i="71"/>
  <c r="J36" i="15"/>
  <c r="J15" i="71"/>
  <c r="M9" i="69"/>
  <c r="M22" i="15"/>
  <c r="M28" i="15"/>
  <c r="F16" i="71"/>
  <c r="M22" i="70"/>
  <c r="M24" i="70"/>
  <c r="J36" i="69"/>
  <c r="M28" i="69"/>
  <c r="M9" i="70"/>
  <c r="M8" i="69"/>
  <c r="F36" i="15"/>
  <c r="J15" i="69"/>
  <c r="M6" i="15"/>
  <c r="O6" i="1" l="1"/>
  <c r="P6" i="1" s="1"/>
  <c r="E40" i="3"/>
  <c r="F27" i="6"/>
  <c r="H7" i="36"/>
  <c r="AB7" i="36" s="1"/>
  <c r="T36" i="36" s="1"/>
  <c r="G36" i="36" s="1"/>
  <c r="G40" i="36" s="1"/>
  <c r="H40" i="36" s="1"/>
  <c r="J7" i="35"/>
  <c r="AC7" i="35" s="1"/>
  <c r="V38" i="35" s="1"/>
  <c r="I38" i="35" s="1"/>
  <c r="G43" i="35" s="1"/>
  <c r="H43" i="35" s="1"/>
  <c r="F7" i="34"/>
  <c r="F30" i="6"/>
  <c r="F31" i="6" s="1"/>
  <c r="E515" i="3"/>
  <c r="E284" i="3"/>
  <c r="E539" i="3"/>
  <c r="E27" i="3"/>
  <c r="E341" i="3"/>
  <c r="E338" i="3"/>
  <c r="E286" i="3"/>
  <c r="E211" i="3"/>
  <c r="E101" i="3"/>
  <c r="E27" i="6"/>
  <c r="K19" i="6" s="1"/>
  <c r="J7" i="36"/>
  <c r="W7" i="36" s="1"/>
  <c r="F7" i="36"/>
  <c r="S7" i="36" s="1"/>
  <c r="H7" i="35"/>
  <c r="AB7" i="35" s="1"/>
  <c r="T38" i="35" s="1"/>
  <c r="G38" i="35" s="1"/>
  <c r="G42" i="35" s="1"/>
  <c r="H42" i="35" s="1"/>
  <c r="F7" i="35"/>
  <c r="S7" i="35" s="1"/>
  <c r="H7" i="34"/>
  <c r="AB7" i="34" s="1"/>
  <c r="T49" i="34" s="1"/>
  <c r="G49" i="34" s="1"/>
  <c r="G53" i="34" s="1"/>
  <c r="H53" i="34" s="1"/>
  <c r="J7" i="34"/>
  <c r="W7" i="34" s="1"/>
  <c r="J7" i="74"/>
  <c r="W7" i="74" s="1"/>
  <c r="E318" i="3"/>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S7" i="74" s="1"/>
  <c r="H7" i="74"/>
  <c r="U7" i="74" s="1"/>
  <c r="F50" i="15"/>
  <c r="F65" i="15"/>
  <c r="F64" i="15"/>
  <c r="G16" i="1"/>
  <c r="J12" i="40" s="1"/>
  <c r="AC12" i="40" s="1"/>
  <c r="C11" i="21"/>
  <c r="C11" i="74"/>
  <c r="AC7" i="74"/>
  <c r="Q16" i="1"/>
  <c r="F18"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G101" i="46"/>
  <c r="G104" i="46" s="1"/>
  <c r="B113" i="46"/>
  <c r="D118" i="46" s="1"/>
  <c r="E118" i="46" s="1"/>
  <c r="F118" i="46" s="1"/>
  <c r="N104" i="45"/>
  <c r="L101" i="46"/>
  <c r="L102" i="46" s="1"/>
  <c r="F22" i="46"/>
  <c r="E101" i="46"/>
  <c r="E104" i="46" s="1"/>
  <c r="Z7" i="46"/>
  <c r="N101" i="46"/>
  <c r="N109" i="46" s="1"/>
  <c r="E22" i="46"/>
  <c r="AG11" i="46"/>
  <c r="AG13" i="46" s="1"/>
  <c r="Z11" i="46"/>
  <c r="Z13" i="46" s="1"/>
  <c r="AH11" i="46"/>
  <c r="AH13" i="46" s="1"/>
  <c r="AA11" i="46"/>
  <c r="AA13" i="46" s="1"/>
  <c r="AF11" i="46"/>
  <c r="AF13" i="46" s="1"/>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H7" i="37"/>
  <c r="Q62" i="44"/>
  <c r="Q76" i="44"/>
  <c r="J7" i="37"/>
  <c r="AC7" i="37" s="1"/>
  <c r="V42" i="37" s="1"/>
  <c r="I42" i="37" s="1"/>
  <c r="I46" i="37" s="1"/>
  <c r="J46" i="37" s="1"/>
  <c r="F1" i="44"/>
  <c r="Q54" i="44"/>
  <c r="F7" i="37"/>
  <c r="AA7" i="37" s="1"/>
  <c r="R42" i="37" s="1"/>
  <c r="E42" i="37" s="1"/>
  <c r="E46" i="37" s="1"/>
  <c r="F46" i="37" s="1"/>
  <c r="M103" i="46"/>
  <c r="U7" i="35"/>
  <c r="AC7" i="36"/>
  <c r="V36" i="36" s="1"/>
  <c r="I36" i="36" s="1"/>
  <c r="I40" i="36" s="1"/>
  <c r="J40" i="36" s="1"/>
  <c r="W18" i="36"/>
  <c r="AC18" i="36"/>
  <c r="U7" i="36"/>
  <c r="G41" i="36"/>
  <c r="H41" i="36" s="1"/>
  <c r="W7" i="35"/>
  <c r="U7" i="34"/>
  <c r="E48" i="33"/>
  <c r="E52" i="33" s="1"/>
  <c r="F52" i="33" s="1"/>
  <c r="AG6" i="1"/>
  <c r="D21" i="12"/>
  <c r="C21" i="12" s="1"/>
  <c r="D12" i="11"/>
  <c r="C12" i="11" s="1"/>
  <c r="C27" i="12"/>
  <c r="D26" i="12" s="1"/>
  <c r="E59" i="40"/>
  <c r="E29" i="6"/>
  <c r="L20" i="6" s="1"/>
  <c r="E58" i="40"/>
  <c r="E63" i="39"/>
  <c r="E16" i="6"/>
  <c r="AZ5" i="3"/>
  <c r="E60" i="40"/>
  <c r="E65" i="39"/>
  <c r="K22" i="6"/>
  <c r="K21" i="6"/>
  <c r="K14" i="1"/>
  <c r="E30" i="6"/>
  <c r="E31" i="6" s="1"/>
  <c r="K15" i="1"/>
  <c r="E62" i="40"/>
  <c r="E67" i="39"/>
  <c r="E66" i="39"/>
  <c r="E61" i="40"/>
  <c r="E37" i="46"/>
  <c r="G35" i="46"/>
  <c r="I35" i="46" s="1"/>
  <c r="E38" i="46"/>
  <c r="G36" i="46"/>
  <c r="I36" i="46" s="1"/>
  <c r="E33" i="46"/>
  <c r="G34" i="46"/>
  <c r="I34" i="46" s="1"/>
  <c r="B21" i="55"/>
  <c r="B72" i="63" s="1"/>
  <c r="B20" i="55"/>
  <c r="B70" i="63" s="1"/>
  <c r="AA7" i="36"/>
  <c r="R36" i="36" s="1"/>
  <c r="E36" i="36" s="1"/>
  <c r="E40" i="36" s="1"/>
  <c r="F40" i="36" s="1"/>
  <c r="AC7" i="34"/>
  <c r="V49" i="34" s="1"/>
  <c r="I49" i="34" s="1"/>
  <c r="G54" i="34" s="1"/>
  <c r="H54" i="34" s="1"/>
  <c r="S7" i="34"/>
  <c r="AA7" i="34"/>
  <c r="R49" i="34" s="1"/>
  <c r="W7" i="37"/>
  <c r="F7" i="21"/>
  <c r="J7" i="21"/>
  <c r="H7" i="21"/>
  <c r="I42" i="35"/>
  <c r="J42" i="35" s="1"/>
  <c r="G52" i="33"/>
  <c r="H52" i="33" s="1"/>
  <c r="G53" i="33"/>
  <c r="H53" i="33" s="1"/>
  <c r="E67" i="40"/>
  <c r="F65" i="40"/>
  <c r="E72" i="39"/>
  <c r="F70" i="39"/>
  <c r="E39" i="46"/>
  <c r="Q62" i="15"/>
  <c r="C48" i="33"/>
  <c r="C49" i="33"/>
  <c r="B3" i="33" s="1"/>
  <c r="B2" i="33" s="1"/>
  <c r="AE6" i="1"/>
  <c r="L52" i="44"/>
  <c r="C16" i="15"/>
  <c r="C16" i="69"/>
  <c r="C16" i="70"/>
  <c r="C16" i="71"/>
  <c r="C18" i="44"/>
  <c r="C15" i="12" l="1"/>
  <c r="C15" i="43"/>
  <c r="L19" i="6"/>
  <c r="L27" i="6" s="1"/>
  <c r="K105" i="46"/>
  <c r="AA7" i="35"/>
  <c r="R38" i="35" s="1"/>
  <c r="R39" i="35" s="1"/>
  <c r="C38" i="35" s="1"/>
  <c r="AB7" i="74"/>
  <c r="K23" i="6"/>
  <c r="M23" i="6" s="1"/>
  <c r="I23" i="6" s="1"/>
  <c r="S23" i="6" s="1"/>
  <c r="K26" i="6"/>
  <c r="M26" i="6" s="1"/>
  <c r="I26" i="6" s="1"/>
  <c r="S26" i="6" s="1"/>
  <c r="AA7" i="74"/>
  <c r="K25" i="6"/>
  <c r="M25" i="6" s="1"/>
  <c r="I25" i="6" s="1"/>
  <c r="S25" i="6" s="1"/>
  <c r="K20" i="6"/>
  <c r="M20" i="6" s="1"/>
  <c r="I20" i="6" s="1"/>
  <c r="S20" i="6" s="1"/>
  <c r="K24" i="6"/>
  <c r="M24" i="6" s="1"/>
  <c r="I24" i="6" s="1"/>
  <c r="S24" i="6" s="1"/>
  <c r="H107" i="46"/>
  <c r="B116" i="46"/>
  <c r="C116" i="46" s="1"/>
  <c r="H6" i="3"/>
  <c r="AC6" i="3"/>
  <c r="C109" i="46"/>
  <c r="H103" i="46"/>
  <c r="H102" i="46"/>
  <c r="I102" i="46"/>
  <c r="L109" i="46"/>
  <c r="K104" i="46"/>
  <c r="E102" i="46"/>
  <c r="D115" i="46"/>
  <c r="E115" i="46" s="1"/>
  <c r="F115" i="46" s="1"/>
  <c r="G115" i="46" s="1"/>
  <c r="H115" i="46" s="1"/>
  <c r="G106" i="46"/>
  <c r="J106" i="46"/>
  <c r="I53" i="34"/>
  <c r="J53" i="34" s="1"/>
  <c r="S7" i="37"/>
  <c r="D22" i="46"/>
  <c r="M105" i="46"/>
  <c r="M104" i="46"/>
  <c r="C103" i="46"/>
  <c r="F104" i="46"/>
  <c r="F106" i="46"/>
  <c r="M106" i="46"/>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C27"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S10" i="1"/>
  <c r="S6" i="46"/>
  <c r="T6" i="46" s="1"/>
  <c r="V6" i="46" s="1"/>
  <c r="S2" i="46"/>
  <c r="T2" i="46" s="1"/>
  <c r="V2" i="46" s="1"/>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26" i="46"/>
  <c r="C32" i="12"/>
  <c r="D30" i="12" s="1"/>
  <c r="M14" i="1"/>
  <c r="K16" i="1"/>
  <c r="B29" i="1" s="1"/>
  <c r="C11" i="11" s="1"/>
  <c r="C10" i="11" s="1"/>
  <c r="C17" i="11" s="1"/>
  <c r="S6" i="1"/>
  <c r="M21" i="6"/>
  <c r="I21" i="6" s="1"/>
  <c r="S21" i="6" s="1"/>
  <c r="S8" i="1"/>
  <c r="M22" i="6"/>
  <c r="I22" i="6" s="1"/>
  <c r="S22" i="6" s="1"/>
  <c r="S9" i="1"/>
  <c r="E3" i="6"/>
  <c r="AY6" i="3"/>
  <c r="R43" i="37"/>
  <c r="R50" i="34"/>
  <c r="C50" i="34" s="1"/>
  <c r="B3" i="34" s="1"/>
  <c r="B2" i="34" s="1"/>
  <c r="E49" i="34"/>
  <c r="C39" i="35"/>
  <c r="AC7" i="21"/>
  <c r="W7" i="21"/>
  <c r="U7" i="21"/>
  <c r="AB7" i="21"/>
  <c r="S7" i="21"/>
  <c r="AA7" i="21"/>
  <c r="F72" i="39"/>
  <c r="G70" i="39"/>
  <c r="F67" i="40"/>
  <c r="G65" i="40"/>
  <c r="J24" i="15"/>
  <c r="J20" i="44"/>
  <c r="J26" i="44"/>
  <c r="AE10" i="1"/>
  <c r="AE7" i="1"/>
  <c r="F7" i="67"/>
  <c r="C19" i="44"/>
  <c r="C17" i="70"/>
  <c r="E7" i="67"/>
  <c r="C17" i="15"/>
  <c r="AE8" i="1"/>
  <c r="C17" i="71"/>
  <c r="M19" i="6" l="1"/>
  <c r="M27" i="6" s="1"/>
  <c r="S7" i="1"/>
  <c r="E6" i="3"/>
  <c r="K27" i="6"/>
  <c r="C18" i="11"/>
  <c r="C19" i="11" s="1"/>
  <c r="C20" i="11" s="1"/>
  <c r="C21" i="11" s="1"/>
  <c r="C22" i="11" s="1"/>
  <c r="C23" i="11" s="1"/>
  <c r="B2" i="11" s="1"/>
  <c r="B3" i="11" s="1"/>
  <c r="S7" i="46"/>
  <c r="T7" i="46" s="1"/>
  <c r="V7" i="46" s="1"/>
  <c r="S4" i="46"/>
  <c r="T4" i="46" s="1"/>
  <c r="V4" i="46" s="1"/>
  <c r="S3" i="46"/>
  <c r="T3" i="46" s="1"/>
  <c r="V3" i="46" s="1"/>
  <c r="S5" i="46"/>
  <c r="T5" i="46" s="1"/>
  <c r="V5" i="46" s="1"/>
  <c r="U12" i="40"/>
  <c r="C32" i="15"/>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C17" i="69"/>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71"/>
  <c r="C14" i="69"/>
  <c r="C14" i="15"/>
  <c r="C14" i="70"/>
  <c r="C14" i="66" l="1"/>
  <c r="B2" i="66" s="1"/>
  <c r="H20" i="12"/>
  <c r="AA33" i="74"/>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D30" i="9" l="1"/>
  <c r="B30" i="9"/>
  <c r="E48" i="2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M23" i="44"/>
  <c r="F35" i="69"/>
  <c r="M21" i="15"/>
  <c r="F35" i="71"/>
  <c r="F35" i="15"/>
  <c r="F35" i="70"/>
  <c r="M21" i="70"/>
  <c r="M21" i="71"/>
  <c r="M21" i="69"/>
  <c r="F37" i="44"/>
  <c r="C25" i="9" l="1"/>
  <c r="C24" i="9"/>
  <c r="E53" i="74"/>
  <c r="F53" i="74" s="1"/>
  <c r="E52" i="74"/>
  <c r="F52" i="74" s="1"/>
  <c r="C48" i="21"/>
  <c r="C49" i="21"/>
  <c r="B3" i="21" s="1"/>
  <c r="B2" i="21"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0"/>
  <c r="L51" i="71"/>
  <c r="L51" i="69"/>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AE9" i="1"/>
  <c r="F41" i="69"/>
  <c r="F41" i="15"/>
  <c r="F46" i="44"/>
  <c r="F41" i="71"/>
  <c r="J31" i="44" l="1"/>
  <c r="C45" i="44"/>
  <c r="F68" i="15"/>
  <c r="C67" i="15" s="1"/>
  <c r="J29" i="15"/>
  <c r="C40" i="15"/>
  <c r="J29" i="69"/>
  <c r="F68" i="69"/>
  <c r="C67" i="69" s="1"/>
  <c r="C40" i="6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E10" i="12" s="1"/>
  <c r="C70" i="15"/>
  <c r="C46" i="15"/>
  <c r="Q67" i="44"/>
  <c r="Q77" i="44" s="1"/>
  <c r="Q49" i="44"/>
  <c r="Q55" i="44" s="1"/>
  <c r="Q58" i="44"/>
  <c r="Q64" i="44" s="1"/>
  <c r="J29" i="70"/>
  <c r="F68" i="70"/>
  <c r="C67" i="70" s="1"/>
  <c r="C70" i="70" s="1"/>
  <c r="C40" i="70"/>
  <c r="C43" i="70" s="1"/>
  <c r="B2" i="71"/>
  <c r="B3" i="71" s="1"/>
  <c r="C43" i="71"/>
  <c r="Q48" i="71"/>
  <c r="Q54" i="71" s="1"/>
  <c r="Q57" i="71"/>
  <c r="Q63" i="71" s="1"/>
  <c r="J42" i="71"/>
  <c r="J43" i="71" s="1"/>
  <c r="Q66" i="71"/>
  <c r="Q76" i="71" s="1"/>
  <c r="C70" i="71"/>
  <c r="C46" i="71"/>
  <c r="B3" i="15" l="1"/>
  <c r="E8" i="12" s="1"/>
  <c r="B3" i="69"/>
  <c r="B3" i="44"/>
  <c r="B5" i="44"/>
  <c r="C46" i="70"/>
  <c r="B2" i="70"/>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20" i="9"/>
  <c r="D19" i="9"/>
  <c r="G19" i="9" l="1"/>
  <c r="L44" i="9"/>
  <c r="D22" i="9"/>
  <c r="B5" i="12"/>
  <c r="B4" i="12"/>
  <c r="G20" i="9"/>
  <c r="D21" i="9"/>
  <c r="G21" i="9" l="1"/>
  <c r="C32" i="9"/>
  <c r="G22" i="9"/>
  <c r="G48" i="9"/>
  <c r="N43" i="9"/>
  <c r="O38" i="9" l="1"/>
  <c r="C34" i="9"/>
  <c r="C42" i="9"/>
  <c r="C33" i="9"/>
  <c r="C35" i="9"/>
  <c r="F42" i="9" s="1"/>
  <c r="O43" i="9"/>
  <c r="D14" i="66" l="1"/>
  <c r="D63" i="9"/>
  <c r="D73" i="9" s="1"/>
  <c r="N73" i="9" s="1"/>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l="1"/>
  <c r="C46" i="9"/>
  <c r="O81" i="9"/>
  <c r="K33" i="9" l="1"/>
  <c r="F46" i="9"/>
  <c r="D46" i="9"/>
  <c r="E46" i="9"/>
  <c r="I14" i="66"/>
  <c r="B8" i="66" s="1"/>
  <c r="O41" i="9"/>
  <c r="R8" i="54" s="1"/>
  <c r="B54" i="63" s="1"/>
  <c r="K34" i="9" l="1"/>
  <c r="D8" i="66"/>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<sst xmlns="http://schemas.openxmlformats.org/spreadsheetml/2006/main" count="10507" uniqueCount="3598">
  <si>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</si>
  <si>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</si>
  <si>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</si>
  <si>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</si>
  <si>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</si>
  <si>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</si>
  <si>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</si>
  <si>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</si>
  <si>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</si>
  <si>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</si>
  <si>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</si>
  <si>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</si>
  <si>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</si>
  <si>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</si>
  <si>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</si>
  <si>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</si>
  <si>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</si>
  <si>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</si>
  <si>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</si>
  <si>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</si>
  <si>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</si>
  <si>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</si>
  <si>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</si>
  <si>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</si>
  <si>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</si>
  <si>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</si>
  <si>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</si>
  <si>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</si>
  <si>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</si>
  <si>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</si>
  <si>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</si>
  <si>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</si>
  <si>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</si>
  <si>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</si>
  <si>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</si>
  <si>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</si>
  <si>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</si>
  <si>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</si>
  <si>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</si>
  <si>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</si>
  <si>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</si>
  <si>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</si>
  <si>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</si>
  <si>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</si>
  <si>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</si>
  <si>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</si>
  <si>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</si>
  <si>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</si>
  <si>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</si>
  <si>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</si>
  <si>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</si>
  <si>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</si>
  <si>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</si>
  <si>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</si>
  <si>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</si>
  <si>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</si>
  <si>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</si>
  <si>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</si>
  <si>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</si>
  <si>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</si>
  <si>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</si>
  <si>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</si>
  <si>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</si>
  <si>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</si>
  <si>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</si>
  <si>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</si>
  <si>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</si>
  <si>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</si>
  <si>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</si>
  <si>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</si>
  <si>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</si>
  <si>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</si>
  <si>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</si>
  <si>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</si>
  <si>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</si>
  <si>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</si>
  <si>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</si>
  <si>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</si>
  <si>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</si>
  <si>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</si>
  <si>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</si>
  <si>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</si>
  <si>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</si>
  <si>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</si>
  <si>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</si>
  <si>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</si>
  <si>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</si>
  <si>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</si>
  <si>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</si>
  <si>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</si>
  <si>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</si>
  <si>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</si>
  <si>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</si>
  <si>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</si>
  <si>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</si>
  <si>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</si>
  <si>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</si>
  <si>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</si>
  <si>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</si>
  <si>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</si>
  <si>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</si>
  <si>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</si>
  <si>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</si>
  <si>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</si>
  <si>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</si>
  <si>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</si>
  <si>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</si>
  <si>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</si>
  <si>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</si>
  <si>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</si>
  <si>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</si>
  <si>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</si>
  <si>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</si>
  <si>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</si>
  <si>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</si>
  <si>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</si>
  <si>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</si>
  <si>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</si>
  <si>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</si>
  <si>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</si>
  <si>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</si>
  <si>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</si>
  <si>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</si>
  <si>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</si>
  <si>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</si>
  <si>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</si>
  <si>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</si>
  <si>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</si>
  <si>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</si>
  <si>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</si>
  <si>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</si>
  <si>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</si>
  <si>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</si>
  <si>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</si>
  <si>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</si>
  <si>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</si>
  <si>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</si>
  <si>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</si>
  <si>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</si>
  <si>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</si>
  <si>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</si>
  <si>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</si>
  <si>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</si>
  <si>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</si>
  <si>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</si>
  <si>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</si>
  <si>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</si>
  <si>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</si>
  <si>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</si>
  <si>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</si>
  <si>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</si>
  <si>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</si>
  <si>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</si>
  <si>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</si>
  <si>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</si>
  <si>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</si>
  <si>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</si>
  <si>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</si>
  <si>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</si>
  <si>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</si>
  <si>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</si>
  <si>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</si>
  <si>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</si>
  <si>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</si>
  <si>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</si>
  <si>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</si>
  <si>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</si>
  <si>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</si>
  <si>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</si>
  <si>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</si>
  <si>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</si>
  <si>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</si>
  <si>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</si>
  <si>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</si>
  <si>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</si>
  <si>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</si>
  <si>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</si>
  <si>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</si>
  <si>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</si>
  <si>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</si>
  <si>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</si>
  <si>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</si>
  <si>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</si>
  <si>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</si>
  <si>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</si>
  <si>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</si>
  <si>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</si>
  <si>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</si>
  <si>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</si>
  <si>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</si>
  <si>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</si>
  <si>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</si>
  <si>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</si>
  <si>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</si>
  <si>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</si>
  <si>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</si>
  <si>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</si>
  <si>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</si>
  <si>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</si>
  <si>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</si>
  <si>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</si>
  <si>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</si>
  <si>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</si>
  <si>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</si>
  <si>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</si>
  <si>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</si>
  <si>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</si>
  <si>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</si>
  <si>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</si>
  <si>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</si>
  <si>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</si>
  <si>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</si>
  <si>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</si>
  <si>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</si>
  <si>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</si>
  <si>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</si>
  <si>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</si>
  <si>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</si>
  <si>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</si>
  <si>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</si>
  <si>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</si>
  <si>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</si>
  <si>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</si>
  <si>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</si>
  <si>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</si>
  <si>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</si>
  <si>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</si>
  <si>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</si>
  <si>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</si>
  <si>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</si>
  <si>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</si>
  <si>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</si>
  <si>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</si>
  <si>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</si>
  <si>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</si>
  <si>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</si>
  <si>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</si>
  <si>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</si>
  <si>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</si>
  <si>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</si>
  <si>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</si>
  <si>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</si>
  <si>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</si>
  <si>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</si>
  <si>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</si>
  <si>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</si>
  <si>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</si>
  <si>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</si>
  <si>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</si>
  <si>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</si>
  <si>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</si>
  <si>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</si>
  <si>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</si>
  <si>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</si>
  <si>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</si>
  <si>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</si>
  <si>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</si>
  <si>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</si>
  <si>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</si>
  <si>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</si>
  <si>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</si>
  <si>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</si>
  <si>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</si>
  <si>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</si>
  <si>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</si>
  <si>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</si>
  <si>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</si>
  <si>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</si>
  <si>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</si>
  <si>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</si>
  <si>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</si>
  <si>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</si>
  <si>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</si>
  <si>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</si>
  <si>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</si>
  <si>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</si>
  <si>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</si>
  <si>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</si>
  <si>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</si>
  <si>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</si>
  <si>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</si>
  <si>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</si>
  <si>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</si>
  <si>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</si>
  <si>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</si>
  <si>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</si>
  <si>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</si>
  <si>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</si>
  <si>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</si>
  <si>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</si>
  <si>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</si>
  <si>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</si>
  <si>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</si>
  <si>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</si>
  <si>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</si>
  <si>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</si>
  <si>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</si>
  <si>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</si>
  <si>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</si>
  <si>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</si>
  <si>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</si>
  <si>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</si>
  <si>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</si>
  <si>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</si>
  <si>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</si>
  <si>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</si>
  <si>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</si>
  <si>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</si>
  <si>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</si>
  <si>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</si>
  <si>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</si>
  <si>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</si>
  <si>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</si>
  <si>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</si>
  <si>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</si>
  <si>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</si>
  <si>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</si>
  <si>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</si>
  <si>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</si>
  <si>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</si>
  <si>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</si>
  <si>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</si>
  <si>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</si>
  <si>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</si>
  <si>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</si>
  <si>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</si>
  <si>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</si>
  <si>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</si>
  <si>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</si>
  <si>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</si>
  <si>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</si>
  <si>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</si>
  <si>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</si>
  <si>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</si>
  <si>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</si>
  <si>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</si>
  <si>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</si>
  <si>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</si>
  <si>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</si>
  <si>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</si>
  <si>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</si>
  <si>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</si>
  <si>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</si>
  <si>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</si>
  <si>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</si>
  <si>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</si>
  <si>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</si>
  <si>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</si>
  <si>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</si>
  <si>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</si>
  <si>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</si>
  <si>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</si>
  <si>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</si>
  <si>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</si>
  <si>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</si>
  <si>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</si>
  <si>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</si>
  <si>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</si>
  <si>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</si>
  <si>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</si>
  <si>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</si>
  <si>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</si>
  <si>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</si>
  <si>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</si>
  <si>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</si>
  <si>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</si>
  <si>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</si>
  <si>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</si>
  <si>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</si>
  <si>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</si>
  <si>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</si>
  <si>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</si>
  <si>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</si>
  <si>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</si>
  <si>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</si>
  <si>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</si>
  <si>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</si>
  <si>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</si>
  <si>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</si>
  <si>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</si>
  <si>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</si>
  <si>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</si>
  <si>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</si>
  <si>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</si>
  <si>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</si>
  <si>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</si>
  <si>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</si>
  <si>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</si>
  <si>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</si>
  <si>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</si>
  <si>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</si>
  <si>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</si>
  <si>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</si>
  <si>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</si>
  <si>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</si>
  <si>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</si>
  <si>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</si>
  <si>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</si>
  <si>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</si>
  <si>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</si>
  <si>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</si>
  <si>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</si>
  <si>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</si>
  <si>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</si>
  <si>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</si>
  <si>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</si>
  <si>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</si>
  <si>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</si>
  <si>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</si>
  <si>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</si>
  <si>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</si>
  <si>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</si>
  <si>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</si>
  <si>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</si>
  <si>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</si>
  <si>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</si>
  <si>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</si>
  <si>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</si>
  <si>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</si>
  <si>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</si>
  <si>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</si>
  <si>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</si>
  <si>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</si>
  <si>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</si>
  <si>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</si>
  <si>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</si>
  <si>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</si>
  <si>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</si>
  <si>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</si>
  <si>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</si>
  <si>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</si>
  <si>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</si>
  <si>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</si>
  <si>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</si>
  <si>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</si>
  <si>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</si>
  <si>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</si>
  <si>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</si>
  <si>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</si>
  <si>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</si>
  <si>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</si>
  <si>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</si>
  <si>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</si>
  <si>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</si>
  <si>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</si>
  <si>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</si>
  <si>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</si>
  <si>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</si>
  <si>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</si>
  <si>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</si>
  <si>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</si>
  <si>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</si>
  <si>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</si>
  <si>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</si>
  <si>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</si>
  <si>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</si>
  <si>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</si>
  <si>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</si>
  <si>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</si>
  <si>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</si>
  <si>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</si>
  <si>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</si>
  <si>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</si>
  <si>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</si>
  <si>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</si>
  <si>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</si>
  <si>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</si>
  <si>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</si>
  <si>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</si>
  <si>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</si>
  <si>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</si>
  <si>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</si>
  <si>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</si>
  <si>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</si>
  <si>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</si>
  <si>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</si>
  <si>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</si>
  <si>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</si>
  <si>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</si>
  <si>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</si>
  <si>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</si>
  <si>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</si>
  <si>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</si>
  <si>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</si>
  <si>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</si>
  <si>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</si>
  <si>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</si>
  <si>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</si>
  <si>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</si>
  <si>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</si>
  <si>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</si>
  <si>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</si>
  <si>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</si>
  <si>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</si>
  <si>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</si>
  <si>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</si>
  <si>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</si>
  <si>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</si>
  <si>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</si>
  <si>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</si>
  <si>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</si>
  <si>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</si>
  <si>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</si>
  <si>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</si>
  <si>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</si>
  <si>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</si>
  <si>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</si>
  <si>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</si>
  <si>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</si>
  <si>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</si>
  <si>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</si>
  <si>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</si>
  <si>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</si>
  <si>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</si>
  <si>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</si>
  <si>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</si>
  <si>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</si>
  <si>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</si>
  <si>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</si>
  <si>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</si>
  <si>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</si>
  <si>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</si>
  <si>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</si>
  <si>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</si>
  <si>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</si>
  <si>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</si>
  <si>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</si>
  <si>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</si>
  <si>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</si>
  <si>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</si>
  <si>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</si>
  <si>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</si>
  <si>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</si>
  <si>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</si>
  <si>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</si>
  <si>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</si>
  <si>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</si>
  <si>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</si>
  <si>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</si>
  <si>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</si>
  <si>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</si>
  <si>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</si>
  <si>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</si>
  <si>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</si>
  <si>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</si>
  <si>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</si>
  <si>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</si>
  <si>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</si>
  <si>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</si>
  <si>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</si>
  <si>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</si>
  <si>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</si>
  <si>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</si>
  <si>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</si>
  <si>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</si>
  <si>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</si>
  <si>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</si>
  <si>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</si>
  <si>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</si>
  <si>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</si>
  <si>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</si>
  <si>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</si>
  <si>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</si>
  <si>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</si>
  <si>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</si>
  <si>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</si>
  <si>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</si>
  <si>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</si>
  <si>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</si>
  <si>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</si>
  <si>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</si>
  <si>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</si>
  <si>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</si>
  <si>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</si>
  <si>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</si>
  <si>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</si>
  <si>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</si>
  <si>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</si>
  <si>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</si>
  <si>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</si>
  <si>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</si>
  <si>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</si>
  <si>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</si>
  <si>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</si>
  <si>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</si>
  <si>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</si>
  <si>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</si>
  <si>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</si>
  <si>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</si>
  <si>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</si>
  <si>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</si>
  <si>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</si>
  <si>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</si>
  <si>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</si>
  <si>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</si>
  <si>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</si>
  <si>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</si>
  <si>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</si>
  <si>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</si>
  <si>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</si>
  <si>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</si>
  <si>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</si>
  <si>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</si>
  <si>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</si>
  <si>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</si>
  <si>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</si>
  <si>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</si>
  <si>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</si>
  <si>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</si>
  <si>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</si>
  <si>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</si>
  <si>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</si>
  <si>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</si>
  <si>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</si>
  <si>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</si>
  <si>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</si>
  <si>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</si>
  <si>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</si>
  <si>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</si>
  <si>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</si>
  <si>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</si>
  <si>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</si>
  <si>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</si>
  <si>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</si>
  <si>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</si>
  <si>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</si>
  <si>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</si>
  <si>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</si>
  <si>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</si>
  <si>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</si>
  <si>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</si>
  <si>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</si>
  <si>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</si>
  <si>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</si>
  <si>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</si>
  <si>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</si>
  <si>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</si>
  <si>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</si>
  <si>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</si>
  <si>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</si>
  <si>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</si>
  <si>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</si>
  <si>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</si>
  <si>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</si>
  <si>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</si>
  <si>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</si>
  <si>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</si>
  <si>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</si>
  <si>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</si>
  <si>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</si>
  <si>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</si>
  <si>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</si>
  <si>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</si>
  <si>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</si>
  <si>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</si>
  <si>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</si>
  <si>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</si>
  <si>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</si>
  <si>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</si>
  <si>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</si>
  <si>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</si>
  <si>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</si>
  <si>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</si>
  <si>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</si>
  <si>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</si>
  <si>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</si>
  <si>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</si>
  <si>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</si>
  <si>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</si>
  <si>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</si>
  <si>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</si>
  <si>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</si>
  <si>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</si>
  <si>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</si>
  <si>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</si>
  <si>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</si>
  <si>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</si>
  <si>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</si>
  <si>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</si>
  <si>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</si>
  <si>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</si>
  <si>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</si>
  <si>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</si>
  <si>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</si>
  <si>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</si>
  <si>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</si>
  <si>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</si>
  <si>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</si>
  <si>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</si>
  <si>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</si>
  <si>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</si>
  <si>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</si>
  <si>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</si>
  <si>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</si>
  <si>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</si>
  <si>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</si>
  <si>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</si>
  <si>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</si>
  <si>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</si>
  <si>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</si>
  <si>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</si>
  <si>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</si>
  <si>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</si>
  <si>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</si>
  <si>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</si>
  <si>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</si>
  <si>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</si>
  <si>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</si>
  <si>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</si>
  <si>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</si>
  <si>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</si>
  <si>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</si>
  <si>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</si>
  <si>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</si>
  <si>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</si>
  <si>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</si>
  <si>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</si>
  <si>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</si>
  <si>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</si>
  <si>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</si>
  <si>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</si>
  <si>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</si>
  <si>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</si>
  <si>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</si>
  <si>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</si>
  <si>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</si>
  <si>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</si>
  <si>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</si>
  <si>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</si>
  <si>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</si>
  <si>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</si>
  <si>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</si>
  <si>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</si>
  <si>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</si>
  <si>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</si>
  <si>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</si>
  <si>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</si>
  <si>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</si>
  <si>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</si>
  <si>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</si>
  <si>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</si>
  <si>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</si>
  <si>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</si>
  <si>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</si>
  <si>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</si>
  <si>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</si>
  <si>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</si>
  <si>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</si>
  <si>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</si>
  <si>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</si>
  <si>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</si>
  <si>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</si>
  <si>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</si>
  <si>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</si>
  <si>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</si>
  <si>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</si>
  <si>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</si>
  <si>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</si>
  <si>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</si>
  <si>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</si>
  <si>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</si>
  <si>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</si>
  <si>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</si>
  <si>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</si>
  <si>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</si>
  <si>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</si>
  <si>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</si>
  <si>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</si>
  <si>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</si>
  <si>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</si>
  <si>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</si>
  <si>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</si>
  <si>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</si>
  <si>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</si>
  <si>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</si>
  <si>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</si>
  <si>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</si>
  <si>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</si>
  <si>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</si>
  <si>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</si>
  <si>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</si>
  <si>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</si>
  <si>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</si>
  <si>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</si>
  <si>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</si>
  <si>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</si>
  <si>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</si>
  <si>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</si>
  <si>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</si>
  <si>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</si>
  <si>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</si>
  <si>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</si>
  <si>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</si>
  <si>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</si>
  <si>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</si>
  <si>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</si>
  <si>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</si>
  <si>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</si>
  <si>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</si>
  <si>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</si>
  <si>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</si>
  <si>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</si>
  <si>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</si>
  <si>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</si>
  <si>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</si>
  <si>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</si>
  <si>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</si>
  <si>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</si>
  <si>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</si>
  <si>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</si>
  <si>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</si>
  <si>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</si>
  <si>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</si>
  <si>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</si>
  <si>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</si>
  <si>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</si>
  <si>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</si>
  <si>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</si>
  <si>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</si>
  <si>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</si>
  <si>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</si>
  <si>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</si>
  <si>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</si>
  <si>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</si>
  <si>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</si>
  <si>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</si>
  <si>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</si>
  <si>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</si>
  <si>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</si>
  <si>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</si>
  <si>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</si>
  <si>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</si>
  <si>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</si>
  <si>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</si>
  <si>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</si>
  <si>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</si>
  <si>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</si>
  <si>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</si>
  <si>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</si>
  <si>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</si>
  <si>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</si>
  <si>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</si>
  <si>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</si>
  <si>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</si>
  <si>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</si>
  <si>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</si>
  <si>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</si>
  <si>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</si>
  <si>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</si>
  <si>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</si>
  <si>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</si>
  <si>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</si>
  <si>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</si>
  <si>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</si>
  <si>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</si>
  <si>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</si>
  <si>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</si>
  <si>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</si>
  <si>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</si>
  <si>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</si>
  <si>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</si>
  <si>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</si>
  <si>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</si>
  <si>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</si>
  <si>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</si>
  <si>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</si>
  <si>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</si>
  <si>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</si>
  <si>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</si>
  <si>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</si>
  <si>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</si>
  <si>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</si>
  <si>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</si>
  <si>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</si>
  <si>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</si>
  <si>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</si>
  <si>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</si>
  <si>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</si>
  <si>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</si>
  <si>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</si>
  <si>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</si>
  <si>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</si>
  <si>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</si>
  <si>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</si>
  <si>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</si>
  <si>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</si>
  <si>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</si>
  <si>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</si>
  <si>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</si>
  <si>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</si>
  <si>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</si>
  <si>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</si>
  <si>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</si>
  <si>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</si>
  <si>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</si>
  <si>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</si>
  <si>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</si>
  <si>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</si>
  <si>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</si>
  <si>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</si>
  <si>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</si>
  <si>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</si>
  <si>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</si>
  <si>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</si>
  <si>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</si>
  <si>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</si>
  <si>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</si>
  <si>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</si>
  <si>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</si>
  <si>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</si>
  <si>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</si>
  <si>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</si>
  <si>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</si>
  <si>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</si>
  <si>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</si>
  <si>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</si>
  <si>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</si>
  <si>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</si>
  <si>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</si>
  <si>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</si>
  <si>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</si>
  <si>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</si>
  <si>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</si>
  <si>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</si>
  <si>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</si>
  <si>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</si>
  <si>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</si>
  <si>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</si>
  <si>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</si>
  <si>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</si>
  <si>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</si>
  <si>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</si>
  <si>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</si>
  <si>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</si>
  <si>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</si>
  <si>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</si>
  <si>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</si>
  <si>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</si>
  <si>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</si>
  <si>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</si>
  <si>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</si>
  <si>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</si>
  <si>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</si>
  <si>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</si>
  <si>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</si>
  <si>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</si>
  <si>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</si>
  <si>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</si>
  <si>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</si>
  <si>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</si>
  <si>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</si>
  <si>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</si>
  <si>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</si>
  <si>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</si>
  <si>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</si>
  <si>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</si>
  <si>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</si>
  <si>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</si>
  <si>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</si>
  <si>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</si>
  <si>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</si>
  <si>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</si>
  <si>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</si>
  <si>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</si>
  <si>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</si>
  <si>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</si>
  <si>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</si>
  <si>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</si>
  <si>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</si>
  <si>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</si>
  <si>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</si>
  <si>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</si>
  <si>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</si>
  <si>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</si>
  <si>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</si>
  <si>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</si>
  <si>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</si>
  <si>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</si>
  <si>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</si>
  <si>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</si>
  <si>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</si>
  <si>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</si>
  <si>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</si>
  <si>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</si>
  <si>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</si>
  <si>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</si>
  <si>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</si>
  <si>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</si>
  <si>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</si>
  <si>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</si>
  <si>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</si>
  <si>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</si>
  <si>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</si>
  <si>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</si>
  <si>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</si>
  <si>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</si>
  <si>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</si>
  <si>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</si>
  <si>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</si>
  <si>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</si>
  <si>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</si>
  <si>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</si>
  <si>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</si>
  <si>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</si>
  <si>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</si>
  <si>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</si>
  <si>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</si>
  <si>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</si>
  <si>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</si>
  <si>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</si>
  <si>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</si>
  <si>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</si>
  <si>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</si>
  <si>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</si>
  <si>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</si>
  <si>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</si>
  <si>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</si>
  <si>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</si>
  <si>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</si>
  <si>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</si>
  <si>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</si>
  <si>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</si>
  <si>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</si>
  <si>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</si>
  <si>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</si>
  <si>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</si>
  <si>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</si>
  <si>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</si>
  <si>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</si>
  <si>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</si>
  <si>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</si>
  <si>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</si>
  <si>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</si>
  <si>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</si>
  <si>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</si>
  <si>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</si>
  <si>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</si>
  <si>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</si>
  <si>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</si>
  <si>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</si>
  <si>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</si>
  <si>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</si>
  <si>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</si>
  <si>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</si>
  <si>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</si>
  <si>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</si>
  <si>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</si>
  <si>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</si>
  <si>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</si>
  <si>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</si>
  <si>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</si>
  <si>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</si>
  <si>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</si>
  <si>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</si>
  <si>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</si>
  <si>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</si>
  <si>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</si>
  <si>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</si>
  <si>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</si>
  <si>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</si>
  <si>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</si>
  <si>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</si>
  <si>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</si>
  <si>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</si>
  <si>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</si>
  <si>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</si>
  <si>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</si>
  <si>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</si>
  <si>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</si>
  <si>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</si>
  <si>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</si>
  <si>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</si>
  <si>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</si>
  <si>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</si>
  <si>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</si>
  <si>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</si>
  <si>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</si>
  <si>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</si>
  <si>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</si>
  <si>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</si>
  <si>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</si>
  <si>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</si>
  <si>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</si>
  <si>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</si>
  <si>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</si>
  <si>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</si>
  <si>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</si>
  <si>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</si>
  <si>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</si>
  <si>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</si>
  <si>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</si>
  <si>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</si>
  <si>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</si>
  <si>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</si>
  <si>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</si>
  <si>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</si>
  <si>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</si>
  <si>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</si>
  <si>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</si>
  <si>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</si>
  <si>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</si>
  <si>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</si>
  <si>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</si>
  <si>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</si>
  <si>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</si>
  <si>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</si>
  <si>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</si>
  <si>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</si>
  <si>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</si>
  <si>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</si>
  <si>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</si>
  <si>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</si>
  <si>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</si>
  <si>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</si>
  <si>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</si>
  <si>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</si>
  <si>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</si>
  <si>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</si>
  <si>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</si>
  <si>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</si>
  <si>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</si>
  <si>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</si>
  <si>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</si>
  <si>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</si>
  <si>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</si>
  <si>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</si>
  <si>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</si>
  <si>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</si>
  <si>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</si>
  <si>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</si>
  <si>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</si>
  <si>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</si>
  <si>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</si>
  <si>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</si>
  <si>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</si>
  <si>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</si>
  <si>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</si>
  <si>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</si>
  <si>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</si>
  <si>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</si>
  <si>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</si>
  <si>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</si>
  <si>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</si>
  <si>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</si>
  <si>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</si>
  <si>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</si>
  <si>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</si>
  <si>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</si>
  <si>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</si>
  <si>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</si>
  <si>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</si>
  <si>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</si>
  <si>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</si>
  <si>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</si>
  <si>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</si>
  <si>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</si>
  <si>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</si>
  <si>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</si>
  <si>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</si>
  <si>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</si>
  <si>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</si>
  <si>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</si>
  <si>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</si>
  <si>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</si>
  <si>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</si>
  <si>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</si>
  <si>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</si>
  <si>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</si>
  <si>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</si>
  <si>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</si>
  <si>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</si>
  <si>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</si>
  <si>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</si>
  <si>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</si>
  <si>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</si>
  <si>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</si>
  <si>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</si>
  <si>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</si>
  <si>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</si>
  <si>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</si>
  <si>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</si>
  <si>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</si>
  <si>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</si>
  <si>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</si>
  <si>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</si>
  <si>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</si>
  <si>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</si>
  <si>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</si>
  <si>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</si>
  <si>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</si>
  <si>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</si>
  <si>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</si>
  <si>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</si>
  <si>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</si>
  <si>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</si>
  <si>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</si>
  <si>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</si>
  <si>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</si>
  <si>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</si>
  <si>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</si>
  <si>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</si>
  <si>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</si>
  <si>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</si>
  <si>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</si>
  <si>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</si>
  <si>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</si>
  <si>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</si>
  <si>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</si>
  <si>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</si>
  <si>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</si>
  <si>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</si>
  <si>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</si>
  <si>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</si>
  <si>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</si>
  <si>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</si>
  <si>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</si>
  <si>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</si>
  <si>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</si>
  <si>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</si>
  <si>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</si>
  <si>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</si>
  <si>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</si>
  <si>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</si>
  <si>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</si>
  <si>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</si>
  <si>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</si>
  <si>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</si>
  <si>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</si>
  <si>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</si>
  <si>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</si>
  <si>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</si>
  <si>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</si>
  <si>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</si>
  <si>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</si>
  <si>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</si>
  <si>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</si>
  <si>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</si>
  <si>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</si>
  <si>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</si>
  <si>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</si>
  <si>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</si>
  <si>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</si>
  <si>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</si>
  <si>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</si>
  <si>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</si>
  <si>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</si>
  <si>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</si>
  <si>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</si>
  <si>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</si>
  <si>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</si>
  <si>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</si>
  <si>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</si>
  <si>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</si>
  <si>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</si>
  <si>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</si>
  <si>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</si>
  <si>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</si>
  <si>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</si>
  <si>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</si>
  <si>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</si>
  <si>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</si>
  <si>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</si>
  <si>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</si>
  <si>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</si>
  <si>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</si>
  <si>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</si>
  <si>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</si>
  <si>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</si>
  <si>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</si>
  <si>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</si>
  <si>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</si>
  <si>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</si>
  <si>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</si>
  <si>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</si>
  <si>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</si>
  <si>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</si>
  <si>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</si>
  <si>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</si>
  <si>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</si>
  <si>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</si>
  <si>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</si>
  <si>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</si>
  <si>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</si>
  <si>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</si>
  <si>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</si>
  <si>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</si>
  <si>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</si>
  <si>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</si>
  <si>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</si>
  <si>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</si>
  <si>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</si>
  <si>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</si>
  <si>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</si>
  <si>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</si>
  <si>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</si>
  <si>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</si>
  <si>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</si>
  <si>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</si>
  <si>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</si>
  <si>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</si>
  <si>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</si>
  <si>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</si>
  <si>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</si>
  <si>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</si>
  <si>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</si>
  <si>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</si>
  <si>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</si>
  <si>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</si>
  <si>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</si>
  <si>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</si>
  <si>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</si>
  <si>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</si>
  <si>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</si>
  <si>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</si>
  <si>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</si>
  <si>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</si>
  <si>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</si>
  <si>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</si>
  <si>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</si>
  <si>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</si>
  <si>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</si>
  <si>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</si>
  <si>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</si>
  <si>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</si>
  <si>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</si>
  <si>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</si>
  <si>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</si>
  <si>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</si>
  <si>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</si>
  <si>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</si>
  <si>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</si>
  <si>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</si>
  <si>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</si>
  <si>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</si>
  <si>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</si>
  <si>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</si>
  <si>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</si>
  <si>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</si>
  <si>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</si>
  <si>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</si>
  <si>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</si>
  <si>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</si>
  <si>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</si>
  <si>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</si>
  <si>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</si>
  <si>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</si>
  <si>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</si>
  <si>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</si>
  <si>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</si>
  <si>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</si>
  <si>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</si>
  <si>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</si>
  <si>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</si>
  <si>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</si>
  <si>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</si>
  <si>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</si>
  <si>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</si>
  <si>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</si>
  <si>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</si>
  <si>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</si>
  <si>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</si>
  <si>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</si>
  <si>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</si>
  <si>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</si>
  <si>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</si>
  <si>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</si>
  <si>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</si>
  <si>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</si>
  <si>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</si>
  <si>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</si>
  <si>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</si>
  <si>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</si>
  <si>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</si>
  <si>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</si>
  <si>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</si>
  <si>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</si>
  <si>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</si>
  <si>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</si>
  <si>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</si>
  <si>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</si>
  <si>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</si>
  <si>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</si>
  <si>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</si>
  <si>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</si>
  <si>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</si>
  <si>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</si>
  <si>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</si>
  <si>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</si>
  <si>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</si>
  <si>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</si>
  <si>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</si>
  <si>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</si>
  <si>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</si>
  <si>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</si>
  <si>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</si>
  <si>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</si>
  <si>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</si>
  <si>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</si>
  <si>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</si>
  <si>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</si>
  <si>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</si>
  <si>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</si>
  <si>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</si>
  <si>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</si>
  <si>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</si>
  <si>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</si>
  <si>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</si>
  <si>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</si>
  <si>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</si>
  <si>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</si>
  <si>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</si>
  <si>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</si>
  <si>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</si>
  <si>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</si>
  <si>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</si>
  <si>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</si>
  <si>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</si>
  <si>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</si>
  <si>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</si>
  <si>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</si>
  <si>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</si>
  <si>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</si>
  <si>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</si>
  <si>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</si>
  <si>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</si>
  <si>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</si>
  <si>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</si>
  <si>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</si>
  <si>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</si>
  <si>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</si>
  <si>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</si>
  <si>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</si>
  <si>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</si>
  <si>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</si>
  <si>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</si>
  <si>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</si>
  <si>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</si>
  <si>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</si>
  <si>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</si>
  <si>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</si>
  <si>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</si>
  <si>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</si>
  <si>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</si>
  <si>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</si>
  <si>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</si>
  <si>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</si>
  <si>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</si>
  <si>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</si>
  <si>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</si>
  <si>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</si>
  <si>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</si>
  <si>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</si>
  <si>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</si>
  <si>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</si>
  <si>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</si>
  <si>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</si>
  <si>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</si>
  <si>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</si>
  <si>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</si>
  <si>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</si>
  <si>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</si>
  <si>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</si>
  <si>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</si>
  <si>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</si>
  <si>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</si>
  <si>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</si>
  <si>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</si>
  <si>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</si>
  <si>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</si>
  <si>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</si>
  <si>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</si>
  <si>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</si>
  <si>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</si>
  <si>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</si>
  <si>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</si>
  <si>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</si>
  <si>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</si>
  <si>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</si>
  <si>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</si>
  <si>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</si>
  <si>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</si>
  <si>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</si>
  <si>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</si>
  <si>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</si>
  <si>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</si>
  <si>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</si>
  <si>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</si>
  <si>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</si>
  <si>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</si>
  <si>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</si>
  <si>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</si>
  <si>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</si>
  <si>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</si>
  <si>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</si>
  <si>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</si>
  <si>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</si>
  <si>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</si>
  <si>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</si>
  <si>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</si>
  <si>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</si>
  <si>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</si>
  <si>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</si>
  <si>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</si>
  <si>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</si>
  <si>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</si>
  <si>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</si>
  <si>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</si>
  <si>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</si>
  <si>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</si>
  <si>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</si>
  <si>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</si>
  <si>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</si>
  <si>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</si>
  <si>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</si>
  <si>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</si>
  <si>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</si>
  <si>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</si>
  <si>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</si>
  <si>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</si>
  <si>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</si>
  <si>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</si>
  <si>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</si>
  <si>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</si>
  <si>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</si>
  <si>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</si>
  <si>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</si>
  <si>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</si>
  <si>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</si>
  <si>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</si>
  <si>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</si>
  <si>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</si>
  <si>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</si>
  <si>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</si>
  <si>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</si>
  <si>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</si>
  <si>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</si>
  <si>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</si>
  <si>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</si>
  <si>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</si>
  <si>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</si>
  <si>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</si>
  <si>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</si>
  <si>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</si>
  <si>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</si>
  <si>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</si>
  <si>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</si>
  <si>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</si>
  <si>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</si>
  <si>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</si>
  <si>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</si>
  <si>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</si>
  <si>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</si>
  <si>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</si>
  <si>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</si>
  <si>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</si>
  <si>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</si>
  <si>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</si>
  <si>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</si>
  <si>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</si>
  <si>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</si>
  <si>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</si>
  <si>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</si>
  <si>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</si>
  <si>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</si>
  <si>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</si>
  <si>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</si>
  <si>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</si>
  <si>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</si>
  <si>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</si>
  <si>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</si>
  <si>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</si>
  <si>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</si>
  <si>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</si>
  <si>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</si>
  <si>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</si>
  <si>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</si>
  <si>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</si>
  <si>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</si>
  <si>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</si>
  <si>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</si>
  <si>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</si>
  <si>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</si>
  <si>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</si>
  <si>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</si>
  <si>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</si>
  <si>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</si>
  <si>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</si>
  <si>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</si>
  <si>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</si>
  <si>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</si>
  <si>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</si>
  <si>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</si>
  <si>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</si>
  <si>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</si>
  <si>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</si>
  <si>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</si>
  <si>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</si>
  <si>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</si>
  <si>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</si>
  <si>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</si>
  <si>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</si>
  <si>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</si>
  <si>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</si>
  <si>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</si>
  <si>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</si>
  <si>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</si>
  <si>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</si>
  <si>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</si>
  <si>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</si>
  <si>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</si>
  <si>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</si>
  <si>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</si>
  <si>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</si>
  <si>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</si>
  <si>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</si>
  <si>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</si>
  <si>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</si>
  <si>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</si>
  <si>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</si>
  <si>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</si>
  <si>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</si>
  <si>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</si>
  <si>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</si>
  <si>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</si>
  <si>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</si>
  <si>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</si>
  <si>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</si>
  <si>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</si>
  <si>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</si>
  <si>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</si>
  <si>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</si>
  <si>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</si>
  <si>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</si>
  <si>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</si>
  <si>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</si>
  <si>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</si>
  <si>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</si>
  <si>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</si>
  <si>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</si>
  <si>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</si>
  <si>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</si>
  <si>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</si>
  <si>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</si>
  <si>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</si>
  <si>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</si>
  <si>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</si>
  <si>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</si>
  <si>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</si>
  <si>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</si>
  <si>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</si>
  <si>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</si>
  <si>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</si>
  <si>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</si>
  <si>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</si>
  <si>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</si>
  <si>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</si>
  <si>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</si>
  <si>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</si>
  <si>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</si>
  <si>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</si>
  <si>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</si>
  <si>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</si>
  <si>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</si>
  <si>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</si>
  <si>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</si>
  <si>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</si>
  <si>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</si>
  <si>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</si>
  <si>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</si>
  <si>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</si>
  <si>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</si>
  <si>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</si>
  <si>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</si>
  <si>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</si>
  <si>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</si>
  <si>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</si>
  <si>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</si>
  <si>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</si>
  <si>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</si>
  <si>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</si>
  <si>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</si>
  <si>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</si>
  <si>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</si>
  <si>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</si>
  <si>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</si>
  <si>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</si>
  <si>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</si>
  <si>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</si>
  <si>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</si>
  <si>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</si>
  <si>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</si>
  <si>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</si>
  <si>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</si>
  <si>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</si>
  <si>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</si>
  <si>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</si>
  <si>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</si>
  <si>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</si>
  <si>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</si>
  <si>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</si>
  <si>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</si>
  <si>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</si>
  <si>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</si>
  <si>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</si>
  <si>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</si>
  <si>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</si>
  <si>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</si>
  <si>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</si>
  <si>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</si>
  <si>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</si>
  <si>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</si>
  <si>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</si>
  <si>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</si>
  <si>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</si>
  <si>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</si>
  <si>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</si>
  <si>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</si>
  <si>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</si>
  <si>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</si>
  <si>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</si>
  <si>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</si>
  <si>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</si>
  <si>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</si>
  <si>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</si>
  <si>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</si>
  <si>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</si>
  <si>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</si>
  <si>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</si>
  <si>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</si>
  <si>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</si>
  <si>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</si>
  <si>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</si>
  <si>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</si>
  <si>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</si>
  <si>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</si>
  <si>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</si>
  <si>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</si>
  <si>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</si>
  <si>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</si>
  <si>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</si>
  <si>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</si>
  <si>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</si>
  <si>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</si>
  <si>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</si>
  <si>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</si>
  <si>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</si>
  <si>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</si>
  <si>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</si>
  <si>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</si>
  <si>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</si>
  <si>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</si>
  <si>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</si>
  <si>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</si>
  <si>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</si>
  <si>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</si>
  <si>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</si>
  <si>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</si>
  <si>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</si>
  <si>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</si>
  <si>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</si>
  <si>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</si>
  <si>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</si>
  <si>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</si>
  <si>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</si>
  <si>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</si>
  <si>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</si>
  <si>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</si>
  <si>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</si>
  <si>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</si>
  <si>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</si>
  <si>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</si>
  <si>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</si>
  <si>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</si>
  <si>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</si>
  <si>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</si>
  <si>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</si>
  <si>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</si>
  <si>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</si>
  <si>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</si>
  <si>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</si>
  <si>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</si>
  <si>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</si>
  <si>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</si>
  <si>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</si>
  <si>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</si>
  <si>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</si>
  <si>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</si>
  <si>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</si>
  <si>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</si>
  <si>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</si>
  <si>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</si>
  <si>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</si>
  <si>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</si>
  <si>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</si>
  <si>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</si>
  <si>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</si>
  <si>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</si>
  <si>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</si>
  <si>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</si>
  <si>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</si>
  <si>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</si>
  <si>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</si>
  <si>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</si>
  <si>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</si>
  <si>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</si>
  <si>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</si>
  <si>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</si>
  <si>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</si>
  <si>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</si>
  <si>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</si>
  <si>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</si>
  <si>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</si>
  <si>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</si>
  <si>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</si>
  <si>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</si>
  <si>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</si>
  <si>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</si>
  <si>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</si>
  <si>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</si>
  <si>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</si>
  <si>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</si>
  <si>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</si>
  <si>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</si>
  <si>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</si>
  <si>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</si>
  <si>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</si>
  <si>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</si>
  <si>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</si>
  <si>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</si>
  <si>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</si>
  <si>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</si>
  <si>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</si>
  <si>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</si>
  <si>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</si>
  <si>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</si>
  <si>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</si>
  <si>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</si>
  <si>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</si>
  <si>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</si>
  <si>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</si>
  <si>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</si>
  <si>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</si>
  <si>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</si>
  <si>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</si>
  <si>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</si>
  <si>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</si>
  <si>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</si>
  <si>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</si>
  <si>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</si>
  <si>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</si>
  <si>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</si>
  <si>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</si>
  <si>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</si>
  <si>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</si>
  <si>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</si>
  <si>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</si>
  <si>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</si>
  <si>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</si>
  <si>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</si>
  <si>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</si>
  <si>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</si>
  <si>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</si>
  <si>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</si>
  <si>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</si>
  <si>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</si>
  <si>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</si>
  <si>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</si>
  <si>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</si>
  <si>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</si>
  <si>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</si>
  <si>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</si>
  <si>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</si>
  <si>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</si>
  <si>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</si>
  <si>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</si>
  <si>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</si>
  <si>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</si>
  <si>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</si>
  <si>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</si>
  <si>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</si>
  <si>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</si>
  <si>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</si>
  <si>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</si>
  <si>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</si>
  <si>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</si>
  <si>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</si>
  <si>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</si>
  <si>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</si>
  <si>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</si>
  <si>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</si>
  <si>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</si>
  <si>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</si>
  <si>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</si>
  <si>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</si>
  <si>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</si>
  <si>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</si>
  <si>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</si>
  <si>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</si>
  <si>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</si>
  <si>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</si>
  <si>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</si>
  <si>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</si>
  <si>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</si>
  <si>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</si>
  <si>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</si>
  <si>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</si>
  <si>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</si>
  <si>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</si>
  <si>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</si>
  <si>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</si>
  <si>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</si>
  <si>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</si>
  <si>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</si>
  <si>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</si>
  <si>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</si>
  <si>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</si>
  <si>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</si>
  <si>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</si>
  <si>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</si>
  <si>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</si>
  <si>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</si>
  <si>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</si>
  <si>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</si>
  <si>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</si>
  <si>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</si>
  <si>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</si>
  <si>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</si>
  <si>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</si>
  <si>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</si>
  <si>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</si>
  <si>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</si>
  <si>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</si>
  <si>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</si>
  <si>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</si>
  <si>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</si>
  <si>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</si>
  <si>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</si>
  <si>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</si>
  <si>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</si>
  <si>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</si>
  <si>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</si>
  <si>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</si>
  <si>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</si>
  <si>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</si>
  <si>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</si>
  <si>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</si>
  <si>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</si>
  <si>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</si>
  <si>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</si>
  <si>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</si>
  <si>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</si>
  <si>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</si>
  <si>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</si>
  <si>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</si>
  <si>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</si>
  <si>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</si>
  <si>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</si>
  <si>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</si>
  <si>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</si>
  <si>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</si>
  <si>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</si>
  <si>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</si>
  <si>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</si>
  <si>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</si>
  <si>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</si>
  <si>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</si>
  <si>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</si>
  <si>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</si>
  <si>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</si>
  <si>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</si>
  <si>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</si>
  <si>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</si>
  <si>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</si>
  <si>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</si>
  <si>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</si>
  <si>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</si>
  <si>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</si>
  <si>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</si>
  <si>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</si>
  <si>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</si>
  <si>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</si>
  <si>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</si>
  <si>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</si>
  <si>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</si>
  <si>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</si>
  <si>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</si>
  <si>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</si>
  <si>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</si>
  <si>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</si>
  <si>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</si>
  <si>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</si>
  <si>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</si>
  <si>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</si>
  <si>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</si>
  <si>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</si>
  <si>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</si>
  <si>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</si>
  <si>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</si>
  <si>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</si>
  <si>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</si>
  <si>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</si>
  <si>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</si>
  <si>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</si>
  <si>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</si>
  <si>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</si>
  <si>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</si>
  <si>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</si>
  <si>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</si>
  <si>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</si>
  <si>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</si>
  <si>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</si>
  <si>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</si>
  <si>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</si>
  <si>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</si>
  <si>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</si>
  <si>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</si>
  <si>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</si>
  <si>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</si>
  <si>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</si>
  <si>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</si>
  <si>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</si>
  <si>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</si>
  <si>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</si>
  <si>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</si>
  <si>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</si>
  <si>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</si>
  <si>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</si>
  <si>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</si>
  <si>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</si>
  <si>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</si>
  <si>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</si>
  <si>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</si>
  <si>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</si>
  <si>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</si>
  <si>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</si>
  <si>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</si>
  <si>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</si>
  <si>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</si>
  <si>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</si>
  <si>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</si>
  <si>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</si>
  <si>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</si>
  <si>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</si>
  <si>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</si>
  <si>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</si>
  <si>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</si>
  <si>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</si>
  <si>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</si>
  <si>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</si>
  <si>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</si>
  <si>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</si>
  <si>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</si>
  <si>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</si>
  <si>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</si>
  <si>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</si>
  <si>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</si>
  <si>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</si>
  <si>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</si>
  <si>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</si>
  <si>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</si>
  <si>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</si>
  <si>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</si>
  <si>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</si>
  <si>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</si>
  <si>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</si>
  <si>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</si>
  <si>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</si>
  <si>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</si>
  <si>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</si>
  <si>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</si>
  <si>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</si>
  <si>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</si>
  <si>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</si>
  <si>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</si>
  <si>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</si>
  <si>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</si>
  <si>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</si>
  <si>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</si>
  <si>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</si>
  <si>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</si>
  <si>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</si>
  <si>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</si>
  <si>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</si>
  <si>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</si>
  <si>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</si>
  <si>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</si>
  <si>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</si>
  <si>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</si>
  <si>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</si>
  <si>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</si>
  <si>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</si>
  <si>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</si>
  <si>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</si>
  <si>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</si>
  <si>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</si>
  <si>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</si>
  <si>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</si>
  <si>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</si>
  <si>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</si>
  <si>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</si>
  <si>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</si>
  <si>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</si>
  <si>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</si>
  <si>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</si>
  <si>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</si>
  <si>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</si>
  <si>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</si>
  <si>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</si>
  <si>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</si>
  <si>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</si>
  <si>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</si>
  <si>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</si>
  <si>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</si>
  <si>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</si>
  <si>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</si>
  <si>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</si>
  <si>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</si>
  <si>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</si>
  <si>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</si>
  <si>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</si>
  <si>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</si>
  <si>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</si>
  <si>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</si>
  <si>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</si>
  <si>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</si>
  <si>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</si>
  <si>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</si>
  <si>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</si>
  <si>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</si>
  <si>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</si>
  <si>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</si>
  <si>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</si>
  <si>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</si>
  <si>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</si>
  <si>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</si>
  <si>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</si>
  <si>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</si>
  <si>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</si>
  <si>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</si>
  <si>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</si>
  <si>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</si>
  <si>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</si>
  <si>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</si>
  <si>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</si>
  <si>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</si>
  <si>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</si>
  <si>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</si>
  <si>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</si>
  <si>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</si>
  <si>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</si>
  <si>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</si>
  <si>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</si>
  <si>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</si>
  <si>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</si>
  <si>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</si>
  <si>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</si>
  <si>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</si>
  <si>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</si>
  <si>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</si>
  <si>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</si>
  <si>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</si>
  <si>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</si>
  <si>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</si>
  <si>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</si>
  <si>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</si>
  <si>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</si>
  <si>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</si>
  <si>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</si>
  <si>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</si>
  <si>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</si>
  <si>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</si>
  <si>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</si>
  <si>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</si>
  <si>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</si>
  <si>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</si>
  <si>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</si>
  <si>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</si>
  <si>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</si>
  <si>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</si>
  <si>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</si>
  <si>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</si>
  <si>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</si>
  <si>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</si>
  <si>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</si>
  <si>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</si>
  <si>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</si>
  <si>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</si>
  <si>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</si>
  <si>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</si>
  <si>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</si>
  <si>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</si>
  <si>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</si>
  <si>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</si>
  <si>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</si>
  <si>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</si>
  <si>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</si>
  <si>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</si>
  <si>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</si>
  <si>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</si>
  <si>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</si>
  <si>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</si>
  <si>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</si>
  <si>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</si>
  <si>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</si>
  <si>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</si>
  <si>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</si>
  <si>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</si>
  <si>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</si>
  <si>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</si>
  <si>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</si>
  <si>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</si>
  <si>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</si>
  <si>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</si>
  <si>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</si>
  <si>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</si>
  <si>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</si>
  <si>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</si>
  <si>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</si>
  <si>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</si>
  <si>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</si>
  <si>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</si>
  <si>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</si>
  <si>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</si>
  <si>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</si>
  <si>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</si>
  <si>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</si>
  <si>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</si>
  <si>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</si>
  <si>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</si>
  <si>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</si>
  <si>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</si>
  <si>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</si>
  <si>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</si>
  <si>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</si>
  <si>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</si>
  <si>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</si>
  <si>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</si>
  <si>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</si>
  <si>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</si>
  <si>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</si>
  <si>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</si>
  <si>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</si>
  <si>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</si>
  <si>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</si>
  <si>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</si>
  <si>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</si>
  <si>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</si>
  <si>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</si>
  <si>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</si>
  <si>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</si>
  <si>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</si>
  <si>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</si>
  <si>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</si>
  <si>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</si>
  <si>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</si>
  <si>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</si>
  <si>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</si>
  <si>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</si>
  <si>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</si>
  <si>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</si>
  <si>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</si>
  <si>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</si>
  <si>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</si>
  <si>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</si>
  <si>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</si>
  <si>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</si>
  <si>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</si>
  <si>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</si>
  <si>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</si>
  <si>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</si>
  <si>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</si>
  <si>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</si>
  <si>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</si>
  <si>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</si>
  <si>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</si>
  <si>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</si>
  <si>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</si>
  <si>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</si>
  <si>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</si>
  <si>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</si>
  <si>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</si>
  <si>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</si>
  <si>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</si>
  <si>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</si>
  <si>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</si>
  <si>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</si>
  <si>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</si>
  <si>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</si>
  <si>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</si>
  <si>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</si>
  <si>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</si>
  <si>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</si>
  <si>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</si>
  <si>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</si>
  <si>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</si>
  <si>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</si>
  <si>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</si>
  <si>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</si>
  <si>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</si>
  <si>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</si>
  <si>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</si>
  <si>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</si>
  <si>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</si>
  <si>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</si>
  <si>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</si>
  <si>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</si>
  <si>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</si>
  <si>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</si>
  <si>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</si>
  <si>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</si>
  <si>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</si>
  <si>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</si>
  <si>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</si>
  <si>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</si>
  <si>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</si>
  <si>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</si>
  <si>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</si>
  <si>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</si>
  <si>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</si>
  <si>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</si>
  <si>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</si>
  <si>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</si>
  <si>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</si>
  <si>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</si>
  <si>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</si>
  <si>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</si>
  <si>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</si>
  <si>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</si>
  <si>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</si>
  <si>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</si>
  <si>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</si>
  <si>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</si>
  <si>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</si>
  <si>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</si>
  <si>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</si>
  <si>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</si>
  <si>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</si>
  <si>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</si>
  <si>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</si>
  <si>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</si>
  <si>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</si>
  <si>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</si>
  <si>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</si>
  <si>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</si>
  <si>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</si>
  <si>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</si>
  <si>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</si>
  <si>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</si>
  <si>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</si>
  <si>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</si>
  <si>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</si>
  <si>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</si>
  <si>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</si>
  <si>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</si>
  <si>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</si>
  <si>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</si>
  <si>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</si>
  <si>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</si>
  <si>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</si>
  <si>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</si>
  <si>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</si>
  <si>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</si>
  <si>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</si>
  <si>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</si>
  <si>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</si>
  <si>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</si>
  <si>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</si>
  <si>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</si>
  <si>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</si>
  <si>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</si>
  <si>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</si>
  <si>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</si>
  <si>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</si>
  <si>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</si>
  <si>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</si>
  <si>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</si>
  <si>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</si>
  <si>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</si>
  <si>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</si>
  <si>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</si>
  <si>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</si>
  <si>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</si>
  <si>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</si>
  <si>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</si>
  <si>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</si>
  <si>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</si>
  <si>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</si>
  <si>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</si>
  <si>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</si>
  <si>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</si>
  <si>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</si>
  <si>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</si>
  <si>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</si>
  <si>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</si>
  <si>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</si>
  <si>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</si>
  <si>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</si>
  <si>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</si>
  <si>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</si>
  <si>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</si>
  <si>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</si>
  <si>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</si>
  <si>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</si>
  <si>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</si>
  <si>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</si>
  <si>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</si>
  <si>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</si>
  <si>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</si>
  <si>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</si>
  <si>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</si>
  <si>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</si>
  <si>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</si>
  <si>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</si>
  <si>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</si>
  <si>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</si>
  <si>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</si>
  <si>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</si>
  <si>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</si>
  <si>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</si>
  <si>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</si>
  <si>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</si>
  <si>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</si>
  <si>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</si>
  <si>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</si>
  <si>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</si>
  <si>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</si>
  <si>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</si>
  <si>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</si>
  <si>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</si>
  <si>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</si>
  <si>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</si>
  <si>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</si>
  <si>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</si>
  <si>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</si>
  <si>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</si>
  <si>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</si>
  <si>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</si>
  <si>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</si>
  <si>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</si>
  <si>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</si>
  <si>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</si>
  <si>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</si>
  <si>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</si>
  <si>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</si>
  <si>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</si>
  <si>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</si>
  <si>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</si>
  <si>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</si>
  <si>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</si>
  <si>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</si>
  <si>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</si>
  <si>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</si>
  <si>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</si>
  <si>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</si>
  <si>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</si>
  <si>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</si>
  <si>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</si>
  <si>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</si>
  <si>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</si>
  <si>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</si>
  <si>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</si>
  <si>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</si>
  <si>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</si>
  <si>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</si>
  <si>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</si>
  <si>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</si>
  <si>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</si>
  <si>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</si>
  <si>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</si>
  <si>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</si>
  <si>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</si>
  <si>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</si>
  <si>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</si>
  <si>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</si>
  <si>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</si>
  <si>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</si>
  <si>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</si>
  <si>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</si>
  <si>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</si>
  <si>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</si>
  <si>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</si>
  <si>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</si>
  <si>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</si>
  <si>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</si>
  <si>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</si>
  <si>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</si>
  <si>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</si>
  <si>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</si>
  <si>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</si>
  <si>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</si>
  <si>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</si>
  <si>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</si>
  <si>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</si>
  <si>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</si>
  <si>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</si>
  <si>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</si>
  <si>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</si>
  <si>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</si>
  <si>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</si>
  <si>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</si>
  <si>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</si>
  <si>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</si>
  <si>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</si>
  <si>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</si>
  <si>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</si>
  <si>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</si>
  <si>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</si>
  <si>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</si>
  <si>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</si>
  <si>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</si>
  <si>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</si>
  <si>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</si>
  <si>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</si>
  <si>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</si>
  <si>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</si>
  <si>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</si>
  <si>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</si>
  <si>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</si>
  <si>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</si>
  <si>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</si>
  <si>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</si>
  <si>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</si>
  <si>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</si>
  <si>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</si>
  <si>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</si>
  <si>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</si>
  <si>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</si>
  <si>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</si>
  <si>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</si>
  <si>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</si>
  <si>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</si>
  <si>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</si>
  <si>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</si>
  <si>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</si>
  <si>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</si>
  <si>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</si>
  <si>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</si>
  <si>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</si>
  <si>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</si>
  <si>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</si>
  <si>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</si>
  <si>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</si>
  <si>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</si>
  <si>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</si>
  <si>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</si>
  <si>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</si>
  <si>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</si>
  <si>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</si>
  <si>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</si>
  <si>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</si>
  <si>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</si>
  <si>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</si>
  <si>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</si>
  <si>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</si>
  <si>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</si>
  <si>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</si>
  <si>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</si>
  <si>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</si>
  <si>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</si>
  <si>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</si>
  <si>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</si>
  <si>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</si>
  <si>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</si>
  <si>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</si>
  <si>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</si>
  <si>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</si>
  <si>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</si>
  <si>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</si>
  <si>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</si>
  <si>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</si>
  <si>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</si>
  <si>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</si>
  <si>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</si>
  <si>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</si>
  <si>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</si>
  <si>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</si>
  <si>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</si>
  <si>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</si>
  <si>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</si>
  <si>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</si>
  <si>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</si>
  <si>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</si>
  <si>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</si>
  <si>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</si>
  <si>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</si>
  <si>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</si>
  <si>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</si>
  <si>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</si>
  <si>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</si>
  <si>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</si>
  <si>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</si>
  <si>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</si>
  <si>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</si>
  <si>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</si>
  <si>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</si>
  <si>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</si>
  <si>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</si>
  <si>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</si>
  <si>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</si>
  <si>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</si>
  <si>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</si>
  <si>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</si>
  <si>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</si>
  <si>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</si>
  <si>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</si>
  <si>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</si>
  <si>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</si>
  <si>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</si>
  <si>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</si>
  <si>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</si>
  <si>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</si>
  <si>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</si>
  <si>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</si>
  <si>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</si>
  <si>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</si>
  <si>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</si>
  <si>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</si>
  <si>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</si>
  <si>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</si>
  <si>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</si>
  <si>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</si>
  <si>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</si>
  <si>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</si>
  <si>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</si>
  <si>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</si>
  <si>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</si>
  <si>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</si>
  <si>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</si>
  <si>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</si>
  <si>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</si>
  <si>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</si>
  <si>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</si>
  <si>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</si>
  <si>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</si>
  <si>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</si>
  <si>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</si>
  <si>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</si>
  <si>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</si>
  <si>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</si>
  <si>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</si>
  <si>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</si>
  <si>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</si>
  <si>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</si>
  <si>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</si>
  <si>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</si>
  <si>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</si>
  <si>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</si>
  <si>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</si>
  <si>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</si>
  <si>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</si>
  <si>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</si>
  <si>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</si>
  <si>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</si>
  <si>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</si>
  <si>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</si>
  <si>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</si>
  <si>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</si>
  <si>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</si>
  <si>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</si>
  <si>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</si>
  <si>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</si>
  <si>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</si>
  <si>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</si>
  <si>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</si>
  <si>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</si>
  <si>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</si>
  <si>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</si>
  <si>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</si>
  <si>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</si>
  <si>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</si>
  <si>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</si>
  <si>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</si>
  <si>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</si>
  <si>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</si>
  <si>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</si>
  <si>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</si>
  <si>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</si>
  <si>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</si>
  <si>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</si>
  <si>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</si>
  <si>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</si>
  <si>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</si>
  <si>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</si>
  <si>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</si>
  <si>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</si>
  <si>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</si>
  <si>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</si>
  <si>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</si>
  <si>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</si>
  <si>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</si>
  <si>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</si>
  <si>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</si>
  <si>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</si>
  <si>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</si>
  <si>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</si>
  <si>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</si>
  <si>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</si>
  <si>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</si>
  <si>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</si>
  <si>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</si>
  <si>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</si>
  <si>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</si>
  <si>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</si>
  <si>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</si>
  <si>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</si>
  <si>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</si>
  <si>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</si>
  <si>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</si>
  <si>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</si>
  <si>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</si>
  <si>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</si>
  <si>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</si>
  <si>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</si>
  <si>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</si>
  <si>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</si>
  <si>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</si>
  <si>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</si>
  <si>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</si>
  <si>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</si>
  <si>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</si>
  <si>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</si>
  <si>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</si>
  <si>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</si>
  <si>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</si>
  <si>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</si>
  <si>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</si>
  <si>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</si>
  <si>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</si>
  <si>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</si>
  <si>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</si>
  <si>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</si>
  <si>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</si>
  <si>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</si>
  <si>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</si>
  <si>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</si>
  <si>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</si>
  <si>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</si>
  <si>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</si>
  <si>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</si>
  <si>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</si>
  <si>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</si>
  <si>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</si>
  <si>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</si>
  <si>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</si>
  <si>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</si>
  <si>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</si>
  <si>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</si>
  <si>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</si>
  <si>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</si>
  <si>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</si>
  <si>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</si>
  <si>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</si>
  <si>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</si>
  <si>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</si>
  <si>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</si>
  <si>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</si>
  <si>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</si>
  <si>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</si>
  <si>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</si>
  <si>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</si>
  <si>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</si>
  <si>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</si>
  <si>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</si>
  <si>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</si>
  <si>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</si>
  <si>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</si>
  <si>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</si>
  <si>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</si>
  <si>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</si>
  <si>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</si>
  <si>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</si>
  <si>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</si>
  <si>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</si>
  <si>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</si>
  <si>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</si>
  <si>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</si>
  <si>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</si>
  <si>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</si>
  <si>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</si>
  <si>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</si>
  <si>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</si>
  <si>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</si>
  <si>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</si>
  <si>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</si>
  <si>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</si>
  <si>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</si>
  <si>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</si>
  <si>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</si>
  <si>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</si>
  <si>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</si>
  <si>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</si>
  <si>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</si>
  <si>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</si>
  <si>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</si>
  <si>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</si>
  <si>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</si>
  <si>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</si>
  <si>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</si>
  <si>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</si>
  <si>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</si>
  <si>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</si>
  <si>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</si>
  <si>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</si>
  <si>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</si>
  <si>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</si>
  <si>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</si>
  <si>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</si>
  <si>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</si>
  <si>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</si>
  <si>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</si>
  <si>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</si>
  <si>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</si>
  <si>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</si>
  <si>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</si>
  <si>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</si>
  <si>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</si>
  <si>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</si>
  <si>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</si>
  <si>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</si>
  <si>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</si>
  <si>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</si>
  <si>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</si>
  <si>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</si>
  <si>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</si>
  <si>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</si>
  <si>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</si>
  <si>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</si>
  <si>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</si>
  <si>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</si>
  <si>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</si>
  <si>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</si>
  <si>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</si>
  <si>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</si>
  <si>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</si>
  <si>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</si>
  <si>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</si>
  <si>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</si>
  <si>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</si>
  <si>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</si>
  <si>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</si>
  <si>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</si>
  <si>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</si>
  <si>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</si>
  <si>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</si>
  <si>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</si>
  <si>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</si>
  <si>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</si>
  <si>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</si>
  <si>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</si>
  <si>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</si>
  <si>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</si>
  <si>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</si>
  <si>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</si>
  <si>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</si>
  <si>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</si>
  <si>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</si>
  <si>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</si>
  <si>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</si>
  <si>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</si>
  <si>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</si>
  <si>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</si>
  <si>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</si>
  <si>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</si>
  <si>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</si>
  <si>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</si>
  <si>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</si>
  <si>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</si>
  <si>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</si>
  <si>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</si>
  <si>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</si>
  <si>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</si>
  <si>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</si>
  <si>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</si>
  <si>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</si>
  <si>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</si>
  <si>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</si>
  <si>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</si>
  <si>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</si>
  <si>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</si>
  <si>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</si>
  <si>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</si>
  <si>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</si>
  <si>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</si>
  <si>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</si>
  <si>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</si>
  <si>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</si>
  <si>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</si>
  <si>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</si>
  <si>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</si>
  <si>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</si>
  <si>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</si>
  <si>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</si>
  <si>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</si>
  <si>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</si>
  <si>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</si>
  <si>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</si>
  <si>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</si>
  <si>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</si>
  <si>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</si>
  <si>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</si>
  <si>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</si>
  <si>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</si>
  <si>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</si>
  <si>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</si>
  <si>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</si>
  <si>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</si>
  <si>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</si>
  <si>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</si>
  <si>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</si>
  <si>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</si>
  <si>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</si>
  <si>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</si>
  <si>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</si>
  <si>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</si>
  <si>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</si>
  <si>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</si>
  <si>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</si>
  <si>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</si>
  <si>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</si>
  <si>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</si>
  <si>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</si>
  <si>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</si>
  <si>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</si>
  <si>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</si>
  <si>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</si>
  <si>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</si>
  <si>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</si>
  <si>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</si>
  <si>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</si>
  <si>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</si>
  <si>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</si>
  <si>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</si>
  <si>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</si>
  <si>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</si>
  <si>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</si>
  <si>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</si>
  <si>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</si>
  <si>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</si>
  <si>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</si>
  <si>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</si>
  <si>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</si>
  <si>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</si>
  <si>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</si>
  <si>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</si>
  <si>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</si>
  <si>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</si>
  <si>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</si>
  <si>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</si>
  <si>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</si>
  <si>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</si>
  <si>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</si>
  <si>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</si>
  <si>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</si>
  <si>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</si>
  <si>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</si>
  <si>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</si>
  <si>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</si>
  <si>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</si>
  <si>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</si>
  <si>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</si>
  <si>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</si>
  <si>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</si>
  <si>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</si>
  <si>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</si>
  <si>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</si>
  <si>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</si>
  <si>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</si>
  <si>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</si>
  <si>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</si>
  <si>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</si>
  <si>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</si>
  <si>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</si>
  <si>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</si>
  <si>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</si>
  <si>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</si>
  <si>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</si>
  <si>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</si>
  <si>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</si>
  <si>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</si>
  <si>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</si>
  <si>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</si>
  <si>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</si>
  <si>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</si>
  <si>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</si>
  <si>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</si>
  <si>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</si>
  <si>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</si>
  <si>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</si>
  <si>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</si>
  <si>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</si>
  <si>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</si>
  <si>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</si>
  <si>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</si>
  <si>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</si>
  <si>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</si>
  <si>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地上</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</si>
  <si>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</si>
  <si>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</si>
  <si>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</si>
  <si>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</si>
  <si>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</si>
  <si>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</si>
  <si>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</si>
  <si>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</si>
  <si>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</si>
  <si>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</si>
  <si>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</si>
  <si>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</si>
  <si>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</si>
  <si>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</si>
  <si>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</si>
  <si>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</si>
  <si>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</si>
  <si>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</si>
  <si>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</si>
  <si>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</si>
  <si>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</si>
  <si>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</si>
  <si>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</si>
  <si>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</si>
  <si>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</si>
  <si>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</si>
  <si>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</si>
  <si>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</si>
  <si>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</si>
  <si>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</si>
  <si>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</si>
  <si>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</si>
  <si>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</si>
  <si>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</si>
  <si>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</si>
  <si>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</si>
  <si>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</si>
  <si>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</si>
  <si>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</si>
  <si>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</si>
  <si>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</si>
  <si>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</si>
  <si>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</si>
  <si>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</si>
  <si>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</si>
  <si>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</si>
  <si>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</si>
  <si>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</si>
  <si>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</si>
  <si>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</si>
  <si>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</si>
  <si>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</si>
  <si>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</si>
  <si>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</si>
  <si>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</si>
  <si>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</si>
  <si>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</si>
  <si>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</si>
  <si>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</si>
  <si>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</si>
  <si>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</si>
  <si>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</si>
  <si>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</si>
  <si>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</si>
  <si>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</si>
  <si>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</si>
  <si>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</si>
  <si>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</si>
  <si>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</si>
  <si>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</si>
  <si>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</si>
  <si>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</si>
  <si>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</si>
  <si>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</si>
  <si>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</si>
  <si>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</si>
  <si>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</si>
  <si>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</si>
  <si>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</si>
  <si>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</si>
  <si>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</si>
  <si>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</si>
  <si>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</si>
  <si>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</si>
  <si>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</si>
  <si>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</si>
  <si>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</si>
  <si>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</si>
  <si>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</si>
  <si>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</si>
  <si>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</si>
  <si>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</si>
  <si>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</si>
  <si>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</si>
  <si>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</si>
  <si>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</si>
  <si>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</si>
  <si>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</si>
  <si>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</si>
  <si>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</si>
  <si>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</si>
  <si>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</si>
  <si>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</si>
  <si>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</si>
  <si>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</si>
  <si>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</si>
  <si>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</si>
  <si>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</si>
  <si>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</si>
  <si>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</si>
  <si>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</si>
  <si>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</si>
  <si>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</si>
  <si>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</si>
  <si>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</si>
  <si>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</si>
  <si>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</si>
  <si>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</si>
  <si>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</si>
  <si>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</si>
  <si>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</si>
  <si>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</si>
  <si>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</si>
  <si>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</si>
  <si>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</si>
  <si>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</si>
  <si>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</si>
  <si>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</si>
  <si>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</si>
  <si>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</si>
  <si>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</si>
  <si>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</si>
  <si>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</si>
  <si>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</si>
  <si>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一期</t>
    <phoneticPr fontId="233" type="noConversion"/>
  </si>
  <si>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</si>
  <si>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</si>
  <si>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</si>
  <si>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</si>
  <si>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</si>
  <si>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</si>
  <si>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</si>
  <si>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估价对象所在区域基础设施水平六通</t>
    <phoneticPr fontId="3" type="noConversion"/>
  </si>
  <si>
    <t>不动产收益法底</t>
    <phoneticPr fontId="14" type="noConversion"/>
  </si>
  <si>
    <t>半岛1号</t>
    <phoneticPr fontId="3" type="noConversion"/>
  </si>
  <si>
    <t>平层公寓</t>
  </si>
  <si>
    <t>商住</t>
  </si>
  <si>
    <t>商住</t>
    <phoneticPr fontId="21" type="noConversion"/>
  </si>
  <si>
    <t>30-40（含）</t>
  </si>
  <si>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</si>
  <si>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</si>
  <si>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</si>
  <si>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</si>
  <si>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</si>
  <si>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</si>
  <si>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</si>
  <si>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</si>
  <si>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</si>
  <si>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</si>
  <si>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</si>
  <si>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</si>
  <si>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</si>
  <si>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</si>
  <si>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</si>
  <si>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</si>
  <si>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</si>
  <si>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</si>
  <si>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</si>
  <si>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</si>
  <si>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</si>
  <si>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</si>
  <si>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</si>
  <si>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</si>
  <si>
    <t>项目全部</t>
  </si>
  <si>
    <t>土地</t>
  </si>
  <si>
    <t>崔锴</t>
  </si>
  <si>
    <t>赵雯</t>
  </si>
  <si>
    <t>合计</t>
    <phoneticPr fontId="233" type="noConversion"/>
  </si>
  <si>
    <t>板块</t>
  </si>
  <si>
    <t>土地位置</t>
  </si>
  <si>
    <t>出让方式</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</si>
  <si>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</si>
  <si>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</si>
  <si>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</si>
  <si>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</si>
  <si>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</si>
  <si>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</si>
  <si>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</si>
  <si>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</si>
  <si>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</si>
  <si>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</si>
  <si>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</si>
  <si>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</si>
  <si>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</si>
  <si>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</si>
  <si>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</si>
  <si>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</si>
  <si>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</si>
  <si>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</si>
  <si>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</si>
  <si>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</si>
  <si>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</si>
  <si>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</si>
  <si>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</si>
  <si>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</si>
  <si>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</si>
  <si>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</si>
  <si>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</si>
  <si>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</si>
  <si>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综合用地(含住宅)</t>
  </si>
  <si>
    <t>挂牌</t>
  </si>
  <si>
    <t>≥1,≤3</t>
  </si>
  <si>
    <t>未开工</t>
  </si>
  <si>
    <t>已成交</t>
  </si>
  <si>
    <t>住宅用地</t>
  </si>
  <si>
    <t>≤30%</t>
  </si>
  <si>
    <t>2017-12-05</t>
  </si>
  <si>
    <t>开工中</t>
  </si>
  <si>
    <t>已完工</t>
  </si>
  <si>
    <t>≤25%</t>
  </si>
  <si>
    <t>70年</t>
  </si>
  <si>
    <t>≤2.0</t>
  </si>
  <si>
    <t>住宅</t>
    <phoneticPr fontId="26" type="noConversion"/>
  </si>
  <si>
    <t>楼面地价</t>
  </si>
  <si>
    <t>平层住宅</t>
  </si>
  <si>
    <t>合计</t>
    <phoneticPr fontId="3" type="noConversion"/>
  </si>
  <si>
    <t>多层</t>
  </si>
  <si>
    <t>小高层</t>
  </si>
  <si>
    <t>金色年华</t>
    <phoneticPr fontId="3" type="noConversion"/>
  </si>
  <si>
    <t>60-70（含）</t>
  </si>
  <si>
    <t>住宅</t>
    <phoneticPr fontId="21" type="noConversion"/>
  </si>
  <si>
    <t>毛坯</t>
  </si>
  <si>
    <t>已全部缴纳</t>
  </si>
  <si>
    <t>正常</t>
  </si>
  <si>
    <t>非个人房产</t>
  </si>
  <si>
    <t>融创东城首府</t>
    <phoneticPr fontId="3" type="noConversion"/>
  </si>
  <si>
    <t>天奕国际广场</t>
    <phoneticPr fontId="3" type="noConversion"/>
  </si>
  <si>
    <t>70</t>
    <phoneticPr fontId="26" type="noConversion"/>
  </si>
  <si>
    <t>中铭新达城</t>
    <phoneticPr fontId="3" type="noConversion"/>
  </si>
  <si>
    <t>估价对象周边道路状况、公共交通通达情况：有071、003、030、36等多路公交车，停车便捷程度，综合评价交通便捷度较好</t>
    <phoneticPr fontId="3" type="noConversion"/>
  </si>
  <si>
    <t>估价对象所在区域公共配套设施齐备情况较好：中山市实验中学</t>
    <phoneticPr fontId="3" type="noConversion"/>
  </si>
  <si>
    <t>估价对象周边居住用地比例高、居住小区规模和社区发展完善程度较好，周边有尚城、聚豪园等多个住宅项目，综合评价居住社区成熟度较好</t>
    <phoneticPr fontId="3" type="noConversion"/>
  </si>
  <si>
    <t>估价对象周边商业氛围较成熟，人流量较一般，有丽港城商业广场，商业繁华度一般</t>
    <phoneticPr fontId="3" type="noConversion"/>
  </si>
  <si>
    <t>周边2公里区域自然环境：；人文环境：；综合评价环境状况较好</t>
    <phoneticPr fontId="3"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</si>
  <si>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未命名道路</t>
    </r>
    <phoneticPr fontId="21" type="noConversion"/>
  </si>
  <si>
    <t>支</t>
  </si>
  <si>
    <t>未命名道路</t>
    <phoneticPr fontId="26" type="noConversion"/>
  </si>
  <si>
    <t>张家边公园、中山火炬职业技术学院</t>
    <phoneticPr fontId="233" type="noConversion"/>
  </si>
  <si>
    <t>中港花园、幸福天禧</t>
    <phoneticPr fontId="233" type="noConversion"/>
  </si>
  <si>
    <t>御豪花园、濠东花园、水木年华花园</t>
    <phoneticPr fontId="233" type="noConversion"/>
  </si>
  <si>
    <t>紫马岭公园、中山职业技术学院</t>
    <phoneticPr fontId="233" type="noConversion"/>
  </si>
  <si>
    <t>幸福天禧、龙城花园</t>
    <phoneticPr fontId="233" type="noConversion"/>
  </si>
  <si>
    <r>
      <t>208</t>
    </r>
    <r>
      <rPr>
        <sz val="11"/>
        <rFont val="宋体"/>
        <family val="3"/>
        <charset val="134"/>
      </rPr>
      <t>、</t>
    </r>
    <r>
      <rPr>
        <sz val="11"/>
        <rFont val="Arial"/>
        <family val="2"/>
      </rPr>
      <t>023</t>
    </r>
    <r>
      <rPr>
        <sz val="11"/>
        <rFont val="宋体"/>
        <family val="3"/>
        <charset val="134"/>
      </rPr>
      <t>、</t>
    </r>
    <r>
      <rPr>
        <sz val="11"/>
        <rFont val="Arial"/>
        <family val="2"/>
      </rPr>
      <t>007</t>
    </r>
    <r>
      <rPr>
        <sz val="11"/>
        <rFont val="宋体"/>
        <family val="3"/>
        <charset val="134"/>
      </rPr>
      <t>、</t>
    </r>
    <r>
      <rPr>
        <sz val="11"/>
        <rFont val="Arial"/>
        <family val="2"/>
      </rPr>
      <t>006</t>
    </r>
    <phoneticPr fontId="233" type="noConversion"/>
  </si>
  <si>
    <t>较好</t>
    <phoneticPr fontId="233" type="noConversion"/>
  </si>
  <si>
    <r>
      <t>033</t>
    </r>
    <r>
      <rPr>
        <sz val="11"/>
        <rFont val="宋体"/>
        <family val="3"/>
        <charset val="134"/>
      </rPr>
      <t>、</t>
    </r>
    <r>
      <rPr>
        <sz val="11"/>
        <rFont val="Arial"/>
        <family val="2"/>
      </rPr>
      <t>046</t>
    </r>
    <r>
      <rPr>
        <sz val="11"/>
        <rFont val="宋体"/>
        <family val="3"/>
        <charset val="134"/>
      </rPr>
      <t/>
    </r>
    <phoneticPr fontId="233" type="noConversion"/>
  </si>
  <si>
    <r>
      <t>209</t>
    </r>
    <r>
      <rPr>
        <sz val="11"/>
        <rFont val="宋体"/>
        <family val="3"/>
        <charset val="134"/>
      </rPr>
      <t>、</t>
    </r>
    <r>
      <rPr>
        <sz val="11"/>
        <rFont val="Arial"/>
        <family val="2"/>
      </rPr>
      <t>046</t>
    </r>
    <r>
      <rPr>
        <sz val="11"/>
        <rFont val="Arial"/>
        <family val="2"/>
      </rPr>
      <t/>
    </r>
    <phoneticPr fontId="233" type="noConversion"/>
  </si>
  <si>
    <t>湖北省</t>
    <phoneticPr fontId="6" type="noConversion"/>
  </si>
  <si>
    <t>地面单价</t>
    <phoneticPr fontId="3" type="noConversion"/>
  </si>
  <si>
    <t>鄂州市古楼街道办事处滨湖桥转盘西侧</t>
  </si>
  <si>
    <t>鄂州市</t>
  </si>
  <si>
    <t>鄂城区</t>
  </si>
  <si>
    <t>G[2018]031</t>
  </si>
  <si>
    <t>其他普通商品住房用地</t>
  </si>
  <si>
    <t>＞1,≤2.63</t>
  </si>
  <si>
    <t>2018-07-31</t>
  </si>
  <si>
    <t>2018-08-20</t>
  </si>
  <si>
    <t>2018-08-29</t>
  </si>
  <si>
    <t>鄂[2018]018号-2</t>
  </si>
  <si>
    <t>湖北新福源房地产开发有限公司</t>
  </si>
  <si>
    <t>花湖开发区滨港西路以北</t>
  </si>
  <si>
    <t>G[2018]024</t>
  </si>
  <si>
    <t>≥1,≤3.8</t>
  </si>
  <si>
    <t>2018-05-30</t>
  </si>
  <si>
    <t>2018-06-19</t>
  </si>
  <si>
    <t>2018-06-28</t>
  </si>
  <si>
    <t>鄂[2018]012号</t>
  </si>
  <si>
    <t>鄂州仁鹏置业发展有限公司</t>
  </si>
  <si>
    <t>239省道北侧、杜山镇旭东村一组</t>
  </si>
  <si>
    <t>拍卖</t>
  </si>
  <si>
    <t>P[2018]008</t>
  </si>
  <si>
    <t>＞1,≤1.4</t>
  </si>
  <si>
    <t>2018-05-31</t>
  </si>
  <si>
    <t>2018-06-21</t>
  </si>
  <si>
    <t>鄂[2018]013号</t>
  </si>
  <si>
    <t>湖北李太婆农业发展有限公司</t>
  </si>
  <si>
    <t>迎宾大道东侧、葛山大道北侧</t>
  </si>
  <si>
    <t>P[2018]007</t>
  </si>
  <si>
    <t>≥1,≤2.72</t>
  </si>
  <si>
    <t>2018-05-24</t>
  </si>
  <si>
    <t>2018-06-12</t>
  </si>
  <si>
    <t>鄂[2018]010号-2</t>
  </si>
  <si>
    <t>湖北宏维置业有限公司</t>
  </si>
  <si>
    <t>迎宾大道西侧孟家畈</t>
  </si>
  <si>
    <t>P[2018]006</t>
  </si>
  <si>
    <t>≥1,≤2.73</t>
  </si>
  <si>
    <t>鄂[2018]010号-1</t>
  </si>
  <si>
    <t>湖北中梁地产有限公司</t>
  </si>
  <si>
    <t>创业大道以西</t>
  </si>
  <si>
    <t>P[2018]005</t>
  </si>
  <si>
    <t>≥1,≤4.435</t>
  </si>
  <si>
    <t>≤48%</t>
  </si>
  <si>
    <t>2018-04-20</t>
  </si>
  <si>
    <t>2018-05-10</t>
  </si>
  <si>
    <t>鄂[2018]008号</t>
  </si>
  <si>
    <t>武汉云瑞德置业有限公司</t>
  </si>
  <si>
    <t>鄂州市西山街道办事处小桥村</t>
  </si>
  <si>
    <t>G[2018]021</t>
  </si>
  <si>
    <t>＞1,≤2.5</t>
  </si>
  <si>
    <t>2018-02-14</t>
  </si>
  <si>
    <t>2018-03-06</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</si>
  <si>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</si>
  <si>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</si>
  <si>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</si>
  <si>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</si>
  <si>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</si>
  <si>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</si>
  <si>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</si>
  <si>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</si>
  <si>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</si>
  <si>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</si>
  <si>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</si>
  <si>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2018-01-12</t>
  </si>
  <si>
    <t>2018-02-01</t>
  </si>
  <si>
    <t>2018-02-12</t>
  </si>
  <si>
    <t>鄂[2018]002号</t>
  </si>
  <si>
    <t>鄂州鑫聚置业有限公司</t>
  </si>
  <si>
    <t>鄂州市大桥连接线东、学府路南侧</t>
  </si>
  <si>
    <t>G[2017]066</t>
  </si>
  <si>
    <t>≥1,≤2.8</t>
  </si>
  <si>
    <t>2017-12-25</t>
  </si>
  <si>
    <t>2018-01-03</t>
  </si>
  <si>
    <t>鄂[2017]024号</t>
  </si>
  <si>
    <t>湖北鼎兴置业有限公司</t>
  </si>
  <si>
    <t>鄂州经济开发区杨湖路南侧、樊口路西侧</t>
  </si>
  <si>
    <t>G[2017]052</t>
  </si>
  <si>
    <t>≥1,≤2</t>
  </si>
  <si>
    <t>2017-11-10</t>
  </si>
  <si>
    <t>2017-11-30</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</si>
  <si>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</si>
  <si>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</si>
  <si>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</si>
  <si>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</si>
  <si>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</si>
  <si>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</si>
  <si>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</si>
  <si>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</si>
  <si>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</si>
  <si>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</si>
  <si>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</si>
  <si>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</si>
  <si>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</si>
  <si>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</si>
  <si>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</si>
  <si>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</si>
  <si>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</si>
  <si>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</si>
  <si>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</si>
  <si>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</si>
  <si>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</si>
  <si>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</si>
  <si>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</si>
  <si>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≤35%</t>
  </si>
  <si>
    <t>2017-09-27</t>
  </si>
  <si>
    <t>2017-10-17</t>
  </si>
  <si>
    <t>2017-10-26</t>
  </si>
  <si>
    <t>鄂[2017]015号</t>
  </si>
  <si>
    <t>鄂州开发区兴业一路东侧、得胜路南侧</t>
  </si>
  <si>
    <t>P[2017]002</t>
  </si>
  <si>
    <t>2017-08-23</t>
  </si>
  <si>
    <t>2017-09-12</t>
  </si>
  <si>
    <t>鄂[2017]011号</t>
  </si>
  <si>
    <t>鄂州展耀房地产开发有限公司</t>
  </si>
  <si>
    <t>吴楚大道南侧、燕沙路西侧</t>
  </si>
  <si>
    <t>G[2017]037</t>
  </si>
  <si>
    <t>＞1,≤3</t>
  </si>
  <si>
    <t>≤45%</t>
  </si>
  <si>
    <t>2017-08-14</t>
  </si>
  <si>
    <t>2017-08-31</t>
  </si>
  <si>
    <t>2017-09-11</t>
  </si>
  <si>
    <t>鄂[2017]010号</t>
  </si>
  <si>
    <t>中核湖北鄂城新区联合</t>
  </si>
  <si>
    <t>鄂州市凡川大道</t>
  </si>
  <si>
    <t>G[2017]030</t>
  </si>
  <si>
    <t>商服、住宅用地</t>
  </si>
  <si>
    <t>2017-06-14</t>
  </si>
  <si>
    <t>2017-07-04</t>
  </si>
  <si>
    <t>2017-07-13</t>
  </si>
  <si>
    <t>G[2017]027--030号地块-4</t>
  </si>
  <si>
    <t>湖北龙德置业有限公司</t>
  </si>
  <si>
    <t>40/70年</t>
  </si>
  <si>
    <t>庚亮路南侧,五丈港路以西</t>
  </si>
  <si>
    <t>G[2017]024</t>
  </si>
  <si>
    <t>2017-05-17</t>
  </si>
  <si>
    <t>2017-06-07</t>
  </si>
  <si>
    <t>2017-06-16</t>
  </si>
  <si>
    <t>鄂[2017]006号</t>
  </si>
  <si>
    <t>中核湖北鄂城新区联合投资有限公司</t>
  </si>
  <si>
    <t>鄂城新区沙塘村七组(吴楚大道北侧、五丈港路东侧)</t>
  </si>
  <si>
    <t>G[2017]015</t>
  </si>
  <si>
    <t>2017-03-17</t>
  </si>
  <si>
    <t>2017-04-06</t>
  </si>
  <si>
    <t>2017-04-17</t>
  </si>
  <si>
    <t>鄂[2017]003号-3</t>
  </si>
  <si>
    <t>寿昌大道南、吴都春天南侧</t>
  </si>
  <si>
    <t>G[2016]084</t>
  </si>
  <si>
    <t>≥1且≤3.3</t>
  </si>
  <si>
    <t>≤26</t>
  </si>
  <si>
    <t>2016-11-16</t>
  </si>
  <si>
    <t>2016-12-06</t>
  </si>
  <si>
    <t>2016-12-15</t>
  </si>
  <si>
    <t>鄂[2016]035号-3</t>
  </si>
  <si>
    <t>鄂州鑫源伟业房地产开发有限公司</t>
  </si>
  <si>
    <t>鄂州市武昌大道以北、鄂黄大桥以西</t>
  </si>
  <si>
    <t>G[2016]080</t>
  </si>
  <si>
    <t>＞1且≤3.3</t>
  </si>
  <si>
    <t>≤25</t>
  </si>
  <si>
    <t>2016-08-15</t>
  </si>
  <si>
    <t>2016-08-31</t>
  </si>
  <si>
    <t>2016-09-09</t>
  </si>
  <si>
    <t>鄂[2016]032号</t>
  </si>
  <si>
    <t>鄂州市水务集团有限公司</t>
  </si>
  <si>
    <t>电商大道以北</t>
  </si>
  <si>
    <t>G[2016]079</t>
  </si>
  <si>
    <t>＞1且≤1.3</t>
  </si>
  <si>
    <t>≤40</t>
  </si>
  <si>
    <t>2016-08-10</t>
  </si>
  <si>
    <t>2016-08-25</t>
  </si>
  <si>
    <t>2016-09-05</t>
  </si>
  <si>
    <t>鄂[2016]031号</t>
  </si>
  <si>
    <t>长江职业学院</t>
  </si>
  <si>
    <t>鄂州经济开发区滨港中路东侧、创业大道北侧</t>
  </si>
  <si>
    <t>G[2016]076</t>
  </si>
  <si>
    <t>＞1且≤3.1</t>
  </si>
  <si>
    <t>2016-08-01</t>
  </si>
  <si>
    <t>2016-08-18</t>
  </si>
  <si>
    <t>2016-08-29</t>
  </si>
  <si>
    <t>鄂[2016]030号-3</t>
  </si>
  <si>
    <t>鄂州市经济开发区城市建设投资有限公司</t>
  </si>
  <si>
    <t>G[2016]078</t>
  </si>
  <si>
    <t>鄂[2016]030号-5</t>
  </si>
  <si>
    <t>G[2016]077</t>
  </si>
  <si>
    <t>鄂[2016]030号-4</t>
  </si>
  <si>
    <t>鄂州市明塘路南侧原市委大院</t>
  </si>
  <si>
    <t>P[2016]011</t>
  </si>
  <si>
    <t>＞1且≤2.5</t>
  </si>
  <si>
    <t>≤20</t>
  </si>
  <si>
    <t>2016-07-21</t>
  </si>
  <si>
    <t>2016-08-19</t>
  </si>
  <si>
    <t>鄂[2016]029号</t>
  </si>
  <si>
    <t>鄂州市西昌房地产有限责任公司</t>
  </si>
  <si>
    <t>卧虎路东侧</t>
  </si>
  <si>
    <t>G[2016]070</t>
  </si>
  <si>
    <t>≤28%</t>
  </si>
  <si>
    <t>2016-06-16</t>
  </si>
  <si>
    <t>2016-07-06</t>
  </si>
  <si>
    <t>2016-07-15</t>
  </si>
  <si>
    <t>鄂[2016]027号-1</t>
  </si>
  <si>
    <t>湖北万昆置业有限公司</t>
  </si>
  <si>
    <t>菜园头村</t>
  </si>
  <si>
    <t>G[2016]068</t>
  </si>
  <si>
    <t>＞1且≤3</t>
  </si>
  <si>
    <t>≤35</t>
  </si>
  <si>
    <t>2016-06-12</t>
  </si>
  <si>
    <t>2016-06-28</t>
  </si>
  <si>
    <t>2016-07-07</t>
  </si>
  <si>
    <t>鄂[2016]026号-1</t>
  </si>
  <si>
    <t>鄂州大阳房地产开发有限公司</t>
  </si>
  <si>
    <t>G[2016]069</t>
  </si>
  <si>
    <t>鄂[2016]026号-2</t>
  </si>
  <si>
    <t>花湖开发区华山村</t>
  </si>
  <si>
    <t>G[2016]064</t>
  </si>
  <si>
    <t>＞1且≤2.7</t>
  </si>
  <si>
    <t>2016-05-27</t>
  </si>
  <si>
    <t>2016-06-09</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</si>
  <si>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</si>
  <si>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</si>
  <si>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</si>
  <si>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</si>
  <si>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</si>
  <si>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</si>
  <si>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</si>
  <si>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</si>
  <si>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</si>
  <si>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</si>
  <si>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</si>
  <si>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</si>
  <si>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</si>
  <si>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</si>
  <si>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</si>
  <si>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2016-05-18</t>
  </si>
  <si>
    <t>2016-06-06</t>
  </si>
  <si>
    <t>2016-06-15</t>
  </si>
  <si>
    <t>鄂[2016]023号-2</t>
  </si>
  <si>
    <t>滨湖南路北侧</t>
  </si>
  <si>
    <t>G[2016]057</t>
  </si>
  <si>
    <t>大于1并且小于或等于2.85</t>
  </si>
  <si>
    <t>小于或等于22</t>
  </si>
  <si>
    <t>2016-05-11</t>
  </si>
  <si>
    <t>2016-05-19</t>
  </si>
  <si>
    <t>2016-05-30</t>
  </si>
  <si>
    <t>鄂[2016]019号</t>
  </si>
  <si>
    <t>鄂州市城建设投资有限公司</t>
  </si>
  <si>
    <t>菜园头五组</t>
  </si>
  <si>
    <t>G(2016)017</t>
  </si>
  <si>
    <t>＞1,≤6.04</t>
  </si>
  <si>
    <t>≤36%</t>
  </si>
  <si>
    <t>2016-03-03</t>
  </si>
  <si>
    <t>2016-03-13</t>
  </si>
  <si>
    <t>2016-03-22</t>
  </si>
  <si>
    <t>鄂G[2016]010号-1</t>
  </si>
  <si>
    <t>鄂州市金典房地产开发有限公司</t>
  </si>
  <si>
    <t>鄂州市滨湖南路北侧,文苑路西侧</t>
  </si>
  <si>
    <t>G[2016]005</t>
  </si>
  <si>
    <t>＞1且≤3.38</t>
  </si>
  <si>
    <t>2015-12-30</t>
  </si>
  <si>
    <t>2016-01-13</t>
  </si>
  <si>
    <t>2016-02-22</t>
  </si>
  <si>
    <t>鄂[2016]002号-2</t>
  </si>
  <si>
    <t>湖北建勋置业有限公司</t>
  </si>
  <si>
    <t>鄂州市武昌大道北侧原菜园头村编织袋厂</t>
  </si>
  <si>
    <t>G[2016]004</t>
  </si>
  <si>
    <t>＞1且≤5.13</t>
  </si>
  <si>
    <t>≤37</t>
  </si>
  <si>
    <t>鄂[2016]002号-1</t>
  </si>
  <si>
    <t>湖北恭庆置业有限公司</t>
  </si>
  <si>
    <t>文星大道南侧、市总工会东侧百子畈7组</t>
  </si>
  <si>
    <t>G[2015]090</t>
  </si>
  <si>
    <t>＞1,≤4.5</t>
  </si>
  <si>
    <t>≤45</t>
  </si>
  <si>
    <t>2015-10-09</t>
  </si>
  <si>
    <t>2015-10-29</t>
  </si>
  <si>
    <t>2015-11-09</t>
  </si>
  <si>
    <t>鄂[2015]025号-3</t>
  </si>
  <si>
    <t>鄂州市坤华房地产开发有限公司</t>
  </si>
  <si>
    <t>寒溪路</t>
  </si>
  <si>
    <t>G[2015]085</t>
  </si>
  <si>
    <t>＞1,≤5.85</t>
  </si>
  <si>
    <t>2015-09-30</t>
  </si>
  <si>
    <t>2015-10-20</t>
  </si>
  <si>
    <t>鄂[2015]23号-1</t>
  </si>
  <si>
    <t>武汉钢铁集团鄂城钢铁有限责任公司</t>
  </si>
  <si>
    <t>G[2015]086</t>
  </si>
  <si>
    <t>＞1,≤1.88</t>
  </si>
  <si>
    <t>鄂[2015]23号-2</t>
  </si>
  <si>
    <t>滨湖南路以北、市劳动就业局北侧</t>
  </si>
  <si>
    <t>G[2015]084</t>
  </si>
  <si>
    <t>＞1,≤2.3</t>
  </si>
  <si>
    <t>≤30</t>
  </si>
  <si>
    <t>2015-09-16</t>
  </si>
  <si>
    <t>2015-10-06</t>
  </si>
  <si>
    <t>2015-10-15</t>
  </si>
  <si>
    <t>鄂[2015]022号-2</t>
  </si>
  <si>
    <t>鄂州市巨都房地产开发有限公司</t>
  </si>
  <si>
    <t>长港镇汽李线以北</t>
  </si>
  <si>
    <t>G[2015]009</t>
  </si>
  <si>
    <t>大于1并且小于或等于3.87</t>
  </si>
  <si>
    <t>小于或等于35%</t>
  </si>
  <si>
    <t>2015-02-17</t>
  </si>
  <si>
    <t>2015-03-08</t>
  </si>
  <si>
    <t>2015-03-17</t>
  </si>
  <si>
    <t>鄂[2015]03号-1</t>
  </si>
  <si>
    <t>鄂州市嘉禾交通发展有限公司</t>
  </si>
  <si>
    <t>花湖开发区花湖大道以东、北京西路以北</t>
  </si>
  <si>
    <t>P[2014]027</t>
  </si>
  <si>
    <t>大于1并且小于或等于2.78</t>
  </si>
  <si>
    <t>小于或等于30%</t>
  </si>
  <si>
    <t>2014-12-04</t>
  </si>
  <si>
    <t>2014-12-24</t>
  </si>
  <si>
    <t>鄂[2014]29号-1</t>
  </si>
  <si>
    <t>湖北华顺置业有限公司</t>
  </si>
  <si>
    <t>花湖开发区花湖大道东侧</t>
  </si>
  <si>
    <t>WG(2014)001号</t>
  </si>
  <si>
    <t>大于1并且小于或等于3.6</t>
  </si>
  <si>
    <t>小于或等于25%</t>
  </si>
  <si>
    <t>2014-10-01</t>
  </si>
  <si>
    <t>2014-10-13</t>
  </si>
  <si>
    <t>2014-10-22</t>
  </si>
  <si>
    <t>鄂[2014]24号</t>
  </si>
  <si>
    <t>湖北嘉木房地产开发有限公司</t>
  </si>
  <si>
    <t>西山坡</t>
  </si>
  <si>
    <t>G[2014]125</t>
  </si>
  <si>
    <t>等于1.01</t>
  </si>
  <si>
    <t>2014-09-05</t>
  </si>
  <si>
    <t>2014-09-26</t>
  </si>
  <si>
    <t>2014-10-09</t>
  </si>
  <si>
    <t>鄂[2014]22号-15</t>
  </si>
  <si>
    <t>鄂州市昌达资产经营有限公司</t>
  </si>
  <si>
    <t>花湖开发区</t>
    <phoneticPr fontId="3" type="noConversion"/>
  </si>
  <si>
    <r>
      <rPr>
        <sz val="10"/>
        <rFont val="宋体"/>
        <family val="3"/>
        <charset val="134"/>
      </rPr>
      <t>武汉</t>
    </r>
  </si>
  <si>
    <t>1160</t>
  </si>
  <si>
    <t>1510</t>
  </si>
  <si>
    <t>1712</t>
  </si>
  <si>
    <t>1-81</t>
    <phoneticPr fontId="3" type="noConversion"/>
  </si>
  <si>
    <t>1-82</t>
    <phoneticPr fontId="3" type="noConversion"/>
  </si>
  <si>
    <t>洋房</t>
  </si>
  <si>
    <t>洋房</t>
    <phoneticPr fontId="7" type="noConversion"/>
  </si>
  <si>
    <t>高层住宅</t>
  </si>
  <si>
    <t>高层住宅</t>
    <phoneticPr fontId="7" type="noConversion"/>
  </si>
  <si>
    <t>商业</t>
    <phoneticPr fontId="7" type="noConversion"/>
  </si>
  <si>
    <t>不动产收益法底</t>
  </si>
  <si>
    <t>鄂州市花湖开发区杨叶大道与胄山大道交叉口西侧</t>
    <phoneticPr fontId="6" type="noConversion"/>
  </si>
  <si>
    <t>湖北航宇置业发展有限公司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</si>
</sst>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alignment wrapText="1"/>
    </xf>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80"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0" fontId="0" fillId="0" borderId="0" xfId="0" applyFill="1">
      <alignment vertical="center"/>
    </xf>
    <xf numFmtId="0" fontId="81" fillId="0" borderId="2" xfId="0" applyFont="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44" fillId="2" borderId="24" xfId="0" applyNumberFormat="1" applyFont="1" applyFill="1" applyBorder="1" applyAlignment="1" applyProtection="1">
      <alignment horizontal="center" vertical="center" wrapText="1"/>
      <protection locked="0"/>
    </xf>
    <xf numFmtId="0" fontId="127" fillId="0" borderId="0" xfId="0" applyFont="1" applyAlignment="1"/>
    <xf numFmtId="0" fontId="0" fillId="0" borderId="0" xfId="0" applyFill="1" applyAlignment="1"/>
    <xf numFmtId="0" fontId="86" fillId="0" borderId="2" xfId="15" applyBorder="1" applyAlignment="1">
      <alignment horizontal="center" vertical="center" wrapText="1"/>
    </xf>
    <xf numFmtId="0" fontId="82" fillId="0" borderId="2" xfId="15" applyFont="1" applyFill="1" applyBorder="1" applyAlignment="1">
      <alignment horizontal="center" vertical="top" wrapText="1"/>
    </xf>
    <xf numFmtId="0" fontId="134" fillId="0" borderId="2" xfId="15" applyFont="1" applyFill="1" applyBorder="1" applyAlignment="1">
      <alignment horizontal="center" vertical="top" wrapText="1"/>
    </xf>
    <xf numFmtId="0" fontId="134" fillId="0" borderId="2" xfId="15"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01" fillId="0" borderId="5" xfId="0" applyFont="1" applyFill="1" applyBorder="1" applyAlignment="1">
      <alignment horizontal="center" vertical="center"/>
    </xf>
    <xf numFmtId="0" fontId="201" fillId="0" borderId="9" xfId="0" applyFont="1" applyFill="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2303;&#22320;--&#37122;&#24030;/&#32463;&#27982;&#25216;&#26415;&#25351;&#26631;AB&#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8/187&#20137;&#26410;&#22686;&#23481;&#37096;&#20998;&#22303;&#22320;&#35777;/&#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6">
          <cell r="F6">
            <v>13301.36</v>
          </cell>
          <cell r="M6">
            <v>1903.6</v>
          </cell>
        </row>
        <row r="7">
          <cell r="F7">
            <v>153338.31</v>
          </cell>
          <cell r="M7">
            <v>207815.4</v>
          </cell>
        </row>
        <row r="8">
          <cell r="F8">
            <v>7730.21</v>
          </cell>
          <cell r="M8">
            <v>4676.8100000000004</v>
          </cell>
        </row>
        <row r="9">
          <cell r="F9">
            <v>798.63</v>
          </cell>
          <cell r="M9">
            <v>3684.81</v>
          </cell>
        </row>
        <row r="10">
          <cell r="F10">
            <v>21123.56</v>
          </cell>
          <cell r="M10">
            <v>15210.02</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2655</v>
      </c>
      <c r="B1" s="2912" t="s">
        <v>2752</v>
      </c>
    </row>
    <row r="2" spans="1:55" s="2916" customFormat="1" ht="16.2" thickTop="1">
      <c r="A2" s="2914" t="s">
        <v>2659</v>
      </c>
      <c r="B2" s="2915" t="str">
        <f>'预评函-封皮'!B37</f>
        <v>湖北省鄂州市花湖开发区杨叶大道与胄山大道交叉口西侧出让国有建设用地使用权抵押价格预评估</v>
      </c>
      <c r="AX2" s="2917"/>
      <c r="AZ2" s="2917"/>
      <c r="BA2" s="2918"/>
      <c r="BC2" s="2918"/>
    </row>
    <row r="3" spans="1:55" s="2919" customFormat="1">
      <c r="A3" s="2898" t="s">
        <v>2660</v>
      </c>
      <c r="B3" s="2901" t="str">
        <f>'预评函-封皮'!B40</f>
        <v>湖北航宇置业发展有限公司</v>
      </c>
    </row>
    <row r="4" spans="1:55" s="2900" customFormat="1">
      <c r="A4" s="2898" t="s">
        <v>2661</v>
      </c>
      <c r="B4" s="2899" t="str">
        <f>'预评函-封皮'!B46</f>
        <v>崔锴、赵雯</v>
      </c>
      <c r="N4" s="2900" t="str">
        <f>'预评函-1'!A28</f>
        <v/>
      </c>
    </row>
    <row r="5" spans="1:55" s="2913" customFormat="1" ht="16.2" thickBot="1">
      <c r="A5" s="2920" t="s">
        <v>2662</v>
      </c>
      <c r="B5" s="2921" t="str">
        <f>'预评函-封皮'!B49</f>
        <v>康正预评字号</v>
      </c>
    </row>
    <row r="6" spans="1:55" s="2922" customFormat="1" ht="16.2" thickTop="1">
      <c r="A6" s="2914" t="s">
        <v>2704</v>
      </c>
      <c r="B6" s="2915" t="str">
        <f>'预评函-1'!A4</f>
        <v>受贵公司委托，我公司对湖北省鄂州市花湖开发区杨叶大道与胄山大道交叉口西侧出让国有建设用地使用权抵押价格进行了预评估。</v>
      </c>
      <c r="AM6" s="2923"/>
    </row>
    <row r="7" spans="1:55" s="2897" customFormat="1">
      <c r="A7" s="2898" t="s">
        <v>2656</v>
      </c>
      <c r="B7" s="2899" t="str">
        <f>'预评函-1'!A6</f>
        <v>估价对象为湖北航宇置业发展有限公司使用的、位于湖北省鄂州市花湖开发区杨叶大道与胄山大道交叉口西侧出让国有建设用地使用权。根据《国有土地使用证》[]，估价对象（分摊）出让国有建设用地使用权面积为148860.3平方米。根据《建设工程规划许可证》[]、《出让合同》[]，估价对象规划建筑面积为429582.71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2658</v>
      </c>
      <c r="B10" s="2899" t="str">
        <f>'预评函-1'!A11</f>
        <v>2018年9月10日（评估专业人员勘察现场之日）</v>
      </c>
    </row>
    <row r="11" spans="1:55" s="2897" customFormat="1">
      <c r="A11" s="2898" t="s">
        <v>2664</v>
      </c>
      <c r="B11" s="2899" t="str">
        <f>'预评函-1'!A14</f>
        <v>根据《国有土地使用证》[]，本次评估估价对象证载（地类）用途为。</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2667</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2663</v>
      </c>
      <c r="B15" s="2899" t="str">
        <f>'预评函-1'!A20</f>
        <v>根据《国有土地使用证》[]，估价对象（分摊）出让国有建设用地使用权面积为148860.3平方米。根据《建设工程规划许可证》[]、《出让合同》[]，估价对象规划建筑面积为429582.71平方米。</v>
      </c>
    </row>
    <row r="16" spans="1:55" s="2897" customFormat="1">
      <c r="A16" s="2898" t="s">
        <v>2668</v>
      </c>
      <c r="B16" s="2899" t="str">
        <f>'预评函-1'!A22</f>
        <v>本次估价对象为出让国有建设用地使用权，《国有土地使用证》[]证载土地终止日期为住宅2082年6月26日、商业2052年6月26日、办公2052年6月26日。截至估价期日，出让国有建设用地使用权剩余土地使用年限为。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2018年9月10日，在规划利用条件下、设定土地开发程度为红线外“七通”、宗地内场地平整，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6.2" thickBot="1">
      <c r="A21" s="2920" t="s">
        <v>2673</v>
      </c>
      <c r="B21" s="2921" t="str">
        <f>'预评函-1'!A28</f>
        <v/>
      </c>
    </row>
    <row r="22" spans="1:48" ht="16.2"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估价期日：2018年9月10日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f>'预评函-2'!E5</f>
        <v>0</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红线外七通、宗地红线内宗地内已开工建设</v>
      </c>
    </row>
    <row r="39" spans="1:2">
      <c r="A39" s="2898" t="s">
        <v>2718</v>
      </c>
      <c r="B39" s="2899" t="str">
        <f>'预评函-2'!L5</f>
        <v>红线外七通、宗地红线内场地平整</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148860.29999999999</v>
      </c>
    </row>
    <row r="44" spans="1:2">
      <c r="A44" s="2898" t="s">
        <v>2739</v>
      </c>
      <c r="B44" s="2899" t="str">
        <f>'预评函-2'!O3</f>
        <v>规划建筑面积/㎡</v>
      </c>
    </row>
    <row r="45" spans="1:2">
      <c r="A45" s="2898" t="s">
        <v>2721</v>
      </c>
      <c r="B45" s="2899">
        <f>'预评函-2'!O5</f>
        <v>429582.71</v>
      </c>
    </row>
    <row r="46" spans="1:2">
      <c r="A46" s="2898" t="s">
        <v>2722</v>
      </c>
      <c r="B46" s="2899">
        <f ca="1">'预评函-2'!P5</f>
        <v>1524</v>
      </c>
    </row>
    <row r="47" spans="1:2">
      <c r="A47" s="2898" t="s">
        <v>2723</v>
      </c>
      <c r="B47" s="2899">
        <f ca="1">'预评函-2'!Q5</f>
        <v>528</v>
      </c>
    </row>
    <row r="48" spans="1:2">
      <c r="A48" s="2898" t="s">
        <v>2724</v>
      </c>
      <c r="B48" s="2899">
        <f ca="1">'预评函-2'!R5</f>
        <v>22680</v>
      </c>
    </row>
    <row r="49" spans="1:2">
      <c r="A49" s="2898" t="s">
        <v>2740</v>
      </c>
      <c r="B49" s="2899" t="str">
        <f>'预评函-2'!A6</f>
        <v>抵押价格</v>
      </c>
    </row>
    <row r="50" spans="1:2">
      <c r="A50" s="2898" t="s">
        <v>2725</v>
      </c>
      <c r="B50" s="2899">
        <f ca="1">'预评函-2'!R6</f>
        <v>22680</v>
      </c>
    </row>
    <row r="51" spans="1:2">
      <c r="A51" s="2898" t="s">
        <v>2741</v>
      </c>
      <c r="B51" s="2899" t="str">
        <f>'预评函-2'!A7</f>
        <v>——</v>
      </c>
    </row>
    <row r="52" spans="1:2">
      <c r="A52" s="2898" t="s">
        <v>2726</v>
      </c>
      <c r="B52" s="2899" t="str">
        <f>'预评函-2'!R7</f>
        <v>——</v>
      </c>
    </row>
    <row r="53" spans="1:2">
      <c r="A53" s="2898" t="s">
        <v>2742</v>
      </c>
      <c r="B53" s="2899" t="str">
        <f>'预评函-2'!A8</f>
        <v>——</v>
      </c>
    </row>
    <row r="54" spans="1:2" s="2913" customFormat="1" ht="16.2" thickBot="1">
      <c r="A54" s="2920" t="s">
        <v>2727</v>
      </c>
      <c r="B54" s="2921" t="str">
        <f>'预评函-2'!R8</f>
        <v>——</v>
      </c>
    </row>
    <row r="55" spans="1:2" ht="16.2" thickTop="1">
      <c r="A55" s="2909" t="s">
        <v>2677</v>
      </c>
      <c r="B55" s="2910" t="str">
        <f>'预评函-3'!A2</f>
        <v>1.权利限制：根据估价对象《不动产权证书》原件、《国有土地使用权》复印件，截至估价期日，估价对象抵押权未见登记。未设定租赁等其他他项权利。</v>
      </c>
    </row>
    <row r="56" spans="1:2">
      <c r="A56" s="2898" t="s">
        <v>2678</v>
      </c>
      <c r="B56" s="2899" t="str">
        <f>'预评函-3'!A3</f>
        <v>2.基础设施条件：估价对象实际开发程度为红线外七通、宗地红线内宗地内已开工建设；本次评估设定开发程度为红线外七通、宗地红线内场地平整。</v>
      </c>
    </row>
    <row r="57" spans="1:2">
      <c r="A57" s="2898" t="s">
        <v>2679</v>
      </c>
      <c r="B57" s="2899" t="str">
        <f>'预评函-3'!A4</f>
        <v>3.估价规划限制条件：详见《建设工程规划许可证》[]、《出让合同》[]。</v>
      </c>
    </row>
    <row r="58" spans="1:2" s="2913" customFormat="1" ht="16.2" thickBot="1">
      <c r="A58" s="2920" t="s">
        <v>2728</v>
      </c>
      <c r="B58" s="2921" t="str">
        <f>'预评函-3'!A5</f>
        <v>4.影响价格的其他限定条件：无。</v>
      </c>
    </row>
    <row r="59" spans="1:2" ht="16.2"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（1）根据估价对象《不动产权证书》原件、《国有土地使用权》复印件，截至估价期日，估价对象抵押权未见登记。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2691</v>
      </c>
      <c r="B68" s="2924">
        <f>'预评函-3'!D30</f>
        <v>42558</v>
      </c>
    </row>
    <row r="69" spans="1:2" ht="16.2" thickTop="1">
      <c r="A69" s="2909" t="s">
        <v>2689</v>
      </c>
      <c r="B69" s="2910" t="str">
        <f>'预评函-3'!A20</f>
        <v>崔锴</v>
      </c>
    </row>
    <row r="70" spans="1:2">
      <c r="A70" s="2898" t="s">
        <v>2689</v>
      </c>
      <c r="B70" s="2905">
        <f ca="1">'预评函-3'!B20</f>
        <v>2010110070</v>
      </c>
    </row>
    <row r="71" spans="1:2">
      <c r="A71" s="2898" t="s">
        <v>2690</v>
      </c>
      <c r="B71" s="2899" t="str">
        <f>'预评函-3'!A21</f>
        <v>赵雯</v>
      </c>
    </row>
    <row r="72" spans="1:2" s="2913" customFormat="1" ht="16.2" thickBot="1">
      <c r="A72" s="2920" t="s">
        <v>2690</v>
      </c>
      <c r="B72" s="2926">
        <f ca="1">'预评函-3'!B21</f>
        <v>2011110090</v>
      </c>
    </row>
    <row r="73" spans="1:2" ht="16.2"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2786</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topLeftCell="A34" workbookViewId="0">
      <selection activeCell="C59" sqref="C59"/>
    </sheetView>
  </sheetViews>
  <sheetFormatPr defaultRowHeight="14.4"/>
  <cols>
    <col min="1" max="1" width="44.21875" style="2960" customWidth="1"/>
    <col min="2" max="2" width="7.109375" style="2960" customWidth="1"/>
    <col min="3" max="3" width="15.88671875" style="2960" customWidth="1"/>
    <col min="4" max="4" width="7.109375" style="2960" customWidth="1"/>
    <col min="5" max="5" width="5.21875" style="2960" customWidth="1"/>
    <col min="6" max="6" width="44.21875" style="2960" customWidth="1"/>
    <col min="7" max="7" width="9" style="2960" customWidth="1"/>
    <col min="8" max="8" width="14.109375" style="2960" customWidth="1"/>
    <col min="9" max="9" width="20.33203125" style="2960" customWidth="1"/>
    <col min="10" max="11" width="15.88671875" style="2960" customWidth="1"/>
    <col min="12" max="12" width="22.77734375" style="2960" customWidth="1"/>
    <col min="13" max="13" width="9" style="2960" customWidth="1"/>
    <col min="14" max="14" width="14.33203125" style="2960" customWidth="1"/>
    <col min="15" max="15" width="9" style="2960" customWidth="1"/>
    <col min="16" max="16" width="11" style="2960" customWidth="1"/>
    <col min="17" max="18" width="17.77734375" style="2960" customWidth="1"/>
    <col min="19" max="19" width="14.77734375" style="2960" customWidth="1"/>
    <col min="20" max="21" width="12.88671875" style="2960" customWidth="1"/>
    <col min="22" max="22" width="20.33203125" style="2960" customWidth="1"/>
    <col min="23" max="23" width="9" style="2960" customWidth="1"/>
    <col min="24" max="27" width="10.21875" style="2960" customWidth="1"/>
    <col min="28" max="28" width="21.6640625" style="2960" customWidth="1"/>
    <col min="29" max="29" width="9" style="2960" customWidth="1"/>
    <col min="30" max="30" width="35.44140625" style="2960" customWidth="1"/>
    <col min="31" max="33" width="12.109375" style="2960" customWidth="1"/>
    <col min="34" max="35" width="18.21875" style="2960" customWidth="1"/>
    <col min="36" max="37" width="16.33203125" style="2960" customWidth="1"/>
    <col min="38" max="39" width="25" style="2960" customWidth="1"/>
    <col min="40" max="40" width="7.109375" style="2960" customWidth="1"/>
    <col min="41" max="41" width="9" style="2960" customWidth="1"/>
    <col min="42" max="42" width="19.21875" style="2960" hidden="1" customWidth="1"/>
    <col min="43" max="44" width="23" style="2960" hidden="1" customWidth="1"/>
    <col min="45" max="256" width="8.88671875" style="2960"/>
    <col min="257" max="257" width="44.21875" style="2960" customWidth="1"/>
    <col min="258" max="258" width="7.109375" style="2960" customWidth="1"/>
    <col min="259" max="259" width="15.88671875" style="2960" customWidth="1"/>
    <col min="260" max="260" width="7.109375" style="2960" customWidth="1"/>
    <col min="261" max="261" width="5.21875" style="2960" customWidth="1"/>
    <col min="262" max="262" width="44.21875" style="2960" customWidth="1"/>
    <col min="263" max="263" width="9" style="2960" customWidth="1"/>
    <col min="264" max="264" width="14.109375" style="2960" customWidth="1"/>
    <col min="265" max="265" width="20.33203125" style="2960" customWidth="1"/>
    <col min="266" max="267" width="15.88671875" style="2960" customWidth="1"/>
    <col min="268" max="268" width="22.77734375" style="2960" customWidth="1"/>
    <col min="269" max="269" width="9" style="2960" customWidth="1"/>
    <col min="270" max="270" width="14.33203125" style="2960" customWidth="1"/>
    <col min="271" max="271" width="9" style="2960" customWidth="1"/>
    <col min="272" max="272" width="11" style="2960" customWidth="1"/>
    <col min="273" max="274" width="17.77734375" style="2960" customWidth="1"/>
    <col min="275" max="275" width="14.77734375" style="2960" customWidth="1"/>
    <col min="276" max="277" width="12.88671875" style="2960" customWidth="1"/>
    <col min="278" max="278" width="20.33203125" style="2960" customWidth="1"/>
    <col min="279" max="279" width="9" style="2960" customWidth="1"/>
    <col min="280" max="283" width="10.21875" style="2960" customWidth="1"/>
    <col min="284" max="284" width="21.6640625" style="2960" customWidth="1"/>
    <col min="285" max="285" width="9" style="2960" customWidth="1"/>
    <col min="286" max="286" width="35.44140625" style="2960" customWidth="1"/>
    <col min="287" max="289" width="12.109375" style="2960" customWidth="1"/>
    <col min="290" max="291" width="18.21875" style="2960" customWidth="1"/>
    <col min="292" max="293" width="16.33203125" style="2960" customWidth="1"/>
    <col min="294" max="295" width="25" style="2960" customWidth="1"/>
    <col min="296" max="296" width="7.109375" style="2960" customWidth="1"/>
    <col min="297" max="297" width="9" style="2960" customWidth="1"/>
    <col min="298" max="300" width="0" style="2960" hidden="1" customWidth="1"/>
    <col min="301" max="512" width="8.88671875" style="2960"/>
    <col min="513" max="513" width="44.21875" style="2960" customWidth="1"/>
    <col min="514" max="514" width="7.109375" style="2960" customWidth="1"/>
    <col min="515" max="515" width="15.88671875" style="2960" customWidth="1"/>
    <col min="516" max="516" width="7.109375" style="2960" customWidth="1"/>
    <col min="517" max="517" width="5.21875" style="2960" customWidth="1"/>
    <col min="518" max="518" width="44.21875" style="2960" customWidth="1"/>
    <col min="519" max="519" width="9" style="2960" customWidth="1"/>
    <col min="520" max="520" width="14.109375" style="2960" customWidth="1"/>
    <col min="521" max="521" width="20.33203125" style="2960" customWidth="1"/>
    <col min="522" max="523" width="15.88671875" style="2960" customWidth="1"/>
    <col min="524" max="524" width="22.77734375" style="2960" customWidth="1"/>
    <col min="525" max="525" width="9" style="2960" customWidth="1"/>
    <col min="526" max="526" width="14.33203125" style="2960" customWidth="1"/>
    <col min="527" max="527" width="9" style="2960" customWidth="1"/>
    <col min="528" max="528" width="11" style="2960" customWidth="1"/>
    <col min="529" max="530" width="17.77734375" style="2960" customWidth="1"/>
    <col min="531" max="531" width="14.77734375" style="2960" customWidth="1"/>
    <col min="532" max="533" width="12.88671875" style="2960" customWidth="1"/>
    <col min="534" max="534" width="20.33203125" style="2960" customWidth="1"/>
    <col min="535" max="535" width="9" style="2960" customWidth="1"/>
    <col min="536" max="539" width="10.21875" style="2960" customWidth="1"/>
    <col min="540" max="540" width="21.6640625" style="2960" customWidth="1"/>
    <col min="541" max="541" width="9" style="2960" customWidth="1"/>
    <col min="542" max="542" width="35.44140625" style="2960" customWidth="1"/>
    <col min="543" max="545" width="12.109375" style="2960" customWidth="1"/>
    <col min="546" max="547" width="18.21875" style="2960" customWidth="1"/>
    <col min="548" max="549" width="16.33203125" style="2960" customWidth="1"/>
    <col min="550" max="551" width="25" style="2960" customWidth="1"/>
    <col min="552" max="552" width="7.109375" style="2960" customWidth="1"/>
    <col min="553" max="553" width="9" style="2960" customWidth="1"/>
    <col min="554" max="556" width="0" style="2960" hidden="1" customWidth="1"/>
    <col min="557" max="768" width="8.88671875" style="2960"/>
    <col min="769" max="769" width="44.21875" style="2960" customWidth="1"/>
    <col min="770" max="770" width="7.109375" style="2960" customWidth="1"/>
    <col min="771" max="771" width="15.88671875" style="2960" customWidth="1"/>
    <col min="772" max="772" width="7.109375" style="2960" customWidth="1"/>
    <col min="773" max="773" width="5.21875" style="2960" customWidth="1"/>
    <col min="774" max="774" width="44.21875" style="2960" customWidth="1"/>
    <col min="775" max="775" width="9" style="2960" customWidth="1"/>
    <col min="776" max="776" width="14.109375" style="2960" customWidth="1"/>
    <col min="777" max="777" width="20.33203125" style="2960" customWidth="1"/>
    <col min="778" max="779" width="15.88671875" style="2960" customWidth="1"/>
    <col min="780" max="780" width="22.77734375" style="2960" customWidth="1"/>
    <col min="781" max="781" width="9" style="2960" customWidth="1"/>
    <col min="782" max="782" width="14.33203125" style="2960" customWidth="1"/>
    <col min="783" max="783" width="9" style="2960" customWidth="1"/>
    <col min="784" max="784" width="11" style="2960" customWidth="1"/>
    <col min="785" max="786" width="17.77734375" style="2960" customWidth="1"/>
    <col min="787" max="787" width="14.77734375" style="2960" customWidth="1"/>
    <col min="788" max="789" width="12.88671875" style="2960" customWidth="1"/>
    <col min="790" max="790" width="20.33203125" style="2960" customWidth="1"/>
    <col min="791" max="791" width="9" style="2960" customWidth="1"/>
    <col min="792" max="795" width="10.21875" style="2960" customWidth="1"/>
    <col min="796" max="796" width="21.6640625" style="2960" customWidth="1"/>
    <col min="797" max="797" width="9" style="2960" customWidth="1"/>
    <col min="798" max="798" width="35.44140625" style="2960" customWidth="1"/>
    <col min="799" max="801" width="12.109375" style="2960" customWidth="1"/>
    <col min="802" max="803" width="18.21875" style="2960" customWidth="1"/>
    <col min="804" max="805" width="16.33203125" style="2960" customWidth="1"/>
    <col min="806" max="807" width="25" style="2960" customWidth="1"/>
    <col min="808" max="808" width="7.109375" style="2960" customWidth="1"/>
    <col min="809" max="809" width="9" style="2960" customWidth="1"/>
    <col min="810" max="812" width="0" style="2960" hidden="1" customWidth="1"/>
    <col min="813" max="1024" width="8.88671875" style="2960"/>
    <col min="1025" max="1025" width="44.21875" style="2960" customWidth="1"/>
    <col min="1026" max="1026" width="7.109375" style="2960" customWidth="1"/>
    <col min="1027" max="1027" width="15.88671875" style="2960" customWidth="1"/>
    <col min="1028" max="1028" width="7.109375" style="2960" customWidth="1"/>
    <col min="1029" max="1029" width="5.21875" style="2960" customWidth="1"/>
    <col min="1030" max="1030" width="44.21875" style="2960" customWidth="1"/>
    <col min="1031" max="1031" width="9" style="2960" customWidth="1"/>
    <col min="1032" max="1032" width="14.109375" style="2960" customWidth="1"/>
    <col min="1033" max="1033" width="20.33203125" style="2960" customWidth="1"/>
    <col min="1034" max="1035" width="15.88671875" style="2960" customWidth="1"/>
    <col min="1036" max="1036" width="22.77734375" style="2960" customWidth="1"/>
    <col min="1037" max="1037" width="9" style="2960" customWidth="1"/>
    <col min="1038" max="1038" width="14.33203125" style="2960" customWidth="1"/>
    <col min="1039" max="1039" width="9" style="2960" customWidth="1"/>
    <col min="1040" max="1040" width="11" style="2960" customWidth="1"/>
    <col min="1041" max="1042" width="17.77734375" style="2960" customWidth="1"/>
    <col min="1043" max="1043" width="14.77734375" style="2960" customWidth="1"/>
    <col min="1044" max="1045" width="12.88671875" style="2960" customWidth="1"/>
    <col min="1046" max="1046" width="20.33203125" style="2960" customWidth="1"/>
    <col min="1047" max="1047" width="9" style="2960" customWidth="1"/>
    <col min="1048" max="1051" width="10.21875" style="2960" customWidth="1"/>
    <col min="1052" max="1052" width="21.6640625" style="2960" customWidth="1"/>
    <col min="1053" max="1053" width="9" style="2960" customWidth="1"/>
    <col min="1054" max="1054" width="35.44140625" style="2960" customWidth="1"/>
    <col min="1055" max="1057" width="12.109375" style="2960" customWidth="1"/>
    <col min="1058" max="1059" width="18.21875" style="2960" customWidth="1"/>
    <col min="1060" max="1061" width="16.33203125" style="2960" customWidth="1"/>
    <col min="1062" max="1063" width="25" style="2960" customWidth="1"/>
    <col min="1064" max="1064" width="7.109375" style="2960" customWidth="1"/>
    <col min="1065" max="1065" width="9" style="2960" customWidth="1"/>
    <col min="1066" max="1068" width="0" style="2960" hidden="1" customWidth="1"/>
    <col min="1069" max="1280" width="8.88671875" style="2960"/>
    <col min="1281" max="1281" width="44.21875" style="2960" customWidth="1"/>
    <col min="1282" max="1282" width="7.109375" style="2960" customWidth="1"/>
    <col min="1283" max="1283" width="15.88671875" style="2960" customWidth="1"/>
    <col min="1284" max="1284" width="7.109375" style="2960" customWidth="1"/>
    <col min="1285" max="1285" width="5.21875" style="2960" customWidth="1"/>
    <col min="1286" max="1286" width="44.21875" style="2960" customWidth="1"/>
    <col min="1287" max="1287" width="9" style="2960" customWidth="1"/>
    <col min="1288" max="1288" width="14.109375" style="2960" customWidth="1"/>
    <col min="1289" max="1289" width="20.33203125" style="2960" customWidth="1"/>
    <col min="1290" max="1291" width="15.88671875" style="2960" customWidth="1"/>
    <col min="1292" max="1292" width="22.77734375" style="2960" customWidth="1"/>
    <col min="1293" max="1293" width="9" style="2960" customWidth="1"/>
    <col min="1294" max="1294" width="14.33203125" style="2960" customWidth="1"/>
    <col min="1295" max="1295" width="9" style="2960" customWidth="1"/>
    <col min="1296" max="1296" width="11" style="2960" customWidth="1"/>
    <col min="1297" max="1298" width="17.77734375" style="2960" customWidth="1"/>
    <col min="1299" max="1299" width="14.77734375" style="2960" customWidth="1"/>
    <col min="1300" max="1301" width="12.88671875" style="2960" customWidth="1"/>
    <col min="1302" max="1302" width="20.33203125" style="2960" customWidth="1"/>
    <col min="1303" max="1303" width="9" style="2960" customWidth="1"/>
    <col min="1304" max="1307" width="10.21875" style="2960" customWidth="1"/>
    <col min="1308" max="1308" width="21.6640625" style="2960" customWidth="1"/>
    <col min="1309" max="1309" width="9" style="2960" customWidth="1"/>
    <col min="1310" max="1310" width="35.44140625" style="2960" customWidth="1"/>
    <col min="1311" max="1313" width="12.109375" style="2960" customWidth="1"/>
    <col min="1314" max="1315" width="18.21875" style="2960" customWidth="1"/>
    <col min="1316" max="1317" width="16.33203125" style="2960" customWidth="1"/>
    <col min="1318" max="1319" width="25" style="2960" customWidth="1"/>
    <col min="1320" max="1320" width="7.109375" style="2960" customWidth="1"/>
    <col min="1321" max="1321" width="9" style="2960" customWidth="1"/>
    <col min="1322" max="1324" width="0" style="2960" hidden="1" customWidth="1"/>
    <col min="1325" max="1536" width="8.88671875" style="2960"/>
    <col min="1537" max="1537" width="44.21875" style="2960" customWidth="1"/>
    <col min="1538" max="1538" width="7.109375" style="2960" customWidth="1"/>
    <col min="1539" max="1539" width="15.88671875" style="2960" customWidth="1"/>
    <col min="1540" max="1540" width="7.109375" style="2960" customWidth="1"/>
    <col min="1541" max="1541" width="5.21875" style="2960" customWidth="1"/>
    <col min="1542" max="1542" width="44.21875" style="2960" customWidth="1"/>
    <col min="1543" max="1543" width="9" style="2960" customWidth="1"/>
    <col min="1544" max="1544" width="14.109375" style="2960" customWidth="1"/>
    <col min="1545" max="1545" width="20.33203125" style="2960" customWidth="1"/>
    <col min="1546" max="1547" width="15.88671875" style="2960" customWidth="1"/>
    <col min="1548" max="1548" width="22.77734375" style="2960" customWidth="1"/>
    <col min="1549" max="1549" width="9" style="2960" customWidth="1"/>
    <col min="1550" max="1550" width="14.33203125" style="2960" customWidth="1"/>
    <col min="1551" max="1551" width="9" style="2960" customWidth="1"/>
    <col min="1552" max="1552" width="11" style="2960" customWidth="1"/>
    <col min="1553" max="1554" width="17.77734375" style="2960" customWidth="1"/>
    <col min="1555" max="1555" width="14.77734375" style="2960" customWidth="1"/>
    <col min="1556" max="1557" width="12.88671875" style="2960" customWidth="1"/>
    <col min="1558" max="1558" width="20.33203125" style="2960" customWidth="1"/>
    <col min="1559" max="1559" width="9" style="2960" customWidth="1"/>
    <col min="1560" max="1563" width="10.21875" style="2960" customWidth="1"/>
    <col min="1564" max="1564" width="21.6640625" style="2960" customWidth="1"/>
    <col min="1565" max="1565" width="9" style="2960" customWidth="1"/>
    <col min="1566" max="1566" width="35.44140625" style="2960" customWidth="1"/>
    <col min="1567" max="1569" width="12.109375" style="2960" customWidth="1"/>
    <col min="1570" max="1571" width="18.21875" style="2960" customWidth="1"/>
    <col min="1572" max="1573" width="16.33203125" style="2960" customWidth="1"/>
    <col min="1574" max="1575" width="25" style="2960" customWidth="1"/>
    <col min="1576" max="1576" width="7.109375" style="2960" customWidth="1"/>
    <col min="1577" max="1577" width="9" style="2960" customWidth="1"/>
    <col min="1578" max="1580" width="0" style="2960" hidden="1" customWidth="1"/>
    <col min="1581" max="1792" width="8.88671875" style="2960"/>
    <col min="1793" max="1793" width="44.21875" style="2960" customWidth="1"/>
    <col min="1794" max="1794" width="7.109375" style="2960" customWidth="1"/>
    <col min="1795" max="1795" width="15.88671875" style="2960" customWidth="1"/>
    <col min="1796" max="1796" width="7.109375" style="2960" customWidth="1"/>
    <col min="1797" max="1797" width="5.21875" style="2960" customWidth="1"/>
    <col min="1798" max="1798" width="44.21875" style="2960" customWidth="1"/>
    <col min="1799" max="1799" width="9" style="2960" customWidth="1"/>
    <col min="1800" max="1800" width="14.109375" style="2960" customWidth="1"/>
    <col min="1801" max="1801" width="20.33203125" style="2960" customWidth="1"/>
    <col min="1802" max="1803" width="15.88671875" style="2960" customWidth="1"/>
    <col min="1804" max="1804" width="22.77734375" style="2960" customWidth="1"/>
    <col min="1805" max="1805" width="9" style="2960" customWidth="1"/>
    <col min="1806" max="1806" width="14.33203125" style="2960" customWidth="1"/>
    <col min="1807" max="1807" width="9" style="2960" customWidth="1"/>
    <col min="1808" max="1808" width="11" style="2960" customWidth="1"/>
    <col min="1809" max="1810" width="17.77734375" style="2960" customWidth="1"/>
    <col min="1811" max="1811" width="14.77734375" style="2960" customWidth="1"/>
    <col min="1812" max="1813" width="12.88671875" style="2960" customWidth="1"/>
    <col min="1814" max="1814" width="20.33203125" style="2960" customWidth="1"/>
    <col min="1815" max="1815" width="9" style="2960" customWidth="1"/>
    <col min="1816" max="1819" width="10.21875" style="2960" customWidth="1"/>
    <col min="1820" max="1820" width="21.6640625" style="2960" customWidth="1"/>
    <col min="1821" max="1821" width="9" style="2960" customWidth="1"/>
    <col min="1822" max="1822" width="35.44140625" style="2960" customWidth="1"/>
    <col min="1823" max="1825" width="12.109375" style="2960" customWidth="1"/>
    <col min="1826" max="1827" width="18.21875" style="2960" customWidth="1"/>
    <col min="1828" max="1829" width="16.33203125" style="2960" customWidth="1"/>
    <col min="1830" max="1831" width="25" style="2960" customWidth="1"/>
    <col min="1832" max="1832" width="7.109375" style="2960" customWidth="1"/>
    <col min="1833" max="1833" width="9" style="2960" customWidth="1"/>
    <col min="1834" max="1836" width="0" style="2960" hidden="1" customWidth="1"/>
    <col min="1837" max="2048" width="8.88671875" style="2960"/>
    <col min="2049" max="2049" width="44.21875" style="2960" customWidth="1"/>
    <col min="2050" max="2050" width="7.109375" style="2960" customWidth="1"/>
    <col min="2051" max="2051" width="15.88671875" style="2960" customWidth="1"/>
    <col min="2052" max="2052" width="7.109375" style="2960" customWidth="1"/>
    <col min="2053" max="2053" width="5.21875" style="2960" customWidth="1"/>
    <col min="2054" max="2054" width="44.21875" style="2960" customWidth="1"/>
    <col min="2055" max="2055" width="9" style="2960" customWidth="1"/>
    <col min="2056" max="2056" width="14.109375" style="2960" customWidth="1"/>
    <col min="2057" max="2057" width="20.33203125" style="2960" customWidth="1"/>
    <col min="2058" max="2059" width="15.88671875" style="2960" customWidth="1"/>
    <col min="2060" max="2060" width="22.77734375" style="2960" customWidth="1"/>
    <col min="2061" max="2061" width="9" style="2960" customWidth="1"/>
    <col min="2062" max="2062" width="14.33203125" style="2960" customWidth="1"/>
    <col min="2063" max="2063" width="9" style="2960" customWidth="1"/>
    <col min="2064" max="2064" width="11" style="2960" customWidth="1"/>
    <col min="2065" max="2066" width="17.77734375" style="2960" customWidth="1"/>
    <col min="2067" max="2067" width="14.77734375" style="2960" customWidth="1"/>
    <col min="2068" max="2069" width="12.88671875" style="2960" customWidth="1"/>
    <col min="2070" max="2070" width="20.33203125" style="2960" customWidth="1"/>
    <col min="2071" max="2071" width="9" style="2960" customWidth="1"/>
    <col min="2072" max="2075" width="10.21875" style="2960" customWidth="1"/>
    <col min="2076" max="2076" width="21.6640625" style="2960" customWidth="1"/>
    <col min="2077" max="2077" width="9" style="2960" customWidth="1"/>
    <col min="2078" max="2078" width="35.44140625" style="2960" customWidth="1"/>
    <col min="2079" max="2081" width="12.109375" style="2960" customWidth="1"/>
    <col min="2082" max="2083" width="18.21875" style="2960" customWidth="1"/>
    <col min="2084" max="2085" width="16.33203125" style="2960" customWidth="1"/>
    <col min="2086" max="2087" width="25" style="2960" customWidth="1"/>
    <col min="2088" max="2088" width="7.109375" style="2960" customWidth="1"/>
    <col min="2089" max="2089" width="9" style="2960" customWidth="1"/>
    <col min="2090" max="2092" width="0" style="2960" hidden="1" customWidth="1"/>
    <col min="2093" max="2304" width="8.88671875" style="2960"/>
    <col min="2305" max="2305" width="44.21875" style="2960" customWidth="1"/>
    <col min="2306" max="2306" width="7.109375" style="2960" customWidth="1"/>
    <col min="2307" max="2307" width="15.88671875" style="2960" customWidth="1"/>
    <col min="2308" max="2308" width="7.109375" style="2960" customWidth="1"/>
    <col min="2309" max="2309" width="5.21875" style="2960" customWidth="1"/>
    <col min="2310" max="2310" width="44.21875" style="2960" customWidth="1"/>
    <col min="2311" max="2311" width="9" style="2960" customWidth="1"/>
    <col min="2312" max="2312" width="14.109375" style="2960" customWidth="1"/>
    <col min="2313" max="2313" width="20.33203125" style="2960" customWidth="1"/>
    <col min="2314" max="2315" width="15.88671875" style="2960" customWidth="1"/>
    <col min="2316" max="2316" width="22.77734375" style="2960" customWidth="1"/>
    <col min="2317" max="2317" width="9" style="2960" customWidth="1"/>
    <col min="2318" max="2318" width="14.33203125" style="2960" customWidth="1"/>
    <col min="2319" max="2319" width="9" style="2960" customWidth="1"/>
    <col min="2320" max="2320" width="11" style="2960" customWidth="1"/>
    <col min="2321" max="2322" width="17.77734375" style="2960" customWidth="1"/>
    <col min="2323" max="2323" width="14.77734375" style="2960" customWidth="1"/>
    <col min="2324" max="2325" width="12.88671875" style="2960" customWidth="1"/>
    <col min="2326" max="2326" width="20.33203125" style="2960" customWidth="1"/>
    <col min="2327" max="2327" width="9" style="2960" customWidth="1"/>
    <col min="2328" max="2331" width="10.21875" style="2960" customWidth="1"/>
    <col min="2332" max="2332" width="21.6640625" style="2960" customWidth="1"/>
    <col min="2333" max="2333" width="9" style="2960" customWidth="1"/>
    <col min="2334" max="2334" width="35.44140625" style="2960" customWidth="1"/>
    <col min="2335" max="2337" width="12.109375" style="2960" customWidth="1"/>
    <col min="2338" max="2339" width="18.21875" style="2960" customWidth="1"/>
    <col min="2340" max="2341" width="16.33203125" style="2960" customWidth="1"/>
    <col min="2342" max="2343" width="25" style="2960" customWidth="1"/>
    <col min="2344" max="2344" width="7.109375" style="2960" customWidth="1"/>
    <col min="2345" max="2345" width="9" style="2960" customWidth="1"/>
    <col min="2346" max="2348" width="0" style="2960" hidden="1" customWidth="1"/>
    <col min="2349" max="2560" width="8.88671875" style="2960"/>
    <col min="2561" max="2561" width="44.21875" style="2960" customWidth="1"/>
    <col min="2562" max="2562" width="7.109375" style="2960" customWidth="1"/>
    <col min="2563" max="2563" width="15.88671875" style="2960" customWidth="1"/>
    <col min="2564" max="2564" width="7.109375" style="2960" customWidth="1"/>
    <col min="2565" max="2565" width="5.21875" style="2960" customWidth="1"/>
    <col min="2566" max="2566" width="44.21875" style="2960" customWidth="1"/>
    <col min="2567" max="2567" width="9" style="2960" customWidth="1"/>
    <col min="2568" max="2568" width="14.109375" style="2960" customWidth="1"/>
    <col min="2569" max="2569" width="20.33203125" style="2960" customWidth="1"/>
    <col min="2570" max="2571" width="15.88671875" style="2960" customWidth="1"/>
    <col min="2572" max="2572" width="22.77734375" style="2960" customWidth="1"/>
    <col min="2573" max="2573" width="9" style="2960" customWidth="1"/>
    <col min="2574" max="2574" width="14.33203125" style="2960" customWidth="1"/>
    <col min="2575" max="2575" width="9" style="2960" customWidth="1"/>
    <col min="2576" max="2576" width="11" style="2960" customWidth="1"/>
    <col min="2577" max="2578" width="17.77734375" style="2960" customWidth="1"/>
    <col min="2579" max="2579" width="14.77734375" style="2960" customWidth="1"/>
    <col min="2580" max="2581" width="12.88671875" style="2960" customWidth="1"/>
    <col min="2582" max="2582" width="20.33203125" style="2960" customWidth="1"/>
    <col min="2583" max="2583" width="9" style="2960" customWidth="1"/>
    <col min="2584" max="2587" width="10.21875" style="2960" customWidth="1"/>
    <col min="2588" max="2588" width="21.6640625" style="2960" customWidth="1"/>
    <col min="2589" max="2589" width="9" style="2960" customWidth="1"/>
    <col min="2590" max="2590" width="35.44140625" style="2960" customWidth="1"/>
    <col min="2591" max="2593" width="12.109375" style="2960" customWidth="1"/>
    <col min="2594" max="2595" width="18.21875" style="2960" customWidth="1"/>
    <col min="2596" max="2597" width="16.33203125" style="2960" customWidth="1"/>
    <col min="2598" max="2599" width="25" style="2960" customWidth="1"/>
    <col min="2600" max="2600" width="7.109375" style="2960" customWidth="1"/>
    <col min="2601" max="2601" width="9" style="2960" customWidth="1"/>
    <col min="2602" max="2604" width="0" style="2960" hidden="1" customWidth="1"/>
    <col min="2605" max="2816" width="8.88671875" style="2960"/>
    <col min="2817" max="2817" width="44.21875" style="2960" customWidth="1"/>
    <col min="2818" max="2818" width="7.109375" style="2960" customWidth="1"/>
    <col min="2819" max="2819" width="15.88671875" style="2960" customWidth="1"/>
    <col min="2820" max="2820" width="7.109375" style="2960" customWidth="1"/>
    <col min="2821" max="2821" width="5.21875" style="2960" customWidth="1"/>
    <col min="2822" max="2822" width="44.21875" style="2960" customWidth="1"/>
    <col min="2823" max="2823" width="9" style="2960" customWidth="1"/>
    <col min="2824" max="2824" width="14.109375" style="2960" customWidth="1"/>
    <col min="2825" max="2825" width="20.33203125" style="2960" customWidth="1"/>
    <col min="2826" max="2827" width="15.88671875" style="2960" customWidth="1"/>
    <col min="2828" max="2828" width="22.77734375" style="2960" customWidth="1"/>
    <col min="2829" max="2829" width="9" style="2960" customWidth="1"/>
    <col min="2830" max="2830" width="14.33203125" style="2960" customWidth="1"/>
    <col min="2831" max="2831" width="9" style="2960" customWidth="1"/>
    <col min="2832" max="2832" width="11" style="2960" customWidth="1"/>
    <col min="2833" max="2834" width="17.77734375" style="2960" customWidth="1"/>
    <col min="2835" max="2835" width="14.77734375" style="2960" customWidth="1"/>
    <col min="2836" max="2837" width="12.88671875" style="2960" customWidth="1"/>
    <col min="2838" max="2838" width="20.33203125" style="2960" customWidth="1"/>
    <col min="2839" max="2839" width="9" style="2960" customWidth="1"/>
    <col min="2840" max="2843" width="10.21875" style="2960" customWidth="1"/>
    <col min="2844" max="2844" width="21.6640625" style="2960" customWidth="1"/>
    <col min="2845" max="2845" width="9" style="2960" customWidth="1"/>
    <col min="2846" max="2846" width="35.44140625" style="2960" customWidth="1"/>
    <col min="2847" max="2849" width="12.109375" style="2960" customWidth="1"/>
    <col min="2850" max="2851" width="18.21875" style="2960" customWidth="1"/>
    <col min="2852" max="2853" width="16.33203125" style="2960" customWidth="1"/>
    <col min="2854" max="2855" width="25" style="2960" customWidth="1"/>
    <col min="2856" max="2856" width="7.109375" style="2960" customWidth="1"/>
    <col min="2857" max="2857" width="9" style="2960" customWidth="1"/>
    <col min="2858" max="2860" width="0" style="2960" hidden="1" customWidth="1"/>
    <col min="2861" max="3072" width="8.88671875" style="2960"/>
    <col min="3073" max="3073" width="44.21875" style="2960" customWidth="1"/>
    <col min="3074" max="3074" width="7.109375" style="2960" customWidth="1"/>
    <col min="3075" max="3075" width="15.88671875" style="2960" customWidth="1"/>
    <col min="3076" max="3076" width="7.109375" style="2960" customWidth="1"/>
    <col min="3077" max="3077" width="5.21875" style="2960" customWidth="1"/>
    <col min="3078" max="3078" width="44.21875" style="2960" customWidth="1"/>
    <col min="3079" max="3079" width="9" style="2960" customWidth="1"/>
    <col min="3080" max="3080" width="14.109375" style="2960" customWidth="1"/>
    <col min="3081" max="3081" width="20.33203125" style="2960" customWidth="1"/>
    <col min="3082" max="3083" width="15.88671875" style="2960" customWidth="1"/>
    <col min="3084" max="3084" width="22.77734375" style="2960" customWidth="1"/>
    <col min="3085" max="3085" width="9" style="2960" customWidth="1"/>
    <col min="3086" max="3086" width="14.33203125" style="2960" customWidth="1"/>
    <col min="3087" max="3087" width="9" style="2960" customWidth="1"/>
    <col min="3088" max="3088" width="11" style="2960" customWidth="1"/>
    <col min="3089" max="3090" width="17.77734375" style="2960" customWidth="1"/>
    <col min="3091" max="3091" width="14.77734375" style="2960" customWidth="1"/>
    <col min="3092" max="3093" width="12.88671875" style="2960" customWidth="1"/>
    <col min="3094" max="3094" width="20.33203125" style="2960" customWidth="1"/>
    <col min="3095" max="3095" width="9" style="2960" customWidth="1"/>
    <col min="3096" max="3099" width="10.21875" style="2960" customWidth="1"/>
    <col min="3100" max="3100" width="21.6640625" style="2960" customWidth="1"/>
    <col min="3101" max="3101" width="9" style="2960" customWidth="1"/>
    <col min="3102" max="3102" width="35.44140625" style="2960" customWidth="1"/>
    <col min="3103" max="3105" width="12.109375" style="2960" customWidth="1"/>
    <col min="3106" max="3107" width="18.21875" style="2960" customWidth="1"/>
    <col min="3108" max="3109" width="16.33203125" style="2960" customWidth="1"/>
    <col min="3110" max="3111" width="25" style="2960" customWidth="1"/>
    <col min="3112" max="3112" width="7.109375" style="2960" customWidth="1"/>
    <col min="3113" max="3113" width="9" style="2960" customWidth="1"/>
    <col min="3114" max="3116" width="0" style="2960" hidden="1" customWidth="1"/>
    <col min="3117" max="3328" width="8.88671875" style="2960"/>
    <col min="3329" max="3329" width="44.21875" style="2960" customWidth="1"/>
    <col min="3330" max="3330" width="7.109375" style="2960" customWidth="1"/>
    <col min="3331" max="3331" width="15.88671875" style="2960" customWidth="1"/>
    <col min="3332" max="3332" width="7.109375" style="2960" customWidth="1"/>
    <col min="3333" max="3333" width="5.21875" style="2960" customWidth="1"/>
    <col min="3334" max="3334" width="44.21875" style="2960" customWidth="1"/>
    <col min="3335" max="3335" width="9" style="2960" customWidth="1"/>
    <col min="3336" max="3336" width="14.109375" style="2960" customWidth="1"/>
    <col min="3337" max="3337" width="20.33203125" style="2960" customWidth="1"/>
    <col min="3338" max="3339" width="15.88671875" style="2960" customWidth="1"/>
    <col min="3340" max="3340" width="22.77734375" style="2960" customWidth="1"/>
    <col min="3341" max="3341" width="9" style="2960" customWidth="1"/>
    <col min="3342" max="3342" width="14.33203125" style="2960" customWidth="1"/>
    <col min="3343" max="3343" width="9" style="2960" customWidth="1"/>
    <col min="3344" max="3344" width="11" style="2960" customWidth="1"/>
    <col min="3345" max="3346" width="17.77734375" style="2960" customWidth="1"/>
    <col min="3347" max="3347" width="14.77734375" style="2960" customWidth="1"/>
    <col min="3348" max="3349" width="12.88671875" style="2960" customWidth="1"/>
    <col min="3350" max="3350" width="20.33203125" style="2960" customWidth="1"/>
    <col min="3351" max="3351" width="9" style="2960" customWidth="1"/>
    <col min="3352" max="3355" width="10.21875" style="2960" customWidth="1"/>
    <col min="3356" max="3356" width="21.6640625" style="2960" customWidth="1"/>
    <col min="3357" max="3357" width="9" style="2960" customWidth="1"/>
    <col min="3358" max="3358" width="35.44140625" style="2960" customWidth="1"/>
    <col min="3359" max="3361" width="12.109375" style="2960" customWidth="1"/>
    <col min="3362" max="3363" width="18.21875" style="2960" customWidth="1"/>
    <col min="3364" max="3365" width="16.33203125" style="2960" customWidth="1"/>
    <col min="3366" max="3367" width="25" style="2960" customWidth="1"/>
    <col min="3368" max="3368" width="7.109375" style="2960" customWidth="1"/>
    <col min="3369" max="3369" width="9" style="2960" customWidth="1"/>
    <col min="3370" max="3372" width="0" style="2960" hidden="1" customWidth="1"/>
    <col min="3373" max="3584" width="8.88671875" style="2960"/>
    <col min="3585" max="3585" width="44.21875" style="2960" customWidth="1"/>
    <col min="3586" max="3586" width="7.109375" style="2960" customWidth="1"/>
    <col min="3587" max="3587" width="15.88671875" style="2960" customWidth="1"/>
    <col min="3588" max="3588" width="7.109375" style="2960" customWidth="1"/>
    <col min="3589" max="3589" width="5.21875" style="2960" customWidth="1"/>
    <col min="3590" max="3590" width="44.21875" style="2960" customWidth="1"/>
    <col min="3591" max="3591" width="9" style="2960" customWidth="1"/>
    <col min="3592" max="3592" width="14.109375" style="2960" customWidth="1"/>
    <col min="3593" max="3593" width="20.33203125" style="2960" customWidth="1"/>
    <col min="3594" max="3595" width="15.88671875" style="2960" customWidth="1"/>
    <col min="3596" max="3596" width="22.77734375" style="2960" customWidth="1"/>
    <col min="3597" max="3597" width="9" style="2960" customWidth="1"/>
    <col min="3598" max="3598" width="14.33203125" style="2960" customWidth="1"/>
    <col min="3599" max="3599" width="9" style="2960" customWidth="1"/>
    <col min="3600" max="3600" width="11" style="2960" customWidth="1"/>
    <col min="3601" max="3602" width="17.77734375" style="2960" customWidth="1"/>
    <col min="3603" max="3603" width="14.77734375" style="2960" customWidth="1"/>
    <col min="3604" max="3605" width="12.88671875" style="2960" customWidth="1"/>
    <col min="3606" max="3606" width="20.33203125" style="2960" customWidth="1"/>
    <col min="3607" max="3607" width="9" style="2960" customWidth="1"/>
    <col min="3608" max="3611" width="10.21875" style="2960" customWidth="1"/>
    <col min="3612" max="3612" width="21.6640625" style="2960" customWidth="1"/>
    <col min="3613" max="3613" width="9" style="2960" customWidth="1"/>
    <col min="3614" max="3614" width="35.44140625" style="2960" customWidth="1"/>
    <col min="3615" max="3617" width="12.109375" style="2960" customWidth="1"/>
    <col min="3618" max="3619" width="18.21875" style="2960" customWidth="1"/>
    <col min="3620" max="3621" width="16.33203125" style="2960" customWidth="1"/>
    <col min="3622" max="3623" width="25" style="2960" customWidth="1"/>
    <col min="3624" max="3624" width="7.109375" style="2960" customWidth="1"/>
    <col min="3625" max="3625" width="9" style="2960" customWidth="1"/>
    <col min="3626" max="3628" width="0" style="2960" hidden="1" customWidth="1"/>
    <col min="3629" max="3840" width="8.88671875" style="2960"/>
    <col min="3841" max="3841" width="44.21875" style="2960" customWidth="1"/>
    <col min="3842" max="3842" width="7.109375" style="2960" customWidth="1"/>
    <col min="3843" max="3843" width="15.88671875" style="2960" customWidth="1"/>
    <col min="3844" max="3844" width="7.109375" style="2960" customWidth="1"/>
    <col min="3845" max="3845" width="5.21875" style="2960" customWidth="1"/>
    <col min="3846" max="3846" width="44.21875" style="2960" customWidth="1"/>
    <col min="3847" max="3847" width="9" style="2960" customWidth="1"/>
    <col min="3848" max="3848" width="14.109375" style="2960" customWidth="1"/>
    <col min="3849" max="3849" width="20.33203125" style="2960" customWidth="1"/>
    <col min="3850" max="3851" width="15.88671875" style="2960" customWidth="1"/>
    <col min="3852" max="3852" width="22.77734375" style="2960" customWidth="1"/>
    <col min="3853" max="3853" width="9" style="2960" customWidth="1"/>
    <col min="3854" max="3854" width="14.33203125" style="2960" customWidth="1"/>
    <col min="3855" max="3855" width="9" style="2960" customWidth="1"/>
    <col min="3856" max="3856" width="11" style="2960" customWidth="1"/>
    <col min="3857" max="3858" width="17.77734375" style="2960" customWidth="1"/>
    <col min="3859" max="3859" width="14.77734375" style="2960" customWidth="1"/>
    <col min="3860" max="3861" width="12.88671875" style="2960" customWidth="1"/>
    <col min="3862" max="3862" width="20.33203125" style="2960" customWidth="1"/>
    <col min="3863" max="3863" width="9" style="2960" customWidth="1"/>
    <col min="3864" max="3867" width="10.21875" style="2960" customWidth="1"/>
    <col min="3868" max="3868" width="21.6640625" style="2960" customWidth="1"/>
    <col min="3869" max="3869" width="9" style="2960" customWidth="1"/>
    <col min="3870" max="3870" width="35.44140625" style="2960" customWidth="1"/>
    <col min="3871" max="3873" width="12.109375" style="2960" customWidth="1"/>
    <col min="3874" max="3875" width="18.21875" style="2960" customWidth="1"/>
    <col min="3876" max="3877" width="16.33203125" style="2960" customWidth="1"/>
    <col min="3878" max="3879" width="25" style="2960" customWidth="1"/>
    <col min="3880" max="3880" width="7.109375" style="2960" customWidth="1"/>
    <col min="3881" max="3881" width="9" style="2960" customWidth="1"/>
    <col min="3882" max="3884" width="0" style="2960" hidden="1" customWidth="1"/>
    <col min="3885" max="4096" width="8.88671875" style="2960"/>
    <col min="4097" max="4097" width="44.21875" style="2960" customWidth="1"/>
    <col min="4098" max="4098" width="7.109375" style="2960" customWidth="1"/>
    <col min="4099" max="4099" width="15.88671875" style="2960" customWidth="1"/>
    <col min="4100" max="4100" width="7.109375" style="2960" customWidth="1"/>
    <col min="4101" max="4101" width="5.21875" style="2960" customWidth="1"/>
    <col min="4102" max="4102" width="44.21875" style="2960" customWidth="1"/>
    <col min="4103" max="4103" width="9" style="2960" customWidth="1"/>
    <col min="4104" max="4104" width="14.109375" style="2960" customWidth="1"/>
    <col min="4105" max="4105" width="20.33203125" style="2960" customWidth="1"/>
    <col min="4106" max="4107" width="15.88671875" style="2960" customWidth="1"/>
    <col min="4108" max="4108" width="22.77734375" style="2960" customWidth="1"/>
    <col min="4109" max="4109" width="9" style="2960" customWidth="1"/>
    <col min="4110" max="4110" width="14.33203125" style="2960" customWidth="1"/>
    <col min="4111" max="4111" width="9" style="2960" customWidth="1"/>
    <col min="4112" max="4112" width="11" style="2960" customWidth="1"/>
    <col min="4113" max="4114" width="17.77734375" style="2960" customWidth="1"/>
    <col min="4115" max="4115" width="14.77734375" style="2960" customWidth="1"/>
    <col min="4116" max="4117" width="12.88671875" style="2960" customWidth="1"/>
    <col min="4118" max="4118" width="20.33203125" style="2960" customWidth="1"/>
    <col min="4119" max="4119" width="9" style="2960" customWidth="1"/>
    <col min="4120" max="4123" width="10.21875" style="2960" customWidth="1"/>
    <col min="4124" max="4124" width="21.6640625" style="2960" customWidth="1"/>
    <col min="4125" max="4125" width="9" style="2960" customWidth="1"/>
    <col min="4126" max="4126" width="35.44140625" style="2960" customWidth="1"/>
    <col min="4127" max="4129" width="12.109375" style="2960" customWidth="1"/>
    <col min="4130" max="4131" width="18.21875" style="2960" customWidth="1"/>
    <col min="4132" max="4133" width="16.33203125" style="2960" customWidth="1"/>
    <col min="4134" max="4135" width="25" style="2960" customWidth="1"/>
    <col min="4136" max="4136" width="7.109375" style="2960" customWidth="1"/>
    <col min="4137" max="4137" width="9" style="2960" customWidth="1"/>
    <col min="4138" max="4140" width="0" style="2960" hidden="1" customWidth="1"/>
    <col min="4141" max="4352" width="8.88671875" style="2960"/>
    <col min="4353" max="4353" width="44.21875" style="2960" customWidth="1"/>
    <col min="4354" max="4354" width="7.109375" style="2960" customWidth="1"/>
    <col min="4355" max="4355" width="15.88671875" style="2960" customWidth="1"/>
    <col min="4356" max="4356" width="7.109375" style="2960" customWidth="1"/>
    <col min="4357" max="4357" width="5.21875" style="2960" customWidth="1"/>
    <col min="4358" max="4358" width="44.21875" style="2960" customWidth="1"/>
    <col min="4359" max="4359" width="9" style="2960" customWidth="1"/>
    <col min="4360" max="4360" width="14.109375" style="2960" customWidth="1"/>
    <col min="4361" max="4361" width="20.33203125" style="2960" customWidth="1"/>
    <col min="4362" max="4363" width="15.88671875" style="2960" customWidth="1"/>
    <col min="4364" max="4364" width="22.77734375" style="2960" customWidth="1"/>
    <col min="4365" max="4365" width="9" style="2960" customWidth="1"/>
    <col min="4366" max="4366" width="14.33203125" style="2960" customWidth="1"/>
    <col min="4367" max="4367" width="9" style="2960" customWidth="1"/>
    <col min="4368" max="4368" width="11" style="2960" customWidth="1"/>
    <col min="4369" max="4370" width="17.77734375" style="2960" customWidth="1"/>
    <col min="4371" max="4371" width="14.77734375" style="2960" customWidth="1"/>
    <col min="4372" max="4373" width="12.88671875" style="2960" customWidth="1"/>
    <col min="4374" max="4374" width="20.33203125" style="2960" customWidth="1"/>
    <col min="4375" max="4375" width="9" style="2960" customWidth="1"/>
    <col min="4376" max="4379" width="10.21875" style="2960" customWidth="1"/>
    <col min="4380" max="4380" width="21.6640625" style="2960" customWidth="1"/>
    <col min="4381" max="4381" width="9" style="2960" customWidth="1"/>
    <col min="4382" max="4382" width="35.44140625" style="2960" customWidth="1"/>
    <col min="4383" max="4385" width="12.109375" style="2960" customWidth="1"/>
    <col min="4386" max="4387" width="18.21875" style="2960" customWidth="1"/>
    <col min="4388" max="4389" width="16.33203125" style="2960" customWidth="1"/>
    <col min="4390" max="4391" width="25" style="2960" customWidth="1"/>
    <col min="4392" max="4392" width="7.109375" style="2960" customWidth="1"/>
    <col min="4393" max="4393" width="9" style="2960" customWidth="1"/>
    <col min="4394" max="4396" width="0" style="2960" hidden="1" customWidth="1"/>
    <col min="4397" max="4608" width="8.88671875" style="2960"/>
    <col min="4609" max="4609" width="44.21875" style="2960" customWidth="1"/>
    <col min="4610" max="4610" width="7.109375" style="2960" customWidth="1"/>
    <col min="4611" max="4611" width="15.88671875" style="2960" customWidth="1"/>
    <col min="4612" max="4612" width="7.109375" style="2960" customWidth="1"/>
    <col min="4613" max="4613" width="5.21875" style="2960" customWidth="1"/>
    <col min="4614" max="4614" width="44.21875" style="2960" customWidth="1"/>
    <col min="4615" max="4615" width="9" style="2960" customWidth="1"/>
    <col min="4616" max="4616" width="14.109375" style="2960" customWidth="1"/>
    <col min="4617" max="4617" width="20.33203125" style="2960" customWidth="1"/>
    <col min="4618" max="4619" width="15.88671875" style="2960" customWidth="1"/>
    <col min="4620" max="4620" width="22.77734375" style="2960" customWidth="1"/>
    <col min="4621" max="4621" width="9" style="2960" customWidth="1"/>
    <col min="4622" max="4622" width="14.33203125" style="2960" customWidth="1"/>
    <col min="4623" max="4623" width="9" style="2960" customWidth="1"/>
    <col min="4624" max="4624" width="11" style="2960" customWidth="1"/>
    <col min="4625" max="4626" width="17.77734375" style="2960" customWidth="1"/>
    <col min="4627" max="4627" width="14.77734375" style="2960" customWidth="1"/>
    <col min="4628" max="4629" width="12.88671875" style="2960" customWidth="1"/>
    <col min="4630" max="4630" width="20.33203125" style="2960" customWidth="1"/>
    <col min="4631" max="4631" width="9" style="2960" customWidth="1"/>
    <col min="4632" max="4635" width="10.21875" style="2960" customWidth="1"/>
    <col min="4636" max="4636" width="21.6640625" style="2960" customWidth="1"/>
    <col min="4637" max="4637" width="9" style="2960" customWidth="1"/>
    <col min="4638" max="4638" width="35.44140625" style="2960" customWidth="1"/>
    <col min="4639" max="4641" width="12.109375" style="2960" customWidth="1"/>
    <col min="4642" max="4643" width="18.21875" style="2960" customWidth="1"/>
    <col min="4644" max="4645" width="16.33203125" style="2960" customWidth="1"/>
    <col min="4646" max="4647" width="25" style="2960" customWidth="1"/>
    <col min="4648" max="4648" width="7.109375" style="2960" customWidth="1"/>
    <col min="4649" max="4649" width="9" style="2960" customWidth="1"/>
    <col min="4650" max="4652" width="0" style="2960" hidden="1" customWidth="1"/>
    <col min="4653" max="4864" width="8.88671875" style="2960"/>
    <col min="4865" max="4865" width="44.21875" style="2960" customWidth="1"/>
    <col min="4866" max="4866" width="7.109375" style="2960" customWidth="1"/>
    <col min="4867" max="4867" width="15.88671875" style="2960" customWidth="1"/>
    <col min="4868" max="4868" width="7.109375" style="2960" customWidth="1"/>
    <col min="4869" max="4869" width="5.21875" style="2960" customWidth="1"/>
    <col min="4870" max="4870" width="44.21875" style="2960" customWidth="1"/>
    <col min="4871" max="4871" width="9" style="2960" customWidth="1"/>
    <col min="4872" max="4872" width="14.109375" style="2960" customWidth="1"/>
    <col min="4873" max="4873" width="20.33203125" style="2960" customWidth="1"/>
    <col min="4874" max="4875" width="15.88671875" style="2960" customWidth="1"/>
    <col min="4876" max="4876" width="22.77734375" style="2960" customWidth="1"/>
    <col min="4877" max="4877" width="9" style="2960" customWidth="1"/>
    <col min="4878" max="4878" width="14.33203125" style="2960" customWidth="1"/>
    <col min="4879" max="4879" width="9" style="2960" customWidth="1"/>
    <col min="4880" max="4880" width="11" style="2960" customWidth="1"/>
    <col min="4881" max="4882" width="17.77734375" style="2960" customWidth="1"/>
    <col min="4883" max="4883" width="14.77734375" style="2960" customWidth="1"/>
    <col min="4884" max="4885" width="12.88671875" style="2960" customWidth="1"/>
    <col min="4886" max="4886" width="20.33203125" style="2960" customWidth="1"/>
    <col min="4887" max="4887" width="9" style="2960" customWidth="1"/>
    <col min="4888" max="4891" width="10.21875" style="2960" customWidth="1"/>
    <col min="4892" max="4892" width="21.6640625" style="2960" customWidth="1"/>
    <col min="4893" max="4893" width="9" style="2960" customWidth="1"/>
    <col min="4894" max="4894" width="35.44140625" style="2960" customWidth="1"/>
    <col min="4895" max="4897" width="12.109375" style="2960" customWidth="1"/>
    <col min="4898" max="4899" width="18.21875" style="2960" customWidth="1"/>
    <col min="4900" max="4901" width="16.33203125" style="2960" customWidth="1"/>
    <col min="4902" max="4903" width="25" style="2960" customWidth="1"/>
    <col min="4904" max="4904" width="7.109375" style="2960" customWidth="1"/>
    <col min="4905" max="4905" width="9" style="2960" customWidth="1"/>
    <col min="4906" max="4908" width="0" style="2960" hidden="1" customWidth="1"/>
    <col min="4909" max="5120" width="8.88671875" style="2960"/>
    <col min="5121" max="5121" width="44.21875" style="2960" customWidth="1"/>
    <col min="5122" max="5122" width="7.109375" style="2960" customWidth="1"/>
    <col min="5123" max="5123" width="15.88671875" style="2960" customWidth="1"/>
    <col min="5124" max="5124" width="7.109375" style="2960" customWidth="1"/>
    <col min="5125" max="5125" width="5.21875" style="2960" customWidth="1"/>
    <col min="5126" max="5126" width="44.21875" style="2960" customWidth="1"/>
    <col min="5127" max="5127" width="9" style="2960" customWidth="1"/>
    <col min="5128" max="5128" width="14.109375" style="2960" customWidth="1"/>
    <col min="5129" max="5129" width="20.33203125" style="2960" customWidth="1"/>
    <col min="5130" max="5131" width="15.88671875" style="2960" customWidth="1"/>
    <col min="5132" max="5132" width="22.77734375" style="2960" customWidth="1"/>
    <col min="5133" max="5133" width="9" style="2960" customWidth="1"/>
    <col min="5134" max="5134" width="14.33203125" style="2960" customWidth="1"/>
    <col min="5135" max="5135" width="9" style="2960" customWidth="1"/>
    <col min="5136" max="5136" width="11" style="2960" customWidth="1"/>
    <col min="5137" max="5138" width="17.77734375" style="2960" customWidth="1"/>
    <col min="5139" max="5139" width="14.77734375" style="2960" customWidth="1"/>
    <col min="5140" max="5141" width="12.88671875" style="2960" customWidth="1"/>
    <col min="5142" max="5142" width="20.33203125" style="2960" customWidth="1"/>
    <col min="5143" max="5143" width="9" style="2960" customWidth="1"/>
    <col min="5144" max="5147" width="10.21875" style="2960" customWidth="1"/>
    <col min="5148" max="5148" width="21.6640625" style="2960" customWidth="1"/>
    <col min="5149" max="5149" width="9" style="2960" customWidth="1"/>
    <col min="5150" max="5150" width="35.44140625" style="2960" customWidth="1"/>
    <col min="5151" max="5153" width="12.109375" style="2960" customWidth="1"/>
    <col min="5154" max="5155" width="18.21875" style="2960" customWidth="1"/>
    <col min="5156" max="5157" width="16.33203125" style="2960" customWidth="1"/>
    <col min="5158" max="5159" width="25" style="2960" customWidth="1"/>
    <col min="5160" max="5160" width="7.109375" style="2960" customWidth="1"/>
    <col min="5161" max="5161" width="9" style="2960" customWidth="1"/>
    <col min="5162" max="5164" width="0" style="2960" hidden="1" customWidth="1"/>
    <col min="5165" max="5376" width="8.88671875" style="2960"/>
    <col min="5377" max="5377" width="44.21875" style="2960" customWidth="1"/>
    <col min="5378" max="5378" width="7.109375" style="2960" customWidth="1"/>
    <col min="5379" max="5379" width="15.88671875" style="2960" customWidth="1"/>
    <col min="5380" max="5380" width="7.109375" style="2960" customWidth="1"/>
    <col min="5381" max="5381" width="5.21875" style="2960" customWidth="1"/>
    <col min="5382" max="5382" width="44.21875" style="2960" customWidth="1"/>
    <col min="5383" max="5383" width="9" style="2960" customWidth="1"/>
    <col min="5384" max="5384" width="14.109375" style="2960" customWidth="1"/>
    <col min="5385" max="5385" width="20.33203125" style="2960" customWidth="1"/>
    <col min="5386" max="5387" width="15.88671875" style="2960" customWidth="1"/>
    <col min="5388" max="5388" width="22.77734375" style="2960" customWidth="1"/>
    <col min="5389" max="5389" width="9" style="2960" customWidth="1"/>
    <col min="5390" max="5390" width="14.33203125" style="2960" customWidth="1"/>
    <col min="5391" max="5391" width="9" style="2960" customWidth="1"/>
    <col min="5392" max="5392" width="11" style="2960" customWidth="1"/>
    <col min="5393" max="5394" width="17.77734375" style="2960" customWidth="1"/>
    <col min="5395" max="5395" width="14.77734375" style="2960" customWidth="1"/>
    <col min="5396" max="5397" width="12.88671875" style="2960" customWidth="1"/>
    <col min="5398" max="5398" width="20.33203125" style="2960" customWidth="1"/>
    <col min="5399" max="5399" width="9" style="2960" customWidth="1"/>
    <col min="5400" max="5403" width="10.21875" style="2960" customWidth="1"/>
    <col min="5404" max="5404" width="21.6640625" style="2960" customWidth="1"/>
    <col min="5405" max="5405" width="9" style="2960" customWidth="1"/>
    <col min="5406" max="5406" width="35.44140625" style="2960" customWidth="1"/>
    <col min="5407" max="5409" width="12.109375" style="2960" customWidth="1"/>
    <col min="5410" max="5411" width="18.21875" style="2960" customWidth="1"/>
    <col min="5412" max="5413" width="16.33203125" style="2960" customWidth="1"/>
    <col min="5414" max="5415" width="25" style="2960" customWidth="1"/>
    <col min="5416" max="5416" width="7.109375" style="2960" customWidth="1"/>
    <col min="5417" max="5417" width="9" style="2960" customWidth="1"/>
    <col min="5418" max="5420" width="0" style="2960" hidden="1" customWidth="1"/>
    <col min="5421" max="5632" width="8.88671875" style="2960"/>
    <col min="5633" max="5633" width="44.21875" style="2960" customWidth="1"/>
    <col min="5634" max="5634" width="7.109375" style="2960" customWidth="1"/>
    <col min="5635" max="5635" width="15.88671875" style="2960" customWidth="1"/>
    <col min="5636" max="5636" width="7.109375" style="2960" customWidth="1"/>
    <col min="5637" max="5637" width="5.21875" style="2960" customWidth="1"/>
    <col min="5638" max="5638" width="44.21875" style="2960" customWidth="1"/>
    <col min="5639" max="5639" width="9" style="2960" customWidth="1"/>
    <col min="5640" max="5640" width="14.109375" style="2960" customWidth="1"/>
    <col min="5641" max="5641" width="20.33203125" style="2960" customWidth="1"/>
    <col min="5642" max="5643" width="15.88671875" style="2960" customWidth="1"/>
    <col min="5644" max="5644" width="22.77734375" style="2960" customWidth="1"/>
    <col min="5645" max="5645" width="9" style="2960" customWidth="1"/>
    <col min="5646" max="5646" width="14.33203125" style="2960" customWidth="1"/>
    <col min="5647" max="5647" width="9" style="2960" customWidth="1"/>
    <col min="5648" max="5648" width="11" style="2960" customWidth="1"/>
    <col min="5649" max="5650" width="17.77734375" style="2960" customWidth="1"/>
    <col min="5651" max="5651" width="14.77734375" style="2960" customWidth="1"/>
    <col min="5652" max="5653" width="12.88671875" style="2960" customWidth="1"/>
    <col min="5654" max="5654" width="20.33203125" style="2960" customWidth="1"/>
    <col min="5655" max="5655" width="9" style="2960" customWidth="1"/>
    <col min="5656" max="5659" width="10.21875" style="2960" customWidth="1"/>
    <col min="5660" max="5660" width="21.6640625" style="2960" customWidth="1"/>
    <col min="5661" max="5661" width="9" style="2960" customWidth="1"/>
    <col min="5662" max="5662" width="35.44140625" style="2960" customWidth="1"/>
    <col min="5663" max="5665" width="12.109375" style="2960" customWidth="1"/>
    <col min="5666" max="5667" width="18.21875" style="2960" customWidth="1"/>
    <col min="5668" max="5669" width="16.33203125" style="2960" customWidth="1"/>
    <col min="5670" max="5671" width="25" style="2960" customWidth="1"/>
    <col min="5672" max="5672" width="7.109375" style="2960" customWidth="1"/>
    <col min="5673" max="5673" width="9" style="2960" customWidth="1"/>
    <col min="5674" max="5676" width="0" style="2960" hidden="1" customWidth="1"/>
    <col min="5677" max="5888" width="8.88671875" style="2960"/>
    <col min="5889" max="5889" width="44.21875" style="2960" customWidth="1"/>
    <col min="5890" max="5890" width="7.109375" style="2960" customWidth="1"/>
    <col min="5891" max="5891" width="15.88671875" style="2960" customWidth="1"/>
    <col min="5892" max="5892" width="7.109375" style="2960" customWidth="1"/>
    <col min="5893" max="5893" width="5.21875" style="2960" customWidth="1"/>
    <col min="5894" max="5894" width="44.21875" style="2960" customWidth="1"/>
    <col min="5895" max="5895" width="9" style="2960" customWidth="1"/>
    <col min="5896" max="5896" width="14.109375" style="2960" customWidth="1"/>
    <col min="5897" max="5897" width="20.33203125" style="2960" customWidth="1"/>
    <col min="5898" max="5899" width="15.88671875" style="2960" customWidth="1"/>
    <col min="5900" max="5900" width="22.77734375" style="2960" customWidth="1"/>
    <col min="5901" max="5901" width="9" style="2960" customWidth="1"/>
    <col min="5902" max="5902" width="14.33203125" style="2960" customWidth="1"/>
    <col min="5903" max="5903" width="9" style="2960" customWidth="1"/>
    <col min="5904" max="5904" width="11" style="2960" customWidth="1"/>
    <col min="5905" max="5906" width="17.77734375" style="2960" customWidth="1"/>
    <col min="5907" max="5907" width="14.77734375" style="2960" customWidth="1"/>
    <col min="5908" max="5909" width="12.88671875" style="2960" customWidth="1"/>
    <col min="5910" max="5910" width="20.33203125" style="2960" customWidth="1"/>
    <col min="5911" max="5911" width="9" style="2960" customWidth="1"/>
    <col min="5912" max="5915" width="10.21875" style="2960" customWidth="1"/>
    <col min="5916" max="5916" width="21.6640625" style="2960" customWidth="1"/>
    <col min="5917" max="5917" width="9" style="2960" customWidth="1"/>
    <col min="5918" max="5918" width="35.44140625" style="2960" customWidth="1"/>
    <col min="5919" max="5921" width="12.109375" style="2960" customWidth="1"/>
    <col min="5922" max="5923" width="18.21875" style="2960" customWidth="1"/>
    <col min="5924" max="5925" width="16.33203125" style="2960" customWidth="1"/>
    <col min="5926" max="5927" width="25" style="2960" customWidth="1"/>
    <col min="5928" max="5928" width="7.109375" style="2960" customWidth="1"/>
    <col min="5929" max="5929" width="9" style="2960" customWidth="1"/>
    <col min="5930" max="5932" width="0" style="2960" hidden="1" customWidth="1"/>
    <col min="5933" max="6144" width="8.88671875" style="2960"/>
    <col min="6145" max="6145" width="44.21875" style="2960" customWidth="1"/>
    <col min="6146" max="6146" width="7.109375" style="2960" customWidth="1"/>
    <col min="6147" max="6147" width="15.88671875" style="2960" customWidth="1"/>
    <col min="6148" max="6148" width="7.109375" style="2960" customWidth="1"/>
    <col min="6149" max="6149" width="5.21875" style="2960" customWidth="1"/>
    <col min="6150" max="6150" width="44.21875" style="2960" customWidth="1"/>
    <col min="6151" max="6151" width="9" style="2960" customWidth="1"/>
    <col min="6152" max="6152" width="14.109375" style="2960" customWidth="1"/>
    <col min="6153" max="6153" width="20.33203125" style="2960" customWidth="1"/>
    <col min="6154" max="6155" width="15.88671875" style="2960" customWidth="1"/>
    <col min="6156" max="6156" width="22.77734375" style="2960" customWidth="1"/>
    <col min="6157" max="6157" width="9" style="2960" customWidth="1"/>
    <col min="6158" max="6158" width="14.33203125" style="2960" customWidth="1"/>
    <col min="6159" max="6159" width="9" style="2960" customWidth="1"/>
    <col min="6160" max="6160" width="11" style="2960" customWidth="1"/>
    <col min="6161" max="6162" width="17.77734375" style="2960" customWidth="1"/>
    <col min="6163" max="6163" width="14.77734375" style="2960" customWidth="1"/>
    <col min="6164" max="6165" width="12.88671875" style="2960" customWidth="1"/>
    <col min="6166" max="6166" width="20.33203125" style="2960" customWidth="1"/>
    <col min="6167" max="6167" width="9" style="2960" customWidth="1"/>
    <col min="6168" max="6171" width="10.21875" style="2960" customWidth="1"/>
    <col min="6172" max="6172" width="21.6640625" style="2960" customWidth="1"/>
    <col min="6173" max="6173" width="9" style="2960" customWidth="1"/>
    <col min="6174" max="6174" width="35.44140625" style="2960" customWidth="1"/>
    <col min="6175" max="6177" width="12.109375" style="2960" customWidth="1"/>
    <col min="6178" max="6179" width="18.21875" style="2960" customWidth="1"/>
    <col min="6180" max="6181" width="16.33203125" style="2960" customWidth="1"/>
    <col min="6182" max="6183" width="25" style="2960" customWidth="1"/>
    <col min="6184" max="6184" width="7.109375" style="2960" customWidth="1"/>
    <col min="6185" max="6185" width="9" style="2960" customWidth="1"/>
    <col min="6186" max="6188" width="0" style="2960" hidden="1" customWidth="1"/>
    <col min="6189" max="6400" width="8.88671875" style="2960"/>
    <col min="6401" max="6401" width="44.21875" style="2960" customWidth="1"/>
    <col min="6402" max="6402" width="7.109375" style="2960" customWidth="1"/>
    <col min="6403" max="6403" width="15.88671875" style="2960" customWidth="1"/>
    <col min="6404" max="6404" width="7.109375" style="2960" customWidth="1"/>
    <col min="6405" max="6405" width="5.21875" style="2960" customWidth="1"/>
    <col min="6406" max="6406" width="44.21875" style="2960" customWidth="1"/>
    <col min="6407" max="6407" width="9" style="2960" customWidth="1"/>
    <col min="6408" max="6408" width="14.109375" style="2960" customWidth="1"/>
    <col min="6409" max="6409" width="20.33203125" style="2960" customWidth="1"/>
    <col min="6410" max="6411" width="15.88671875" style="2960" customWidth="1"/>
    <col min="6412" max="6412" width="22.77734375" style="2960" customWidth="1"/>
    <col min="6413" max="6413" width="9" style="2960" customWidth="1"/>
    <col min="6414" max="6414" width="14.33203125" style="2960" customWidth="1"/>
    <col min="6415" max="6415" width="9" style="2960" customWidth="1"/>
    <col min="6416" max="6416" width="11" style="2960" customWidth="1"/>
    <col min="6417" max="6418" width="17.77734375" style="2960" customWidth="1"/>
    <col min="6419" max="6419" width="14.77734375" style="2960" customWidth="1"/>
    <col min="6420" max="6421" width="12.88671875" style="2960" customWidth="1"/>
    <col min="6422" max="6422" width="20.33203125" style="2960" customWidth="1"/>
    <col min="6423" max="6423" width="9" style="2960" customWidth="1"/>
    <col min="6424" max="6427" width="10.21875" style="2960" customWidth="1"/>
    <col min="6428" max="6428" width="21.6640625" style="2960" customWidth="1"/>
    <col min="6429" max="6429" width="9" style="2960" customWidth="1"/>
    <col min="6430" max="6430" width="35.44140625" style="2960" customWidth="1"/>
    <col min="6431" max="6433" width="12.109375" style="2960" customWidth="1"/>
    <col min="6434" max="6435" width="18.21875" style="2960" customWidth="1"/>
    <col min="6436" max="6437" width="16.33203125" style="2960" customWidth="1"/>
    <col min="6438" max="6439" width="25" style="2960" customWidth="1"/>
    <col min="6440" max="6440" width="7.109375" style="2960" customWidth="1"/>
    <col min="6441" max="6441" width="9" style="2960" customWidth="1"/>
    <col min="6442" max="6444" width="0" style="2960" hidden="1" customWidth="1"/>
    <col min="6445" max="6656" width="8.88671875" style="2960"/>
    <col min="6657" max="6657" width="44.21875" style="2960" customWidth="1"/>
    <col min="6658" max="6658" width="7.109375" style="2960" customWidth="1"/>
    <col min="6659" max="6659" width="15.88671875" style="2960" customWidth="1"/>
    <col min="6660" max="6660" width="7.109375" style="2960" customWidth="1"/>
    <col min="6661" max="6661" width="5.21875" style="2960" customWidth="1"/>
    <col min="6662" max="6662" width="44.21875" style="2960" customWidth="1"/>
    <col min="6663" max="6663" width="9" style="2960" customWidth="1"/>
    <col min="6664" max="6664" width="14.109375" style="2960" customWidth="1"/>
    <col min="6665" max="6665" width="20.33203125" style="2960" customWidth="1"/>
    <col min="6666" max="6667" width="15.88671875" style="2960" customWidth="1"/>
    <col min="6668" max="6668" width="22.77734375" style="2960" customWidth="1"/>
    <col min="6669" max="6669" width="9" style="2960" customWidth="1"/>
    <col min="6670" max="6670" width="14.33203125" style="2960" customWidth="1"/>
    <col min="6671" max="6671" width="9" style="2960" customWidth="1"/>
    <col min="6672" max="6672" width="11" style="2960" customWidth="1"/>
    <col min="6673" max="6674" width="17.77734375" style="2960" customWidth="1"/>
    <col min="6675" max="6675" width="14.77734375" style="2960" customWidth="1"/>
    <col min="6676" max="6677" width="12.88671875" style="2960" customWidth="1"/>
    <col min="6678" max="6678" width="20.33203125" style="2960" customWidth="1"/>
    <col min="6679" max="6679" width="9" style="2960" customWidth="1"/>
    <col min="6680" max="6683" width="10.21875" style="2960" customWidth="1"/>
    <col min="6684" max="6684" width="21.6640625" style="2960" customWidth="1"/>
    <col min="6685" max="6685" width="9" style="2960" customWidth="1"/>
    <col min="6686" max="6686" width="35.44140625" style="2960" customWidth="1"/>
    <col min="6687" max="6689" width="12.109375" style="2960" customWidth="1"/>
    <col min="6690" max="6691" width="18.21875" style="2960" customWidth="1"/>
    <col min="6692" max="6693" width="16.33203125" style="2960" customWidth="1"/>
    <col min="6694" max="6695" width="25" style="2960" customWidth="1"/>
    <col min="6696" max="6696" width="7.109375" style="2960" customWidth="1"/>
    <col min="6697" max="6697" width="9" style="2960" customWidth="1"/>
    <col min="6698" max="6700" width="0" style="2960" hidden="1" customWidth="1"/>
    <col min="6701" max="6912" width="8.88671875" style="2960"/>
    <col min="6913" max="6913" width="44.21875" style="2960" customWidth="1"/>
    <col min="6914" max="6914" width="7.109375" style="2960" customWidth="1"/>
    <col min="6915" max="6915" width="15.88671875" style="2960" customWidth="1"/>
    <col min="6916" max="6916" width="7.109375" style="2960" customWidth="1"/>
    <col min="6917" max="6917" width="5.21875" style="2960" customWidth="1"/>
    <col min="6918" max="6918" width="44.21875" style="2960" customWidth="1"/>
    <col min="6919" max="6919" width="9" style="2960" customWidth="1"/>
    <col min="6920" max="6920" width="14.109375" style="2960" customWidth="1"/>
    <col min="6921" max="6921" width="20.33203125" style="2960" customWidth="1"/>
    <col min="6922" max="6923" width="15.88671875" style="2960" customWidth="1"/>
    <col min="6924" max="6924" width="22.77734375" style="2960" customWidth="1"/>
    <col min="6925" max="6925" width="9" style="2960" customWidth="1"/>
    <col min="6926" max="6926" width="14.33203125" style="2960" customWidth="1"/>
    <col min="6927" max="6927" width="9" style="2960" customWidth="1"/>
    <col min="6928" max="6928" width="11" style="2960" customWidth="1"/>
    <col min="6929" max="6930" width="17.77734375" style="2960" customWidth="1"/>
    <col min="6931" max="6931" width="14.77734375" style="2960" customWidth="1"/>
    <col min="6932" max="6933" width="12.88671875" style="2960" customWidth="1"/>
    <col min="6934" max="6934" width="20.33203125" style="2960" customWidth="1"/>
    <col min="6935" max="6935" width="9" style="2960" customWidth="1"/>
    <col min="6936" max="6939" width="10.21875" style="2960" customWidth="1"/>
    <col min="6940" max="6940" width="21.6640625" style="2960" customWidth="1"/>
    <col min="6941" max="6941" width="9" style="2960" customWidth="1"/>
    <col min="6942" max="6942" width="35.44140625" style="2960" customWidth="1"/>
    <col min="6943" max="6945" width="12.109375" style="2960" customWidth="1"/>
    <col min="6946" max="6947" width="18.21875" style="2960" customWidth="1"/>
    <col min="6948" max="6949" width="16.33203125" style="2960" customWidth="1"/>
    <col min="6950" max="6951" width="25" style="2960" customWidth="1"/>
    <col min="6952" max="6952" width="7.109375" style="2960" customWidth="1"/>
    <col min="6953" max="6953" width="9" style="2960" customWidth="1"/>
    <col min="6954" max="6956" width="0" style="2960" hidden="1" customWidth="1"/>
    <col min="6957" max="7168" width="8.88671875" style="2960"/>
    <col min="7169" max="7169" width="44.21875" style="2960" customWidth="1"/>
    <col min="7170" max="7170" width="7.109375" style="2960" customWidth="1"/>
    <col min="7171" max="7171" width="15.88671875" style="2960" customWidth="1"/>
    <col min="7172" max="7172" width="7.109375" style="2960" customWidth="1"/>
    <col min="7173" max="7173" width="5.21875" style="2960" customWidth="1"/>
    <col min="7174" max="7174" width="44.21875" style="2960" customWidth="1"/>
    <col min="7175" max="7175" width="9" style="2960" customWidth="1"/>
    <col min="7176" max="7176" width="14.109375" style="2960" customWidth="1"/>
    <col min="7177" max="7177" width="20.33203125" style="2960" customWidth="1"/>
    <col min="7178" max="7179" width="15.88671875" style="2960" customWidth="1"/>
    <col min="7180" max="7180" width="22.77734375" style="2960" customWidth="1"/>
    <col min="7181" max="7181" width="9" style="2960" customWidth="1"/>
    <col min="7182" max="7182" width="14.33203125" style="2960" customWidth="1"/>
    <col min="7183" max="7183" width="9" style="2960" customWidth="1"/>
    <col min="7184" max="7184" width="11" style="2960" customWidth="1"/>
    <col min="7185" max="7186" width="17.77734375" style="2960" customWidth="1"/>
    <col min="7187" max="7187" width="14.77734375" style="2960" customWidth="1"/>
    <col min="7188" max="7189" width="12.88671875" style="2960" customWidth="1"/>
    <col min="7190" max="7190" width="20.33203125" style="2960" customWidth="1"/>
    <col min="7191" max="7191" width="9" style="2960" customWidth="1"/>
    <col min="7192" max="7195" width="10.21875" style="2960" customWidth="1"/>
    <col min="7196" max="7196" width="21.6640625" style="2960" customWidth="1"/>
    <col min="7197" max="7197" width="9" style="2960" customWidth="1"/>
    <col min="7198" max="7198" width="35.44140625" style="2960" customWidth="1"/>
    <col min="7199" max="7201" width="12.109375" style="2960" customWidth="1"/>
    <col min="7202" max="7203" width="18.21875" style="2960" customWidth="1"/>
    <col min="7204" max="7205" width="16.33203125" style="2960" customWidth="1"/>
    <col min="7206" max="7207" width="25" style="2960" customWidth="1"/>
    <col min="7208" max="7208" width="7.109375" style="2960" customWidth="1"/>
    <col min="7209" max="7209" width="9" style="2960" customWidth="1"/>
    <col min="7210" max="7212" width="0" style="2960" hidden="1" customWidth="1"/>
    <col min="7213" max="7424" width="8.88671875" style="2960"/>
    <col min="7425" max="7425" width="44.21875" style="2960" customWidth="1"/>
    <col min="7426" max="7426" width="7.109375" style="2960" customWidth="1"/>
    <col min="7427" max="7427" width="15.88671875" style="2960" customWidth="1"/>
    <col min="7428" max="7428" width="7.109375" style="2960" customWidth="1"/>
    <col min="7429" max="7429" width="5.21875" style="2960" customWidth="1"/>
    <col min="7430" max="7430" width="44.21875" style="2960" customWidth="1"/>
    <col min="7431" max="7431" width="9" style="2960" customWidth="1"/>
    <col min="7432" max="7432" width="14.109375" style="2960" customWidth="1"/>
    <col min="7433" max="7433" width="20.33203125" style="2960" customWidth="1"/>
    <col min="7434" max="7435" width="15.88671875" style="2960" customWidth="1"/>
    <col min="7436" max="7436" width="22.77734375" style="2960" customWidth="1"/>
    <col min="7437" max="7437" width="9" style="2960" customWidth="1"/>
    <col min="7438" max="7438" width="14.33203125" style="2960" customWidth="1"/>
    <col min="7439" max="7439" width="9" style="2960" customWidth="1"/>
    <col min="7440" max="7440" width="11" style="2960" customWidth="1"/>
    <col min="7441" max="7442" width="17.77734375" style="2960" customWidth="1"/>
    <col min="7443" max="7443" width="14.77734375" style="2960" customWidth="1"/>
    <col min="7444" max="7445" width="12.88671875" style="2960" customWidth="1"/>
    <col min="7446" max="7446" width="20.33203125" style="2960" customWidth="1"/>
    <col min="7447" max="7447" width="9" style="2960" customWidth="1"/>
    <col min="7448" max="7451" width="10.21875" style="2960" customWidth="1"/>
    <col min="7452" max="7452" width="21.6640625" style="2960" customWidth="1"/>
    <col min="7453" max="7453" width="9" style="2960" customWidth="1"/>
    <col min="7454" max="7454" width="35.44140625" style="2960" customWidth="1"/>
    <col min="7455" max="7457" width="12.109375" style="2960" customWidth="1"/>
    <col min="7458" max="7459" width="18.21875" style="2960" customWidth="1"/>
    <col min="7460" max="7461" width="16.33203125" style="2960" customWidth="1"/>
    <col min="7462" max="7463" width="25" style="2960" customWidth="1"/>
    <col min="7464" max="7464" width="7.109375" style="2960" customWidth="1"/>
    <col min="7465" max="7465" width="9" style="2960" customWidth="1"/>
    <col min="7466" max="7468" width="0" style="2960" hidden="1" customWidth="1"/>
    <col min="7469" max="7680" width="8.88671875" style="2960"/>
    <col min="7681" max="7681" width="44.21875" style="2960" customWidth="1"/>
    <col min="7682" max="7682" width="7.109375" style="2960" customWidth="1"/>
    <col min="7683" max="7683" width="15.88671875" style="2960" customWidth="1"/>
    <col min="7684" max="7684" width="7.109375" style="2960" customWidth="1"/>
    <col min="7685" max="7685" width="5.21875" style="2960" customWidth="1"/>
    <col min="7686" max="7686" width="44.21875" style="2960" customWidth="1"/>
    <col min="7687" max="7687" width="9" style="2960" customWidth="1"/>
    <col min="7688" max="7688" width="14.109375" style="2960" customWidth="1"/>
    <col min="7689" max="7689" width="20.33203125" style="2960" customWidth="1"/>
    <col min="7690" max="7691" width="15.88671875" style="2960" customWidth="1"/>
    <col min="7692" max="7692" width="22.77734375" style="2960" customWidth="1"/>
    <col min="7693" max="7693" width="9" style="2960" customWidth="1"/>
    <col min="7694" max="7694" width="14.33203125" style="2960" customWidth="1"/>
    <col min="7695" max="7695" width="9" style="2960" customWidth="1"/>
    <col min="7696" max="7696" width="11" style="2960" customWidth="1"/>
    <col min="7697" max="7698" width="17.77734375" style="2960" customWidth="1"/>
    <col min="7699" max="7699" width="14.77734375" style="2960" customWidth="1"/>
    <col min="7700" max="7701" width="12.88671875" style="2960" customWidth="1"/>
    <col min="7702" max="7702" width="20.33203125" style="2960" customWidth="1"/>
    <col min="7703" max="7703" width="9" style="2960" customWidth="1"/>
    <col min="7704" max="7707" width="10.21875" style="2960" customWidth="1"/>
    <col min="7708" max="7708" width="21.6640625" style="2960" customWidth="1"/>
    <col min="7709" max="7709" width="9" style="2960" customWidth="1"/>
    <col min="7710" max="7710" width="35.44140625" style="2960" customWidth="1"/>
    <col min="7711" max="7713" width="12.109375" style="2960" customWidth="1"/>
    <col min="7714" max="7715" width="18.21875" style="2960" customWidth="1"/>
    <col min="7716" max="7717" width="16.33203125" style="2960" customWidth="1"/>
    <col min="7718" max="7719" width="25" style="2960" customWidth="1"/>
    <col min="7720" max="7720" width="7.109375" style="2960" customWidth="1"/>
    <col min="7721" max="7721" width="9" style="2960" customWidth="1"/>
    <col min="7722" max="7724" width="0" style="2960" hidden="1" customWidth="1"/>
    <col min="7725" max="7936" width="8.88671875" style="2960"/>
    <col min="7937" max="7937" width="44.21875" style="2960" customWidth="1"/>
    <col min="7938" max="7938" width="7.109375" style="2960" customWidth="1"/>
    <col min="7939" max="7939" width="15.88671875" style="2960" customWidth="1"/>
    <col min="7940" max="7940" width="7.109375" style="2960" customWidth="1"/>
    <col min="7941" max="7941" width="5.21875" style="2960" customWidth="1"/>
    <col min="7942" max="7942" width="44.21875" style="2960" customWidth="1"/>
    <col min="7943" max="7943" width="9" style="2960" customWidth="1"/>
    <col min="7944" max="7944" width="14.109375" style="2960" customWidth="1"/>
    <col min="7945" max="7945" width="20.33203125" style="2960" customWidth="1"/>
    <col min="7946" max="7947" width="15.88671875" style="2960" customWidth="1"/>
    <col min="7948" max="7948" width="22.77734375" style="2960" customWidth="1"/>
    <col min="7949" max="7949" width="9" style="2960" customWidth="1"/>
    <col min="7950" max="7950" width="14.33203125" style="2960" customWidth="1"/>
    <col min="7951" max="7951" width="9" style="2960" customWidth="1"/>
    <col min="7952" max="7952" width="11" style="2960" customWidth="1"/>
    <col min="7953" max="7954" width="17.77734375" style="2960" customWidth="1"/>
    <col min="7955" max="7955" width="14.77734375" style="2960" customWidth="1"/>
    <col min="7956" max="7957" width="12.88671875" style="2960" customWidth="1"/>
    <col min="7958" max="7958" width="20.33203125" style="2960" customWidth="1"/>
    <col min="7959" max="7959" width="9" style="2960" customWidth="1"/>
    <col min="7960" max="7963" width="10.21875" style="2960" customWidth="1"/>
    <col min="7964" max="7964" width="21.6640625" style="2960" customWidth="1"/>
    <col min="7965" max="7965" width="9" style="2960" customWidth="1"/>
    <col min="7966" max="7966" width="35.44140625" style="2960" customWidth="1"/>
    <col min="7967" max="7969" width="12.109375" style="2960" customWidth="1"/>
    <col min="7970" max="7971" width="18.21875" style="2960" customWidth="1"/>
    <col min="7972" max="7973" width="16.33203125" style="2960" customWidth="1"/>
    <col min="7974" max="7975" width="25" style="2960" customWidth="1"/>
    <col min="7976" max="7976" width="7.109375" style="2960" customWidth="1"/>
    <col min="7977" max="7977" width="9" style="2960" customWidth="1"/>
    <col min="7978" max="7980" width="0" style="2960" hidden="1" customWidth="1"/>
    <col min="7981" max="8192" width="8.88671875" style="2960"/>
    <col min="8193" max="8193" width="44.21875" style="2960" customWidth="1"/>
    <col min="8194" max="8194" width="7.109375" style="2960" customWidth="1"/>
    <col min="8195" max="8195" width="15.88671875" style="2960" customWidth="1"/>
    <col min="8196" max="8196" width="7.109375" style="2960" customWidth="1"/>
    <col min="8197" max="8197" width="5.21875" style="2960" customWidth="1"/>
    <col min="8198" max="8198" width="44.21875" style="2960" customWidth="1"/>
    <col min="8199" max="8199" width="9" style="2960" customWidth="1"/>
    <col min="8200" max="8200" width="14.109375" style="2960" customWidth="1"/>
    <col min="8201" max="8201" width="20.33203125" style="2960" customWidth="1"/>
    <col min="8202" max="8203" width="15.88671875" style="2960" customWidth="1"/>
    <col min="8204" max="8204" width="22.77734375" style="2960" customWidth="1"/>
    <col min="8205" max="8205" width="9" style="2960" customWidth="1"/>
    <col min="8206" max="8206" width="14.33203125" style="2960" customWidth="1"/>
    <col min="8207" max="8207" width="9" style="2960" customWidth="1"/>
    <col min="8208" max="8208" width="11" style="2960" customWidth="1"/>
    <col min="8209" max="8210" width="17.77734375" style="2960" customWidth="1"/>
    <col min="8211" max="8211" width="14.77734375" style="2960" customWidth="1"/>
    <col min="8212" max="8213" width="12.88671875" style="2960" customWidth="1"/>
    <col min="8214" max="8214" width="20.33203125" style="2960" customWidth="1"/>
    <col min="8215" max="8215" width="9" style="2960" customWidth="1"/>
    <col min="8216" max="8219" width="10.21875" style="2960" customWidth="1"/>
    <col min="8220" max="8220" width="21.6640625" style="2960" customWidth="1"/>
    <col min="8221" max="8221" width="9" style="2960" customWidth="1"/>
    <col min="8222" max="8222" width="35.44140625" style="2960" customWidth="1"/>
    <col min="8223" max="8225" width="12.109375" style="2960" customWidth="1"/>
    <col min="8226" max="8227" width="18.21875" style="2960" customWidth="1"/>
    <col min="8228" max="8229" width="16.33203125" style="2960" customWidth="1"/>
    <col min="8230" max="8231" width="25" style="2960" customWidth="1"/>
    <col min="8232" max="8232" width="7.109375" style="2960" customWidth="1"/>
    <col min="8233" max="8233" width="9" style="2960" customWidth="1"/>
    <col min="8234" max="8236" width="0" style="2960" hidden="1" customWidth="1"/>
    <col min="8237" max="8448" width="8.88671875" style="2960"/>
    <col min="8449" max="8449" width="44.21875" style="2960" customWidth="1"/>
    <col min="8450" max="8450" width="7.109375" style="2960" customWidth="1"/>
    <col min="8451" max="8451" width="15.88671875" style="2960" customWidth="1"/>
    <col min="8452" max="8452" width="7.109375" style="2960" customWidth="1"/>
    <col min="8453" max="8453" width="5.21875" style="2960" customWidth="1"/>
    <col min="8454" max="8454" width="44.21875" style="2960" customWidth="1"/>
    <col min="8455" max="8455" width="9" style="2960" customWidth="1"/>
    <col min="8456" max="8456" width="14.109375" style="2960" customWidth="1"/>
    <col min="8457" max="8457" width="20.33203125" style="2960" customWidth="1"/>
    <col min="8458" max="8459" width="15.88671875" style="2960" customWidth="1"/>
    <col min="8460" max="8460" width="22.77734375" style="2960" customWidth="1"/>
    <col min="8461" max="8461" width="9" style="2960" customWidth="1"/>
    <col min="8462" max="8462" width="14.33203125" style="2960" customWidth="1"/>
    <col min="8463" max="8463" width="9" style="2960" customWidth="1"/>
    <col min="8464" max="8464" width="11" style="2960" customWidth="1"/>
    <col min="8465" max="8466" width="17.77734375" style="2960" customWidth="1"/>
    <col min="8467" max="8467" width="14.77734375" style="2960" customWidth="1"/>
    <col min="8468" max="8469" width="12.88671875" style="2960" customWidth="1"/>
    <col min="8470" max="8470" width="20.33203125" style="2960" customWidth="1"/>
    <col min="8471" max="8471" width="9" style="2960" customWidth="1"/>
    <col min="8472" max="8475" width="10.21875" style="2960" customWidth="1"/>
    <col min="8476" max="8476" width="21.6640625" style="2960" customWidth="1"/>
    <col min="8477" max="8477" width="9" style="2960" customWidth="1"/>
    <col min="8478" max="8478" width="35.44140625" style="2960" customWidth="1"/>
    <col min="8479" max="8481" width="12.109375" style="2960" customWidth="1"/>
    <col min="8482" max="8483" width="18.21875" style="2960" customWidth="1"/>
    <col min="8484" max="8485" width="16.33203125" style="2960" customWidth="1"/>
    <col min="8486" max="8487" width="25" style="2960" customWidth="1"/>
    <col min="8488" max="8488" width="7.109375" style="2960" customWidth="1"/>
    <col min="8489" max="8489" width="9" style="2960" customWidth="1"/>
    <col min="8490" max="8492" width="0" style="2960" hidden="1" customWidth="1"/>
    <col min="8493" max="8704" width="8.88671875" style="2960"/>
    <col min="8705" max="8705" width="44.21875" style="2960" customWidth="1"/>
    <col min="8706" max="8706" width="7.109375" style="2960" customWidth="1"/>
    <col min="8707" max="8707" width="15.88671875" style="2960" customWidth="1"/>
    <col min="8708" max="8708" width="7.109375" style="2960" customWidth="1"/>
    <col min="8709" max="8709" width="5.21875" style="2960" customWidth="1"/>
    <col min="8710" max="8710" width="44.21875" style="2960" customWidth="1"/>
    <col min="8711" max="8711" width="9" style="2960" customWidth="1"/>
    <col min="8712" max="8712" width="14.109375" style="2960" customWidth="1"/>
    <col min="8713" max="8713" width="20.33203125" style="2960" customWidth="1"/>
    <col min="8714" max="8715" width="15.88671875" style="2960" customWidth="1"/>
    <col min="8716" max="8716" width="22.77734375" style="2960" customWidth="1"/>
    <col min="8717" max="8717" width="9" style="2960" customWidth="1"/>
    <col min="8718" max="8718" width="14.33203125" style="2960" customWidth="1"/>
    <col min="8719" max="8719" width="9" style="2960" customWidth="1"/>
    <col min="8720" max="8720" width="11" style="2960" customWidth="1"/>
    <col min="8721" max="8722" width="17.77734375" style="2960" customWidth="1"/>
    <col min="8723" max="8723" width="14.77734375" style="2960" customWidth="1"/>
    <col min="8724" max="8725" width="12.88671875" style="2960" customWidth="1"/>
    <col min="8726" max="8726" width="20.33203125" style="2960" customWidth="1"/>
    <col min="8727" max="8727" width="9" style="2960" customWidth="1"/>
    <col min="8728" max="8731" width="10.21875" style="2960" customWidth="1"/>
    <col min="8732" max="8732" width="21.6640625" style="2960" customWidth="1"/>
    <col min="8733" max="8733" width="9" style="2960" customWidth="1"/>
    <col min="8734" max="8734" width="35.44140625" style="2960" customWidth="1"/>
    <col min="8735" max="8737" width="12.109375" style="2960" customWidth="1"/>
    <col min="8738" max="8739" width="18.21875" style="2960" customWidth="1"/>
    <col min="8740" max="8741" width="16.33203125" style="2960" customWidth="1"/>
    <col min="8742" max="8743" width="25" style="2960" customWidth="1"/>
    <col min="8744" max="8744" width="7.109375" style="2960" customWidth="1"/>
    <col min="8745" max="8745" width="9" style="2960" customWidth="1"/>
    <col min="8746" max="8748" width="0" style="2960" hidden="1" customWidth="1"/>
    <col min="8749" max="8960" width="8.88671875" style="2960"/>
    <col min="8961" max="8961" width="44.21875" style="2960" customWidth="1"/>
    <col min="8962" max="8962" width="7.109375" style="2960" customWidth="1"/>
    <col min="8963" max="8963" width="15.88671875" style="2960" customWidth="1"/>
    <col min="8964" max="8964" width="7.109375" style="2960" customWidth="1"/>
    <col min="8965" max="8965" width="5.21875" style="2960" customWidth="1"/>
    <col min="8966" max="8966" width="44.21875" style="2960" customWidth="1"/>
    <col min="8967" max="8967" width="9" style="2960" customWidth="1"/>
    <col min="8968" max="8968" width="14.109375" style="2960" customWidth="1"/>
    <col min="8969" max="8969" width="20.33203125" style="2960" customWidth="1"/>
    <col min="8970" max="8971" width="15.88671875" style="2960" customWidth="1"/>
    <col min="8972" max="8972" width="22.77734375" style="2960" customWidth="1"/>
    <col min="8973" max="8973" width="9" style="2960" customWidth="1"/>
    <col min="8974" max="8974" width="14.33203125" style="2960" customWidth="1"/>
    <col min="8975" max="8975" width="9" style="2960" customWidth="1"/>
    <col min="8976" max="8976" width="11" style="2960" customWidth="1"/>
    <col min="8977" max="8978" width="17.77734375" style="2960" customWidth="1"/>
    <col min="8979" max="8979" width="14.77734375" style="2960" customWidth="1"/>
    <col min="8980" max="8981" width="12.88671875" style="2960" customWidth="1"/>
    <col min="8982" max="8982" width="20.33203125" style="2960" customWidth="1"/>
    <col min="8983" max="8983" width="9" style="2960" customWidth="1"/>
    <col min="8984" max="8987" width="10.21875" style="2960" customWidth="1"/>
    <col min="8988" max="8988" width="21.6640625" style="2960" customWidth="1"/>
    <col min="8989" max="8989" width="9" style="2960" customWidth="1"/>
    <col min="8990" max="8990" width="35.44140625" style="2960" customWidth="1"/>
    <col min="8991" max="8993" width="12.109375" style="2960" customWidth="1"/>
    <col min="8994" max="8995" width="18.21875" style="2960" customWidth="1"/>
    <col min="8996" max="8997" width="16.33203125" style="2960" customWidth="1"/>
    <col min="8998" max="8999" width="25" style="2960" customWidth="1"/>
    <col min="9000" max="9000" width="7.109375" style="2960" customWidth="1"/>
    <col min="9001" max="9001" width="9" style="2960" customWidth="1"/>
    <col min="9002" max="9004" width="0" style="2960" hidden="1" customWidth="1"/>
    <col min="9005" max="9216" width="8.88671875" style="2960"/>
    <col min="9217" max="9217" width="44.21875" style="2960" customWidth="1"/>
    <col min="9218" max="9218" width="7.109375" style="2960" customWidth="1"/>
    <col min="9219" max="9219" width="15.88671875" style="2960" customWidth="1"/>
    <col min="9220" max="9220" width="7.109375" style="2960" customWidth="1"/>
    <col min="9221" max="9221" width="5.21875" style="2960" customWidth="1"/>
    <col min="9222" max="9222" width="44.21875" style="2960" customWidth="1"/>
    <col min="9223" max="9223" width="9" style="2960" customWidth="1"/>
    <col min="9224" max="9224" width="14.109375" style="2960" customWidth="1"/>
    <col min="9225" max="9225" width="20.33203125" style="2960" customWidth="1"/>
    <col min="9226" max="9227" width="15.88671875" style="2960" customWidth="1"/>
    <col min="9228" max="9228" width="22.77734375" style="2960" customWidth="1"/>
    <col min="9229" max="9229" width="9" style="2960" customWidth="1"/>
    <col min="9230" max="9230" width="14.33203125" style="2960" customWidth="1"/>
    <col min="9231" max="9231" width="9" style="2960" customWidth="1"/>
    <col min="9232" max="9232" width="11" style="2960" customWidth="1"/>
    <col min="9233" max="9234" width="17.77734375" style="2960" customWidth="1"/>
    <col min="9235" max="9235" width="14.77734375" style="2960" customWidth="1"/>
    <col min="9236" max="9237" width="12.88671875" style="2960" customWidth="1"/>
    <col min="9238" max="9238" width="20.33203125" style="2960" customWidth="1"/>
    <col min="9239" max="9239" width="9" style="2960" customWidth="1"/>
    <col min="9240" max="9243" width="10.21875" style="2960" customWidth="1"/>
    <col min="9244" max="9244" width="21.6640625" style="2960" customWidth="1"/>
    <col min="9245" max="9245" width="9" style="2960" customWidth="1"/>
    <col min="9246" max="9246" width="35.44140625" style="2960" customWidth="1"/>
    <col min="9247" max="9249" width="12.109375" style="2960" customWidth="1"/>
    <col min="9250" max="9251" width="18.21875" style="2960" customWidth="1"/>
    <col min="9252" max="9253" width="16.33203125" style="2960" customWidth="1"/>
    <col min="9254" max="9255" width="25" style="2960" customWidth="1"/>
    <col min="9256" max="9256" width="7.109375" style="2960" customWidth="1"/>
    <col min="9257" max="9257" width="9" style="2960" customWidth="1"/>
    <col min="9258" max="9260" width="0" style="2960" hidden="1" customWidth="1"/>
    <col min="9261" max="9472" width="8.88671875" style="2960"/>
    <col min="9473" max="9473" width="44.21875" style="2960" customWidth="1"/>
    <col min="9474" max="9474" width="7.109375" style="2960" customWidth="1"/>
    <col min="9475" max="9475" width="15.88671875" style="2960" customWidth="1"/>
    <col min="9476" max="9476" width="7.109375" style="2960" customWidth="1"/>
    <col min="9477" max="9477" width="5.21875" style="2960" customWidth="1"/>
    <col min="9478" max="9478" width="44.21875" style="2960" customWidth="1"/>
    <col min="9479" max="9479" width="9" style="2960" customWidth="1"/>
    <col min="9480" max="9480" width="14.109375" style="2960" customWidth="1"/>
    <col min="9481" max="9481" width="20.33203125" style="2960" customWidth="1"/>
    <col min="9482" max="9483" width="15.88671875" style="2960" customWidth="1"/>
    <col min="9484" max="9484" width="22.77734375" style="2960" customWidth="1"/>
    <col min="9485" max="9485" width="9" style="2960" customWidth="1"/>
    <col min="9486" max="9486" width="14.33203125" style="2960" customWidth="1"/>
    <col min="9487" max="9487" width="9" style="2960" customWidth="1"/>
    <col min="9488" max="9488" width="11" style="2960" customWidth="1"/>
    <col min="9489" max="9490" width="17.77734375" style="2960" customWidth="1"/>
    <col min="9491" max="9491" width="14.77734375" style="2960" customWidth="1"/>
    <col min="9492" max="9493" width="12.88671875" style="2960" customWidth="1"/>
    <col min="9494" max="9494" width="20.33203125" style="2960" customWidth="1"/>
    <col min="9495" max="9495" width="9" style="2960" customWidth="1"/>
    <col min="9496" max="9499" width="10.21875" style="2960" customWidth="1"/>
    <col min="9500" max="9500" width="21.6640625" style="2960" customWidth="1"/>
    <col min="9501" max="9501" width="9" style="2960" customWidth="1"/>
    <col min="9502" max="9502" width="35.44140625" style="2960" customWidth="1"/>
    <col min="9503" max="9505" width="12.109375" style="2960" customWidth="1"/>
    <col min="9506" max="9507" width="18.21875" style="2960" customWidth="1"/>
    <col min="9508" max="9509" width="16.33203125" style="2960" customWidth="1"/>
    <col min="9510" max="9511" width="25" style="2960" customWidth="1"/>
    <col min="9512" max="9512" width="7.109375" style="2960" customWidth="1"/>
    <col min="9513" max="9513" width="9" style="2960" customWidth="1"/>
    <col min="9514" max="9516" width="0" style="2960" hidden="1" customWidth="1"/>
    <col min="9517" max="9728" width="8.88671875" style="2960"/>
    <col min="9729" max="9729" width="44.21875" style="2960" customWidth="1"/>
    <col min="9730" max="9730" width="7.109375" style="2960" customWidth="1"/>
    <col min="9731" max="9731" width="15.88671875" style="2960" customWidth="1"/>
    <col min="9732" max="9732" width="7.109375" style="2960" customWidth="1"/>
    <col min="9733" max="9733" width="5.21875" style="2960" customWidth="1"/>
    <col min="9734" max="9734" width="44.21875" style="2960" customWidth="1"/>
    <col min="9735" max="9735" width="9" style="2960" customWidth="1"/>
    <col min="9736" max="9736" width="14.109375" style="2960" customWidth="1"/>
    <col min="9737" max="9737" width="20.33203125" style="2960" customWidth="1"/>
    <col min="9738" max="9739" width="15.88671875" style="2960" customWidth="1"/>
    <col min="9740" max="9740" width="22.77734375" style="2960" customWidth="1"/>
    <col min="9741" max="9741" width="9" style="2960" customWidth="1"/>
    <col min="9742" max="9742" width="14.33203125" style="2960" customWidth="1"/>
    <col min="9743" max="9743" width="9" style="2960" customWidth="1"/>
    <col min="9744" max="9744" width="11" style="2960" customWidth="1"/>
    <col min="9745" max="9746" width="17.77734375" style="2960" customWidth="1"/>
    <col min="9747" max="9747" width="14.77734375" style="2960" customWidth="1"/>
    <col min="9748" max="9749" width="12.88671875" style="2960" customWidth="1"/>
    <col min="9750" max="9750" width="20.33203125" style="2960" customWidth="1"/>
    <col min="9751" max="9751" width="9" style="2960" customWidth="1"/>
    <col min="9752" max="9755" width="10.21875" style="2960" customWidth="1"/>
    <col min="9756" max="9756" width="21.6640625" style="2960" customWidth="1"/>
    <col min="9757" max="9757" width="9" style="2960" customWidth="1"/>
    <col min="9758" max="9758" width="35.44140625" style="2960" customWidth="1"/>
    <col min="9759" max="9761" width="12.109375" style="2960" customWidth="1"/>
    <col min="9762" max="9763" width="18.21875" style="2960" customWidth="1"/>
    <col min="9764" max="9765" width="16.33203125" style="2960" customWidth="1"/>
    <col min="9766" max="9767" width="25" style="2960" customWidth="1"/>
    <col min="9768" max="9768" width="7.109375" style="2960" customWidth="1"/>
    <col min="9769" max="9769" width="9" style="2960" customWidth="1"/>
    <col min="9770" max="9772" width="0" style="2960" hidden="1" customWidth="1"/>
    <col min="9773" max="9984" width="8.88671875" style="2960"/>
    <col min="9985" max="9985" width="44.21875" style="2960" customWidth="1"/>
    <col min="9986" max="9986" width="7.109375" style="2960" customWidth="1"/>
    <col min="9987" max="9987" width="15.88671875" style="2960" customWidth="1"/>
    <col min="9988" max="9988" width="7.109375" style="2960" customWidth="1"/>
    <col min="9989" max="9989" width="5.21875" style="2960" customWidth="1"/>
    <col min="9990" max="9990" width="44.21875" style="2960" customWidth="1"/>
    <col min="9991" max="9991" width="9" style="2960" customWidth="1"/>
    <col min="9992" max="9992" width="14.109375" style="2960" customWidth="1"/>
    <col min="9993" max="9993" width="20.33203125" style="2960" customWidth="1"/>
    <col min="9994" max="9995" width="15.88671875" style="2960" customWidth="1"/>
    <col min="9996" max="9996" width="22.77734375" style="2960" customWidth="1"/>
    <col min="9997" max="9997" width="9" style="2960" customWidth="1"/>
    <col min="9998" max="9998" width="14.33203125" style="2960" customWidth="1"/>
    <col min="9999" max="9999" width="9" style="2960" customWidth="1"/>
    <col min="10000" max="10000" width="11" style="2960" customWidth="1"/>
    <col min="10001" max="10002" width="17.77734375" style="2960" customWidth="1"/>
    <col min="10003" max="10003" width="14.77734375" style="2960" customWidth="1"/>
    <col min="10004" max="10005" width="12.88671875" style="2960" customWidth="1"/>
    <col min="10006" max="10006" width="20.33203125" style="2960" customWidth="1"/>
    <col min="10007" max="10007" width="9" style="2960" customWidth="1"/>
    <col min="10008" max="10011" width="10.21875" style="2960" customWidth="1"/>
    <col min="10012" max="10012" width="21.6640625" style="2960" customWidth="1"/>
    <col min="10013" max="10013" width="9" style="2960" customWidth="1"/>
    <col min="10014" max="10014" width="35.44140625" style="2960" customWidth="1"/>
    <col min="10015" max="10017" width="12.109375" style="2960" customWidth="1"/>
    <col min="10018" max="10019" width="18.21875" style="2960" customWidth="1"/>
    <col min="10020" max="10021" width="16.33203125" style="2960" customWidth="1"/>
    <col min="10022" max="10023" width="25" style="2960" customWidth="1"/>
    <col min="10024" max="10024" width="7.109375" style="2960" customWidth="1"/>
    <col min="10025" max="10025" width="9" style="2960" customWidth="1"/>
    <col min="10026" max="10028" width="0" style="2960" hidden="1" customWidth="1"/>
    <col min="10029" max="10240" width="8.88671875" style="2960"/>
    <col min="10241" max="10241" width="44.21875" style="2960" customWidth="1"/>
    <col min="10242" max="10242" width="7.109375" style="2960" customWidth="1"/>
    <col min="10243" max="10243" width="15.88671875" style="2960" customWidth="1"/>
    <col min="10244" max="10244" width="7.109375" style="2960" customWidth="1"/>
    <col min="10245" max="10245" width="5.21875" style="2960" customWidth="1"/>
    <col min="10246" max="10246" width="44.21875" style="2960" customWidth="1"/>
    <col min="10247" max="10247" width="9" style="2960" customWidth="1"/>
    <col min="10248" max="10248" width="14.109375" style="2960" customWidth="1"/>
    <col min="10249" max="10249" width="20.33203125" style="2960" customWidth="1"/>
    <col min="10250" max="10251" width="15.88671875" style="2960" customWidth="1"/>
    <col min="10252" max="10252" width="22.77734375" style="2960" customWidth="1"/>
    <col min="10253" max="10253" width="9" style="2960" customWidth="1"/>
    <col min="10254" max="10254" width="14.33203125" style="2960" customWidth="1"/>
    <col min="10255" max="10255" width="9" style="2960" customWidth="1"/>
    <col min="10256" max="10256" width="11" style="2960" customWidth="1"/>
    <col min="10257" max="10258" width="17.77734375" style="2960" customWidth="1"/>
    <col min="10259" max="10259" width="14.77734375" style="2960" customWidth="1"/>
    <col min="10260" max="10261" width="12.88671875" style="2960" customWidth="1"/>
    <col min="10262" max="10262" width="20.33203125" style="2960" customWidth="1"/>
    <col min="10263" max="10263" width="9" style="2960" customWidth="1"/>
    <col min="10264" max="10267" width="10.21875" style="2960" customWidth="1"/>
    <col min="10268" max="10268" width="21.6640625" style="2960" customWidth="1"/>
    <col min="10269" max="10269" width="9" style="2960" customWidth="1"/>
    <col min="10270" max="10270" width="35.44140625" style="2960" customWidth="1"/>
    <col min="10271" max="10273" width="12.109375" style="2960" customWidth="1"/>
    <col min="10274" max="10275" width="18.21875" style="2960" customWidth="1"/>
    <col min="10276" max="10277" width="16.33203125" style="2960" customWidth="1"/>
    <col min="10278" max="10279" width="25" style="2960" customWidth="1"/>
    <col min="10280" max="10280" width="7.109375" style="2960" customWidth="1"/>
    <col min="10281" max="10281" width="9" style="2960" customWidth="1"/>
    <col min="10282" max="10284" width="0" style="2960" hidden="1" customWidth="1"/>
    <col min="10285" max="10496" width="8.88671875" style="2960"/>
    <col min="10497" max="10497" width="44.21875" style="2960" customWidth="1"/>
    <col min="10498" max="10498" width="7.109375" style="2960" customWidth="1"/>
    <col min="10499" max="10499" width="15.88671875" style="2960" customWidth="1"/>
    <col min="10500" max="10500" width="7.109375" style="2960" customWidth="1"/>
    <col min="10501" max="10501" width="5.21875" style="2960" customWidth="1"/>
    <col min="10502" max="10502" width="44.21875" style="2960" customWidth="1"/>
    <col min="10503" max="10503" width="9" style="2960" customWidth="1"/>
    <col min="10504" max="10504" width="14.109375" style="2960" customWidth="1"/>
    <col min="10505" max="10505" width="20.33203125" style="2960" customWidth="1"/>
    <col min="10506" max="10507" width="15.88671875" style="2960" customWidth="1"/>
    <col min="10508" max="10508" width="22.77734375" style="2960" customWidth="1"/>
    <col min="10509" max="10509" width="9" style="2960" customWidth="1"/>
    <col min="10510" max="10510" width="14.33203125" style="2960" customWidth="1"/>
    <col min="10511" max="10511" width="9" style="2960" customWidth="1"/>
    <col min="10512" max="10512" width="11" style="2960" customWidth="1"/>
    <col min="10513" max="10514" width="17.77734375" style="2960" customWidth="1"/>
    <col min="10515" max="10515" width="14.77734375" style="2960" customWidth="1"/>
    <col min="10516" max="10517" width="12.88671875" style="2960" customWidth="1"/>
    <col min="10518" max="10518" width="20.33203125" style="2960" customWidth="1"/>
    <col min="10519" max="10519" width="9" style="2960" customWidth="1"/>
    <col min="10520" max="10523" width="10.21875" style="2960" customWidth="1"/>
    <col min="10524" max="10524" width="21.6640625" style="2960" customWidth="1"/>
    <col min="10525" max="10525" width="9" style="2960" customWidth="1"/>
    <col min="10526" max="10526" width="35.44140625" style="2960" customWidth="1"/>
    <col min="10527" max="10529" width="12.109375" style="2960" customWidth="1"/>
    <col min="10530" max="10531" width="18.21875" style="2960" customWidth="1"/>
    <col min="10532" max="10533" width="16.33203125" style="2960" customWidth="1"/>
    <col min="10534" max="10535" width="25" style="2960" customWidth="1"/>
    <col min="10536" max="10536" width="7.109375" style="2960" customWidth="1"/>
    <col min="10537" max="10537" width="9" style="2960" customWidth="1"/>
    <col min="10538" max="10540" width="0" style="2960" hidden="1" customWidth="1"/>
    <col min="10541" max="10752" width="8.88671875" style="2960"/>
    <col min="10753" max="10753" width="44.21875" style="2960" customWidth="1"/>
    <col min="10754" max="10754" width="7.109375" style="2960" customWidth="1"/>
    <col min="10755" max="10755" width="15.88671875" style="2960" customWidth="1"/>
    <col min="10756" max="10756" width="7.109375" style="2960" customWidth="1"/>
    <col min="10757" max="10757" width="5.21875" style="2960" customWidth="1"/>
    <col min="10758" max="10758" width="44.21875" style="2960" customWidth="1"/>
    <col min="10759" max="10759" width="9" style="2960" customWidth="1"/>
    <col min="10760" max="10760" width="14.109375" style="2960" customWidth="1"/>
    <col min="10761" max="10761" width="20.33203125" style="2960" customWidth="1"/>
    <col min="10762" max="10763" width="15.88671875" style="2960" customWidth="1"/>
    <col min="10764" max="10764" width="22.77734375" style="2960" customWidth="1"/>
    <col min="10765" max="10765" width="9" style="2960" customWidth="1"/>
    <col min="10766" max="10766" width="14.33203125" style="2960" customWidth="1"/>
    <col min="10767" max="10767" width="9" style="2960" customWidth="1"/>
    <col min="10768" max="10768" width="11" style="2960" customWidth="1"/>
    <col min="10769" max="10770" width="17.77734375" style="2960" customWidth="1"/>
    <col min="10771" max="10771" width="14.77734375" style="2960" customWidth="1"/>
    <col min="10772" max="10773" width="12.88671875" style="2960" customWidth="1"/>
    <col min="10774" max="10774" width="20.33203125" style="2960" customWidth="1"/>
    <col min="10775" max="10775" width="9" style="2960" customWidth="1"/>
    <col min="10776" max="10779" width="10.21875" style="2960" customWidth="1"/>
    <col min="10780" max="10780" width="21.6640625" style="2960" customWidth="1"/>
    <col min="10781" max="10781" width="9" style="2960" customWidth="1"/>
    <col min="10782" max="10782" width="35.44140625" style="2960" customWidth="1"/>
    <col min="10783" max="10785" width="12.109375" style="2960" customWidth="1"/>
    <col min="10786" max="10787" width="18.21875" style="2960" customWidth="1"/>
    <col min="10788" max="10789" width="16.33203125" style="2960" customWidth="1"/>
    <col min="10790" max="10791" width="25" style="2960" customWidth="1"/>
    <col min="10792" max="10792" width="7.109375" style="2960" customWidth="1"/>
    <col min="10793" max="10793" width="9" style="2960" customWidth="1"/>
    <col min="10794" max="10796" width="0" style="2960" hidden="1" customWidth="1"/>
    <col min="10797" max="11008" width="8.88671875" style="2960"/>
    <col min="11009" max="11009" width="44.21875" style="2960" customWidth="1"/>
    <col min="11010" max="11010" width="7.109375" style="2960" customWidth="1"/>
    <col min="11011" max="11011" width="15.88671875" style="2960" customWidth="1"/>
    <col min="11012" max="11012" width="7.109375" style="2960" customWidth="1"/>
    <col min="11013" max="11013" width="5.21875" style="2960" customWidth="1"/>
    <col min="11014" max="11014" width="44.21875" style="2960" customWidth="1"/>
    <col min="11015" max="11015" width="9" style="2960" customWidth="1"/>
    <col min="11016" max="11016" width="14.109375" style="2960" customWidth="1"/>
    <col min="11017" max="11017" width="20.33203125" style="2960" customWidth="1"/>
    <col min="11018" max="11019" width="15.88671875" style="2960" customWidth="1"/>
    <col min="11020" max="11020" width="22.77734375" style="2960" customWidth="1"/>
    <col min="11021" max="11021" width="9" style="2960" customWidth="1"/>
    <col min="11022" max="11022" width="14.33203125" style="2960" customWidth="1"/>
    <col min="11023" max="11023" width="9" style="2960" customWidth="1"/>
    <col min="11024" max="11024" width="11" style="2960" customWidth="1"/>
    <col min="11025" max="11026" width="17.77734375" style="2960" customWidth="1"/>
    <col min="11027" max="11027" width="14.77734375" style="2960" customWidth="1"/>
    <col min="11028" max="11029" width="12.88671875" style="2960" customWidth="1"/>
    <col min="11030" max="11030" width="20.33203125" style="2960" customWidth="1"/>
    <col min="11031" max="11031" width="9" style="2960" customWidth="1"/>
    <col min="11032" max="11035" width="10.21875" style="2960" customWidth="1"/>
    <col min="11036" max="11036" width="21.6640625" style="2960" customWidth="1"/>
    <col min="11037" max="11037" width="9" style="2960" customWidth="1"/>
    <col min="11038" max="11038" width="35.44140625" style="2960" customWidth="1"/>
    <col min="11039" max="11041" width="12.109375" style="2960" customWidth="1"/>
    <col min="11042" max="11043" width="18.21875" style="2960" customWidth="1"/>
    <col min="11044" max="11045" width="16.33203125" style="2960" customWidth="1"/>
    <col min="11046" max="11047" width="25" style="2960" customWidth="1"/>
    <col min="11048" max="11048" width="7.109375" style="2960" customWidth="1"/>
    <col min="11049" max="11049" width="9" style="2960" customWidth="1"/>
    <col min="11050" max="11052" width="0" style="2960" hidden="1" customWidth="1"/>
    <col min="11053" max="11264" width="8.88671875" style="2960"/>
    <col min="11265" max="11265" width="44.21875" style="2960" customWidth="1"/>
    <col min="11266" max="11266" width="7.109375" style="2960" customWidth="1"/>
    <col min="11267" max="11267" width="15.88671875" style="2960" customWidth="1"/>
    <col min="11268" max="11268" width="7.109375" style="2960" customWidth="1"/>
    <col min="11269" max="11269" width="5.21875" style="2960" customWidth="1"/>
    <col min="11270" max="11270" width="44.21875" style="2960" customWidth="1"/>
    <col min="11271" max="11271" width="9" style="2960" customWidth="1"/>
    <col min="11272" max="11272" width="14.109375" style="2960" customWidth="1"/>
    <col min="11273" max="11273" width="20.33203125" style="2960" customWidth="1"/>
    <col min="11274" max="11275" width="15.88671875" style="2960" customWidth="1"/>
    <col min="11276" max="11276" width="22.77734375" style="2960" customWidth="1"/>
    <col min="11277" max="11277" width="9" style="2960" customWidth="1"/>
    <col min="11278" max="11278" width="14.33203125" style="2960" customWidth="1"/>
    <col min="11279" max="11279" width="9" style="2960" customWidth="1"/>
    <col min="11280" max="11280" width="11" style="2960" customWidth="1"/>
    <col min="11281" max="11282" width="17.77734375" style="2960" customWidth="1"/>
    <col min="11283" max="11283" width="14.77734375" style="2960" customWidth="1"/>
    <col min="11284" max="11285" width="12.88671875" style="2960" customWidth="1"/>
    <col min="11286" max="11286" width="20.33203125" style="2960" customWidth="1"/>
    <col min="11287" max="11287" width="9" style="2960" customWidth="1"/>
    <col min="11288" max="11291" width="10.21875" style="2960" customWidth="1"/>
    <col min="11292" max="11292" width="21.6640625" style="2960" customWidth="1"/>
    <col min="11293" max="11293" width="9" style="2960" customWidth="1"/>
    <col min="11294" max="11294" width="35.44140625" style="2960" customWidth="1"/>
    <col min="11295" max="11297" width="12.109375" style="2960" customWidth="1"/>
    <col min="11298" max="11299" width="18.21875" style="2960" customWidth="1"/>
    <col min="11300" max="11301" width="16.33203125" style="2960" customWidth="1"/>
    <col min="11302" max="11303" width="25" style="2960" customWidth="1"/>
    <col min="11304" max="11304" width="7.109375" style="2960" customWidth="1"/>
    <col min="11305" max="11305" width="9" style="2960" customWidth="1"/>
    <col min="11306" max="11308" width="0" style="2960" hidden="1" customWidth="1"/>
    <col min="11309" max="11520" width="8.88671875" style="2960"/>
    <col min="11521" max="11521" width="44.21875" style="2960" customWidth="1"/>
    <col min="11522" max="11522" width="7.109375" style="2960" customWidth="1"/>
    <col min="11523" max="11523" width="15.88671875" style="2960" customWidth="1"/>
    <col min="11524" max="11524" width="7.109375" style="2960" customWidth="1"/>
    <col min="11525" max="11525" width="5.21875" style="2960" customWidth="1"/>
    <col min="11526" max="11526" width="44.21875" style="2960" customWidth="1"/>
    <col min="11527" max="11527" width="9" style="2960" customWidth="1"/>
    <col min="11528" max="11528" width="14.109375" style="2960" customWidth="1"/>
    <col min="11529" max="11529" width="20.33203125" style="2960" customWidth="1"/>
    <col min="11530" max="11531" width="15.88671875" style="2960" customWidth="1"/>
    <col min="11532" max="11532" width="22.77734375" style="2960" customWidth="1"/>
    <col min="11533" max="11533" width="9" style="2960" customWidth="1"/>
    <col min="11534" max="11534" width="14.33203125" style="2960" customWidth="1"/>
    <col min="11535" max="11535" width="9" style="2960" customWidth="1"/>
    <col min="11536" max="11536" width="11" style="2960" customWidth="1"/>
    <col min="11537" max="11538" width="17.77734375" style="2960" customWidth="1"/>
    <col min="11539" max="11539" width="14.77734375" style="2960" customWidth="1"/>
    <col min="11540" max="11541" width="12.88671875" style="2960" customWidth="1"/>
    <col min="11542" max="11542" width="20.33203125" style="2960" customWidth="1"/>
    <col min="11543" max="11543" width="9" style="2960" customWidth="1"/>
    <col min="11544" max="11547" width="10.21875" style="2960" customWidth="1"/>
    <col min="11548" max="11548" width="21.6640625" style="2960" customWidth="1"/>
    <col min="11549" max="11549" width="9" style="2960" customWidth="1"/>
    <col min="11550" max="11550" width="35.44140625" style="2960" customWidth="1"/>
    <col min="11551" max="11553" width="12.109375" style="2960" customWidth="1"/>
    <col min="11554" max="11555" width="18.21875" style="2960" customWidth="1"/>
    <col min="11556" max="11557" width="16.33203125" style="2960" customWidth="1"/>
    <col min="11558" max="11559" width="25" style="2960" customWidth="1"/>
    <col min="11560" max="11560" width="7.109375" style="2960" customWidth="1"/>
    <col min="11561" max="11561" width="9" style="2960" customWidth="1"/>
    <col min="11562" max="11564" width="0" style="2960" hidden="1" customWidth="1"/>
    <col min="11565" max="11776" width="8.88671875" style="2960"/>
    <col min="11777" max="11777" width="44.21875" style="2960" customWidth="1"/>
    <col min="11778" max="11778" width="7.109375" style="2960" customWidth="1"/>
    <col min="11779" max="11779" width="15.88671875" style="2960" customWidth="1"/>
    <col min="11780" max="11780" width="7.109375" style="2960" customWidth="1"/>
    <col min="11781" max="11781" width="5.21875" style="2960" customWidth="1"/>
    <col min="11782" max="11782" width="44.21875" style="2960" customWidth="1"/>
    <col min="11783" max="11783" width="9" style="2960" customWidth="1"/>
    <col min="11784" max="11784" width="14.109375" style="2960" customWidth="1"/>
    <col min="11785" max="11785" width="20.33203125" style="2960" customWidth="1"/>
    <col min="11786" max="11787" width="15.88671875" style="2960" customWidth="1"/>
    <col min="11788" max="11788" width="22.77734375" style="2960" customWidth="1"/>
    <col min="11789" max="11789" width="9" style="2960" customWidth="1"/>
    <col min="11790" max="11790" width="14.33203125" style="2960" customWidth="1"/>
    <col min="11791" max="11791" width="9" style="2960" customWidth="1"/>
    <col min="11792" max="11792" width="11" style="2960" customWidth="1"/>
    <col min="11793" max="11794" width="17.77734375" style="2960" customWidth="1"/>
    <col min="11795" max="11795" width="14.77734375" style="2960" customWidth="1"/>
    <col min="11796" max="11797" width="12.88671875" style="2960" customWidth="1"/>
    <col min="11798" max="11798" width="20.33203125" style="2960" customWidth="1"/>
    <col min="11799" max="11799" width="9" style="2960" customWidth="1"/>
    <col min="11800" max="11803" width="10.21875" style="2960" customWidth="1"/>
    <col min="11804" max="11804" width="21.6640625" style="2960" customWidth="1"/>
    <col min="11805" max="11805" width="9" style="2960" customWidth="1"/>
    <col min="11806" max="11806" width="35.44140625" style="2960" customWidth="1"/>
    <col min="11807" max="11809" width="12.109375" style="2960" customWidth="1"/>
    <col min="11810" max="11811" width="18.21875" style="2960" customWidth="1"/>
    <col min="11812" max="11813" width="16.33203125" style="2960" customWidth="1"/>
    <col min="11814" max="11815" width="25" style="2960" customWidth="1"/>
    <col min="11816" max="11816" width="7.109375" style="2960" customWidth="1"/>
    <col min="11817" max="11817" width="9" style="2960" customWidth="1"/>
    <col min="11818" max="11820" width="0" style="2960" hidden="1" customWidth="1"/>
    <col min="11821" max="12032" width="8.88671875" style="2960"/>
    <col min="12033" max="12033" width="44.21875" style="2960" customWidth="1"/>
    <col min="12034" max="12034" width="7.109375" style="2960" customWidth="1"/>
    <col min="12035" max="12035" width="15.88671875" style="2960" customWidth="1"/>
    <col min="12036" max="12036" width="7.109375" style="2960" customWidth="1"/>
    <col min="12037" max="12037" width="5.21875" style="2960" customWidth="1"/>
    <col min="12038" max="12038" width="44.21875" style="2960" customWidth="1"/>
    <col min="12039" max="12039" width="9" style="2960" customWidth="1"/>
    <col min="12040" max="12040" width="14.109375" style="2960" customWidth="1"/>
    <col min="12041" max="12041" width="20.33203125" style="2960" customWidth="1"/>
    <col min="12042" max="12043" width="15.88671875" style="2960" customWidth="1"/>
    <col min="12044" max="12044" width="22.77734375" style="2960" customWidth="1"/>
    <col min="12045" max="12045" width="9" style="2960" customWidth="1"/>
    <col min="12046" max="12046" width="14.33203125" style="2960" customWidth="1"/>
    <col min="12047" max="12047" width="9" style="2960" customWidth="1"/>
    <col min="12048" max="12048" width="11" style="2960" customWidth="1"/>
    <col min="12049" max="12050" width="17.77734375" style="2960" customWidth="1"/>
    <col min="12051" max="12051" width="14.77734375" style="2960" customWidth="1"/>
    <col min="12052" max="12053" width="12.88671875" style="2960" customWidth="1"/>
    <col min="12054" max="12054" width="20.33203125" style="2960" customWidth="1"/>
    <col min="12055" max="12055" width="9" style="2960" customWidth="1"/>
    <col min="12056" max="12059" width="10.21875" style="2960" customWidth="1"/>
    <col min="12060" max="12060" width="21.6640625" style="2960" customWidth="1"/>
    <col min="12061" max="12061" width="9" style="2960" customWidth="1"/>
    <col min="12062" max="12062" width="35.44140625" style="2960" customWidth="1"/>
    <col min="12063" max="12065" width="12.109375" style="2960" customWidth="1"/>
    <col min="12066" max="12067" width="18.21875" style="2960" customWidth="1"/>
    <col min="12068" max="12069" width="16.33203125" style="2960" customWidth="1"/>
    <col min="12070" max="12071" width="25" style="2960" customWidth="1"/>
    <col min="12072" max="12072" width="7.109375" style="2960" customWidth="1"/>
    <col min="12073" max="12073" width="9" style="2960" customWidth="1"/>
    <col min="12074" max="12076" width="0" style="2960" hidden="1" customWidth="1"/>
    <col min="12077" max="12288" width="8.88671875" style="2960"/>
    <col min="12289" max="12289" width="44.21875" style="2960" customWidth="1"/>
    <col min="12290" max="12290" width="7.109375" style="2960" customWidth="1"/>
    <col min="12291" max="12291" width="15.88671875" style="2960" customWidth="1"/>
    <col min="12292" max="12292" width="7.109375" style="2960" customWidth="1"/>
    <col min="12293" max="12293" width="5.21875" style="2960" customWidth="1"/>
    <col min="12294" max="12294" width="44.21875" style="2960" customWidth="1"/>
    <col min="12295" max="12295" width="9" style="2960" customWidth="1"/>
    <col min="12296" max="12296" width="14.109375" style="2960" customWidth="1"/>
    <col min="12297" max="12297" width="20.33203125" style="2960" customWidth="1"/>
    <col min="12298" max="12299" width="15.88671875" style="2960" customWidth="1"/>
    <col min="12300" max="12300" width="22.77734375" style="2960" customWidth="1"/>
    <col min="12301" max="12301" width="9" style="2960" customWidth="1"/>
    <col min="12302" max="12302" width="14.33203125" style="2960" customWidth="1"/>
    <col min="12303" max="12303" width="9" style="2960" customWidth="1"/>
    <col min="12304" max="12304" width="11" style="2960" customWidth="1"/>
    <col min="12305" max="12306" width="17.77734375" style="2960" customWidth="1"/>
    <col min="12307" max="12307" width="14.77734375" style="2960" customWidth="1"/>
    <col min="12308" max="12309" width="12.88671875" style="2960" customWidth="1"/>
    <col min="12310" max="12310" width="20.33203125" style="2960" customWidth="1"/>
    <col min="12311" max="12311" width="9" style="2960" customWidth="1"/>
    <col min="12312" max="12315" width="10.21875" style="2960" customWidth="1"/>
    <col min="12316" max="12316" width="21.6640625" style="2960" customWidth="1"/>
    <col min="12317" max="12317" width="9" style="2960" customWidth="1"/>
    <col min="12318" max="12318" width="35.44140625" style="2960" customWidth="1"/>
    <col min="12319" max="12321" width="12.109375" style="2960" customWidth="1"/>
    <col min="12322" max="12323" width="18.21875" style="2960" customWidth="1"/>
    <col min="12324" max="12325" width="16.33203125" style="2960" customWidth="1"/>
    <col min="12326" max="12327" width="25" style="2960" customWidth="1"/>
    <col min="12328" max="12328" width="7.109375" style="2960" customWidth="1"/>
    <col min="12329" max="12329" width="9" style="2960" customWidth="1"/>
    <col min="12330" max="12332" width="0" style="2960" hidden="1" customWidth="1"/>
    <col min="12333" max="12544" width="8.88671875" style="2960"/>
    <col min="12545" max="12545" width="44.21875" style="2960" customWidth="1"/>
    <col min="12546" max="12546" width="7.109375" style="2960" customWidth="1"/>
    <col min="12547" max="12547" width="15.88671875" style="2960" customWidth="1"/>
    <col min="12548" max="12548" width="7.109375" style="2960" customWidth="1"/>
    <col min="12549" max="12549" width="5.21875" style="2960" customWidth="1"/>
    <col min="12550" max="12550" width="44.21875" style="2960" customWidth="1"/>
    <col min="12551" max="12551" width="9" style="2960" customWidth="1"/>
    <col min="12552" max="12552" width="14.109375" style="2960" customWidth="1"/>
    <col min="12553" max="12553" width="20.33203125" style="2960" customWidth="1"/>
    <col min="12554" max="12555" width="15.88671875" style="2960" customWidth="1"/>
    <col min="12556" max="12556" width="22.77734375" style="2960" customWidth="1"/>
    <col min="12557" max="12557" width="9" style="2960" customWidth="1"/>
    <col min="12558" max="12558" width="14.33203125" style="2960" customWidth="1"/>
    <col min="12559" max="12559" width="9" style="2960" customWidth="1"/>
    <col min="12560" max="12560" width="11" style="2960" customWidth="1"/>
    <col min="12561" max="12562" width="17.77734375" style="2960" customWidth="1"/>
    <col min="12563" max="12563" width="14.77734375" style="2960" customWidth="1"/>
    <col min="12564" max="12565" width="12.88671875" style="2960" customWidth="1"/>
    <col min="12566" max="12566" width="20.33203125" style="2960" customWidth="1"/>
    <col min="12567" max="12567" width="9" style="2960" customWidth="1"/>
    <col min="12568" max="12571" width="10.21875" style="2960" customWidth="1"/>
    <col min="12572" max="12572" width="21.6640625" style="2960" customWidth="1"/>
    <col min="12573" max="12573" width="9" style="2960" customWidth="1"/>
    <col min="12574" max="12574" width="35.44140625" style="2960" customWidth="1"/>
    <col min="12575" max="12577" width="12.109375" style="2960" customWidth="1"/>
    <col min="12578" max="12579" width="18.21875" style="2960" customWidth="1"/>
    <col min="12580" max="12581" width="16.33203125" style="2960" customWidth="1"/>
    <col min="12582" max="12583" width="25" style="2960" customWidth="1"/>
    <col min="12584" max="12584" width="7.109375" style="2960" customWidth="1"/>
    <col min="12585" max="12585" width="9" style="2960" customWidth="1"/>
    <col min="12586" max="12588" width="0" style="2960" hidden="1" customWidth="1"/>
    <col min="12589" max="12800" width="8.88671875" style="2960"/>
    <col min="12801" max="12801" width="44.21875" style="2960" customWidth="1"/>
    <col min="12802" max="12802" width="7.109375" style="2960" customWidth="1"/>
    <col min="12803" max="12803" width="15.88671875" style="2960" customWidth="1"/>
    <col min="12804" max="12804" width="7.109375" style="2960" customWidth="1"/>
    <col min="12805" max="12805" width="5.21875" style="2960" customWidth="1"/>
    <col min="12806" max="12806" width="44.21875" style="2960" customWidth="1"/>
    <col min="12807" max="12807" width="9" style="2960" customWidth="1"/>
    <col min="12808" max="12808" width="14.109375" style="2960" customWidth="1"/>
    <col min="12809" max="12809" width="20.33203125" style="2960" customWidth="1"/>
    <col min="12810" max="12811" width="15.88671875" style="2960" customWidth="1"/>
    <col min="12812" max="12812" width="22.77734375" style="2960" customWidth="1"/>
    <col min="12813" max="12813" width="9" style="2960" customWidth="1"/>
    <col min="12814" max="12814" width="14.33203125" style="2960" customWidth="1"/>
    <col min="12815" max="12815" width="9" style="2960" customWidth="1"/>
    <col min="12816" max="12816" width="11" style="2960" customWidth="1"/>
    <col min="12817" max="12818" width="17.77734375" style="2960" customWidth="1"/>
    <col min="12819" max="12819" width="14.77734375" style="2960" customWidth="1"/>
    <col min="12820" max="12821" width="12.88671875" style="2960" customWidth="1"/>
    <col min="12822" max="12822" width="20.33203125" style="2960" customWidth="1"/>
    <col min="12823" max="12823" width="9" style="2960" customWidth="1"/>
    <col min="12824" max="12827" width="10.21875" style="2960" customWidth="1"/>
    <col min="12828" max="12828" width="21.6640625" style="2960" customWidth="1"/>
    <col min="12829" max="12829" width="9" style="2960" customWidth="1"/>
    <col min="12830" max="12830" width="35.44140625" style="2960" customWidth="1"/>
    <col min="12831" max="12833" width="12.109375" style="2960" customWidth="1"/>
    <col min="12834" max="12835" width="18.21875" style="2960" customWidth="1"/>
    <col min="12836" max="12837" width="16.33203125" style="2960" customWidth="1"/>
    <col min="12838" max="12839" width="25" style="2960" customWidth="1"/>
    <col min="12840" max="12840" width="7.109375" style="2960" customWidth="1"/>
    <col min="12841" max="12841" width="9" style="2960" customWidth="1"/>
    <col min="12842" max="12844" width="0" style="2960" hidden="1" customWidth="1"/>
    <col min="12845" max="13056" width="8.88671875" style="2960"/>
    <col min="13057" max="13057" width="44.21875" style="2960" customWidth="1"/>
    <col min="13058" max="13058" width="7.109375" style="2960" customWidth="1"/>
    <col min="13059" max="13059" width="15.88671875" style="2960" customWidth="1"/>
    <col min="13060" max="13060" width="7.109375" style="2960" customWidth="1"/>
    <col min="13061" max="13061" width="5.21875" style="2960" customWidth="1"/>
    <col min="13062" max="13062" width="44.21875" style="2960" customWidth="1"/>
    <col min="13063" max="13063" width="9" style="2960" customWidth="1"/>
    <col min="13064" max="13064" width="14.109375" style="2960" customWidth="1"/>
    <col min="13065" max="13065" width="20.33203125" style="2960" customWidth="1"/>
    <col min="13066" max="13067" width="15.88671875" style="2960" customWidth="1"/>
    <col min="13068" max="13068" width="22.77734375" style="2960" customWidth="1"/>
    <col min="13069" max="13069" width="9" style="2960" customWidth="1"/>
    <col min="13070" max="13070" width="14.33203125" style="2960" customWidth="1"/>
    <col min="13071" max="13071" width="9" style="2960" customWidth="1"/>
    <col min="13072" max="13072" width="11" style="2960" customWidth="1"/>
    <col min="13073" max="13074" width="17.77734375" style="2960" customWidth="1"/>
    <col min="13075" max="13075" width="14.77734375" style="2960" customWidth="1"/>
    <col min="13076" max="13077" width="12.88671875" style="2960" customWidth="1"/>
    <col min="13078" max="13078" width="20.33203125" style="2960" customWidth="1"/>
    <col min="13079" max="13079" width="9" style="2960" customWidth="1"/>
    <col min="13080" max="13083" width="10.21875" style="2960" customWidth="1"/>
    <col min="13084" max="13084" width="21.6640625" style="2960" customWidth="1"/>
    <col min="13085" max="13085" width="9" style="2960" customWidth="1"/>
    <col min="13086" max="13086" width="35.44140625" style="2960" customWidth="1"/>
    <col min="13087" max="13089" width="12.109375" style="2960" customWidth="1"/>
    <col min="13090" max="13091" width="18.21875" style="2960" customWidth="1"/>
    <col min="13092" max="13093" width="16.33203125" style="2960" customWidth="1"/>
    <col min="13094" max="13095" width="25" style="2960" customWidth="1"/>
    <col min="13096" max="13096" width="7.109375" style="2960" customWidth="1"/>
    <col min="13097" max="13097" width="9" style="2960" customWidth="1"/>
    <col min="13098" max="13100" width="0" style="2960" hidden="1" customWidth="1"/>
    <col min="13101" max="13312" width="8.88671875" style="2960"/>
    <col min="13313" max="13313" width="44.21875" style="2960" customWidth="1"/>
    <col min="13314" max="13314" width="7.109375" style="2960" customWidth="1"/>
    <col min="13315" max="13315" width="15.88671875" style="2960" customWidth="1"/>
    <col min="13316" max="13316" width="7.109375" style="2960" customWidth="1"/>
    <col min="13317" max="13317" width="5.21875" style="2960" customWidth="1"/>
    <col min="13318" max="13318" width="44.21875" style="2960" customWidth="1"/>
    <col min="13319" max="13319" width="9" style="2960" customWidth="1"/>
    <col min="13320" max="13320" width="14.109375" style="2960" customWidth="1"/>
    <col min="13321" max="13321" width="20.33203125" style="2960" customWidth="1"/>
    <col min="13322" max="13323" width="15.88671875" style="2960" customWidth="1"/>
    <col min="13324" max="13324" width="22.77734375" style="2960" customWidth="1"/>
    <col min="13325" max="13325" width="9" style="2960" customWidth="1"/>
    <col min="13326" max="13326" width="14.33203125" style="2960" customWidth="1"/>
    <col min="13327" max="13327" width="9" style="2960" customWidth="1"/>
    <col min="13328" max="13328" width="11" style="2960" customWidth="1"/>
    <col min="13329" max="13330" width="17.77734375" style="2960" customWidth="1"/>
    <col min="13331" max="13331" width="14.77734375" style="2960" customWidth="1"/>
    <col min="13332" max="13333" width="12.88671875" style="2960" customWidth="1"/>
    <col min="13334" max="13334" width="20.33203125" style="2960" customWidth="1"/>
    <col min="13335" max="13335" width="9" style="2960" customWidth="1"/>
    <col min="13336" max="13339" width="10.21875" style="2960" customWidth="1"/>
    <col min="13340" max="13340" width="21.6640625" style="2960" customWidth="1"/>
    <col min="13341" max="13341" width="9" style="2960" customWidth="1"/>
    <col min="13342" max="13342" width="35.44140625" style="2960" customWidth="1"/>
    <col min="13343" max="13345" width="12.109375" style="2960" customWidth="1"/>
    <col min="13346" max="13347" width="18.21875" style="2960" customWidth="1"/>
    <col min="13348" max="13349" width="16.33203125" style="2960" customWidth="1"/>
    <col min="13350" max="13351" width="25" style="2960" customWidth="1"/>
    <col min="13352" max="13352" width="7.109375" style="2960" customWidth="1"/>
    <col min="13353" max="13353" width="9" style="2960" customWidth="1"/>
    <col min="13354" max="13356" width="0" style="2960" hidden="1" customWidth="1"/>
    <col min="13357" max="13568" width="8.88671875" style="2960"/>
    <col min="13569" max="13569" width="44.21875" style="2960" customWidth="1"/>
    <col min="13570" max="13570" width="7.109375" style="2960" customWidth="1"/>
    <col min="13571" max="13571" width="15.88671875" style="2960" customWidth="1"/>
    <col min="13572" max="13572" width="7.109375" style="2960" customWidth="1"/>
    <col min="13573" max="13573" width="5.21875" style="2960" customWidth="1"/>
    <col min="13574" max="13574" width="44.21875" style="2960" customWidth="1"/>
    <col min="13575" max="13575" width="9" style="2960" customWidth="1"/>
    <col min="13576" max="13576" width="14.109375" style="2960" customWidth="1"/>
    <col min="13577" max="13577" width="20.33203125" style="2960" customWidth="1"/>
    <col min="13578" max="13579" width="15.88671875" style="2960" customWidth="1"/>
    <col min="13580" max="13580" width="22.77734375" style="2960" customWidth="1"/>
    <col min="13581" max="13581" width="9" style="2960" customWidth="1"/>
    <col min="13582" max="13582" width="14.33203125" style="2960" customWidth="1"/>
    <col min="13583" max="13583" width="9" style="2960" customWidth="1"/>
    <col min="13584" max="13584" width="11" style="2960" customWidth="1"/>
    <col min="13585" max="13586" width="17.77734375" style="2960" customWidth="1"/>
    <col min="13587" max="13587" width="14.77734375" style="2960" customWidth="1"/>
    <col min="13588" max="13589" width="12.88671875" style="2960" customWidth="1"/>
    <col min="13590" max="13590" width="20.33203125" style="2960" customWidth="1"/>
    <col min="13591" max="13591" width="9" style="2960" customWidth="1"/>
    <col min="13592" max="13595" width="10.21875" style="2960" customWidth="1"/>
    <col min="13596" max="13596" width="21.6640625" style="2960" customWidth="1"/>
    <col min="13597" max="13597" width="9" style="2960" customWidth="1"/>
    <col min="13598" max="13598" width="35.44140625" style="2960" customWidth="1"/>
    <col min="13599" max="13601" width="12.109375" style="2960" customWidth="1"/>
    <col min="13602" max="13603" width="18.21875" style="2960" customWidth="1"/>
    <col min="13604" max="13605" width="16.33203125" style="2960" customWidth="1"/>
    <col min="13606" max="13607" width="25" style="2960" customWidth="1"/>
    <col min="13608" max="13608" width="7.109375" style="2960" customWidth="1"/>
    <col min="13609" max="13609" width="9" style="2960" customWidth="1"/>
    <col min="13610" max="13612" width="0" style="2960" hidden="1" customWidth="1"/>
    <col min="13613" max="13824" width="8.88671875" style="2960"/>
    <col min="13825" max="13825" width="44.21875" style="2960" customWidth="1"/>
    <col min="13826" max="13826" width="7.109375" style="2960" customWidth="1"/>
    <col min="13827" max="13827" width="15.88671875" style="2960" customWidth="1"/>
    <col min="13828" max="13828" width="7.109375" style="2960" customWidth="1"/>
    <col min="13829" max="13829" width="5.21875" style="2960" customWidth="1"/>
    <col min="13830" max="13830" width="44.21875" style="2960" customWidth="1"/>
    <col min="13831" max="13831" width="9" style="2960" customWidth="1"/>
    <col min="13832" max="13832" width="14.109375" style="2960" customWidth="1"/>
    <col min="13833" max="13833" width="20.33203125" style="2960" customWidth="1"/>
    <col min="13834" max="13835" width="15.88671875" style="2960" customWidth="1"/>
    <col min="13836" max="13836" width="22.77734375" style="2960" customWidth="1"/>
    <col min="13837" max="13837" width="9" style="2960" customWidth="1"/>
    <col min="13838" max="13838" width="14.33203125" style="2960" customWidth="1"/>
    <col min="13839" max="13839" width="9" style="2960" customWidth="1"/>
    <col min="13840" max="13840" width="11" style="2960" customWidth="1"/>
    <col min="13841" max="13842" width="17.77734375" style="2960" customWidth="1"/>
    <col min="13843" max="13843" width="14.77734375" style="2960" customWidth="1"/>
    <col min="13844" max="13845" width="12.88671875" style="2960" customWidth="1"/>
    <col min="13846" max="13846" width="20.33203125" style="2960" customWidth="1"/>
    <col min="13847" max="13847" width="9" style="2960" customWidth="1"/>
    <col min="13848" max="13851" width="10.21875" style="2960" customWidth="1"/>
    <col min="13852" max="13852" width="21.6640625" style="2960" customWidth="1"/>
    <col min="13853" max="13853" width="9" style="2960" customWidth="1"/>
    <col min="13854" max="13854" width="35.44140625" style="2960" customWidth="1"/>
    <col min="13855" max="13857" width="12.109375" style="2960" customWidth="1"/>
    <col min="13858" max="13859" width="18.21875" style="2960" customWidth="1"/>
    <col min="13860" max="13861" width="16.33203125" style="2960" customWidth="1"/>
    <col min="13862" max="13863" width="25" style="2960" customWidth="1"/>
    <col min="13864" max="13864" width="7.109375" style="2960" customWidth="1"/>
    <col min="13865" max="13865" width="9" style="2960" customWidth="1"/>
    <col min="13866" max="13868" width="0" style="2960" hidden="1" customWidth="1"/>
    <col min="13869" max="14080" width="8.88671875" style="2960"/>
    <col min="14081" max="14081" width="44.21875" style="2960" customWidth="1"/>
    <col min="14082" max="14082" width="7.109375" style="2960" customWidth="1"/>
    <col min="14083" max="14083" width="15.88671875" style="2960" customWidth="1"/>
    <col min="14084" max="14084" width="7.109375" style="2960" customWidth="1"/>
    <col min="14085" max="14085" width="5.21875" style="2960" customWidth="1"/>
    <col min="14086" max="14086" width="44.21875" style="2960" customWidth="1"/>
    <col min="14087" max="14087" width="9" style="2960" customWidth="1"/>
    <col min="14088" max="14088" width="14.109375" style="2960" customWidth="1"/>
    <col min="14089" max="14089" width="20.33203125" style="2960" customWidth="1"/>
    <col min="14090" max="14091" width="15.88671875" style="2960" customWidth="1"/>
    <col min="14092" max="14092" width="22.77734375" style="2960" customWidth="1"/>
    <col min="14093" max="14093" width="9" style="2960" customWidth="1"/>
    <col min="14094" max="14094" width="14.33203125" style="2960" customWidth="1"/>
    <col min="14095" max="14095" width="9" style="2960" customWidth="1"/>
    <col min="14096" max="14096" width="11" style="2960" customWidth="1"/>
    <col min="14097" max="14098" width="17.77734375" style="2960" customWidth="1"/>
    <col min="14099" max="14099" width="14.77734375" style="2960" customWidth="1"/>
    <col min="14100" max="14101" width="12.88671875" style="2960" customWidth="1"/>
    <col min="14102" max="14102" width="20.33203125" style="2960" customWidth="1"/>
    <col min="14103" max="14103" width="9" style="2960" customWidth="1"/>
    <col min="14104" max="14107" width="10.21875" style="2960" customWidth="1"/>
    <col min="14108" max="14108" width="21.6640625" style="2960" customWidth="1"/>
    <col min="14109" max="14109" width="9" style="2960" customWidth="1"/>
    <col min="14110" max="14110" width="35.44140625" style="2960" customWidth="1"/>
    <col min="14111" max="14113" width="12.109375" style="2960" customWidth="1"/>
    <col min="14114" max="14115" width="18.21875" style="2960" customWidth="1"/>
    <col min="14116" max="14117" width="16.33203125" style="2960" customWidth="1"/>
    <col min="14118" max="14119" width="25" style="2960" customWidth="1"/>
    <col min="14120" max="14120" width="7.109375" style="2960" customWidth="1"/>
    <col min="14121" max="14121" width="9" style="2960" customWidth="1"/>
    <col min="14122" max="14124" width="0" style="2960" hidden="1" customWidth="1"/>
    <col min="14125" max="14336" width="8.88671875" style="2960"/>
    <col min="14337" max="14337" width="44.21875" style="2960" customWidth="1"/>
    <col min="14338" max="14338" width="7.109375" style="2960" customWidth="1"/>
    <col min="14339" max="14339" width="15.88671875" style="2960" customWidth="1"/>
    <col min="14340" max="14340" width="7.109375" style="2960" customWidth="1"/>
    <col min="14341" max="14341" width="5.21875" style="2960" customWidth="1"/>
    <col min="14342" max="14342" width="44.21875" style="2960" customWidth="1"/>
    <col min="14343" max="14343" width="9" style="2960" customWidth="1"/>
    <col min="14344" max="14344" width="14.109375" style="2960" customWidth="1"/>
    <col min="14345" max="14345" width="20.33203125" style="2960" customWidth="1"/>
    <col min="14346" max="14347" width="15.88671875" style="2960" customWidth="1"/>
    <col min="14348" max="14348" width="22.77734375" style="2960" customWidth="1"/>
    <col min="14349" max="14349" width="9" style="2960" customWidth="1"/>
    <col min="14350" max="14350" width="14.33203125" style="2960" customWidth="1"/>
    <col min="14351" max="14351" width="9" style="2960" customWidth="1"/>
    <col min="14352" max="14352" width="11" style="2960" customWidth="1"/>
    <col min="14353" max="14354" width="17.77734375" style="2960" customWidth="1"/>
    <col min="14355" max="14355" width="14.77734375" style="2960" customWidth="1"/>
    <col min="14356" max="14357" width="12.88671875" style="2960" customWidth="1"/>
    <col min="14358" max="14358" width="20.33203125" style="2960" customWidth="1"/>
    <col min="14359" max="14359" width="9" style="2960" customWidth="1"/>
    <col min="14360" max="14363" width="10.21875" style="2960" customWidth="1"/>
    <col min="14364" max="14364" width="21.6640625" style="2960" customWidth="1"/>
    <col min="14365" max="14365" width="9" style="2960" customWidth="1"/>
    <col min="14366" max="14366" width="35.44140625" style="2960" customWidth="1"/>
    <col min="14367" max="14369" width="12.109375" style="2960" customWidth="1"/>
    <col min="14370" max="14371" width="18.21875" style="2960" customWidth="1"/>
    <col min="14372" max="14373" width="16.33203125" style="2960" customWidth="1"/>
    <col min="14374" max="14375" width="25" style="2960" customWidth="1"/>
    <col min="14376" max="14376" width="7.109375" style="2960" customWidth="1"/>
    <col min="14377" max="14377" width="9" style="2960" customWidth="1"/>
    <col min="14378" max="14380" width="0" style="2960" hidden="1" customWidth="1"/>
    <col min="14381" max="14592" width="8.88671875" style="2960"/>
    <col min="14593" max="14593" width="44.21875" style="2960" customWidth="1"/>
    <col min="14594" max="14594" width="7.109375" style="2960" customWidth="1"/>
    <col min="14595" max="14595" width="15.88671875" style="2960" customWidth="1"/>
    <col min="14596" max="14596" width="7.109375" style="2960" customWidth="1"/>
    <col min="14597" max="14597" width="5.21875" style="2960" customWidth="1"/>
    <col min="14598" max="14598" width="44.21875" style="2960" customWidth="1"/>
    <col min="14599" max="14599" width="9" style="2960" customWidth="1"/>
    <col min="14600" max="14600" width="14.109375" style="2960" customWidth="1"/>
    <col min="14601" max="14601" width="20.33203125" style="2960" customWidth="1"/>
    <col min="14602" max="14603" width="15.88671875" style="2960" customWidth="1"/>
    <col min="14604" max="14604" width="22.77734375" style="2960" customWidth="1"/>
    <col min="14605" max="14605" width="9" style="2960" customWidth="1"/>
    <col min="14606" max="14606" width="14.33203125" style="2960" customWidth="1"/>
    <col min="14607" max="14607" width="9" style="2960" customWidth="1"/>
    <col min="14608" max="14608" width="11" style="2960" customWidth="1"/>
    <col min="14609" max="14610" width="17.77734375" style="2960" customWidth="1"/>
    <col min="14611" max="14611" width="14.77734375" style="2960" customWidth="1"/>
    <col min="14612" max="14613" width="12.88671875" style="2960" customWidth="1"/>
    <col min="14614" max="14614" width="20.33203125" style="2960" customWidth="1"/>
    <col min="14615" max="14615" width="9" style="2960" customWidth="1"/>
    <col min="14616" max="14619" width="10.21875" style="2960" customWidth="1"/>
    <col min="14620" max="14620" width="21.6640625" style="2960" customWidth="1"/>
    <col min="14621" max="14621" width="9" style="2960" customWidth="1"/>
    <col min="14622" max="14622" width="35.44140625" style="2960" customWidth="1"/>
    <col min="14623" max="14625" width="12.109375" style="2960" customWidth="1"/>
    <col min="14626" max="14627" width="18.21875" style="2960" customWidth="1"/>
    <col min="14628" max="14629" width="16.33203125" style="2960" customWidth="1"/>
    <col min="14630" max="14631" width="25" style="2960" customWidth="1"/>
    <col min="14632" max="14632" width="7.109375" style="2960" customWidth="1"/>
    <col min="14633" max="14633" width="9" style="2960" customWidth="1"/>
    <col min="14634" max="14636" width="0" style="2960" hidden="1" customWidth="1"/>
    <col min="14637" max="14848" width="8.88671875" style="2960"/>
    <col min="14849" max="14849" width="44.21875" style="2960" customWidth="1"/>
    <col min="14850" max="14850" width="7.109375" style="2960" customWidth="1"/>
    <col min="14851" max="14851" width="15.88671875" style="2960" customWidth="1"/>
    <col min="14852" max="14852" width="7.109375" style="2960" customWidth="1"/>
    <col min="14853" max="14853" width="5.21875" style="2960" customWidth="1"/>
    <col min="14854" max="14854" width="44.21875" style="2960" customWidth="1"/>
    <col min="14855" max="14855" width="9" style="2960" customWidth="1"/>
    <col min="14856" max="14856" width="14.109375" style="2960" customWidth="1"/>
    <col min="14857" max="14857" width="20.33203125" style="2960" customWidth="1"/>
    <col min="14858" max="14859" width="15.88671875" style="2960" customWidth="1"/>
    <col min="14860" max="14860" width="22.77734375" style="2960" customWidth="1"/>
    <col min="14861" max="14861" width="9" style="2960" customWidth="1"/>
    <col min="14862" max="14862" width="14.33203125" style="2960" customWidth="1"/>
    <col min="14863" max="14863" width="9" style="2960" customWidth="1"/>
    <col min="14864" max="14864" width="11" style="2960" customWidth="1"/>
    <col min="14865" max="14866" width="17.77734375" style="2960" customWidth="1"/>
    <col min="14867" max="14867" width="14.77734375" style="2960" customWidth="1"/>
    <col min="14868" max="14869" width="12.88671875" style="2960" customWidth="1"/>
    <col min="14870" max="14870" width="20.33203125" style="2960" customWidth="1"/>
    <col min="14871" max="14871" width="9" style="2960" customWidth="1"/>
    <col min="14872" max="14875" width="10.21875" style="2960" customWidth="1"/>
    <col min="14876" max="14876" width="21.6640625" style="2960" customWidth="1"/>
    <col min="14877" max="14877" width="9" style="2960" customWidth="1"/>
    <col min="14878" max="14878" width="35.44140625" style="2960" customWidth="1"/>
    <col min="14879" max="14881" width="12.109375" style="2960" customWidth="1"/>
    <col min="14882" max="14883" width="18.21875" style="2960" customWidth="1"/>
    <col min="14884" max="14885" width="16.33203125" style="2960" customWidth="1"/>
    <col min="14886" max="14887" width="25" style="2960" customWidth="1"/>
    <col min="14888" max="14888" width="7.109375" style="2960" customWidth="1"/>
    <col min="14889" max="14889" width="9" style="2960" customWidth="1"/>
    <col min="14890" max="14892" width="0" style="2960" hidden="1" customWidth="1"/>
    <col min="14893" max="15104" width="8.88671875" style="2960"/>
    <col min="15105" max="15105" width="44.21875" style="2960" customWidth="1"/>
    <col min="15106" max="15106" width="7.109375" style="2960" customWidth="1"/>
    <col min="15107" max="15107" width="15.88671875" style="2960" customWidth="1"/>
    <col min="15108" max="15108" width="7.109375" style="2960" customWidth="1"/>
    <col min="15109" max="15109" width="5.21875" style="2960" customWidth="1"/>
    <col min="15110" max="15110" width="44.21875" style="2960" customWidth="1"/>
    <col min="15111" max="15111" width="9" style="2960" customWidth="1"/>
    <col min="15112" max="15112" width="14.109375" style="2960" customWidth="1"/>
    <col min="15113" max="15113" width="20.33203125" style="2960" customWidth="1"/>
    <col min="15114" max="15115" width="15.88671875" style="2960" customWidth="1"/>
    <col min="15116" max="15116" width="22.77734375" style="2960" customWidth="1"/>
    <col min="15117" max="15117" width="9" style="2960" customWidth="1"/>
    <col min="15118" max="15118" width="14.33203125" style="2960" customWidth="1"/>
    <col min="15119" max="15119" width="9" style="2960" customWidth="1"/>
    <col min="15120" max="15120" width="11" style="2960" customWidth="1"/>
    <col min="15121" max="15122" width="17.77734375" style="2960" customWidth="1"/>
    <col min="15123" max="15123" width="14.77734375" style="2960" customWidth="1"/>
    <col min="15124" max="15125" width="12.88671875" style="2960" customWidth="1"/>
    <col min="15126" max="15126" width="20.33203125" style="2960" customWidth="1"/>
    <col min="15127" max="15127" width="9" style="2960" customWidth="1"/>
    <col min="15128" max="15131" width="10.21875" style="2960" customWidth="1"/>
    <col min="15132" max="15132" width="21.6640625" style="2960" customWidth="1"/>
    <col min="15133" max="15133" width="9" style="2960" customWidth="1"/>
    <col min="15134" max="15134" width="35.44140625" style="2960" customWidth="1"/>
    <col min="15135" max="15137" width="12.109375" style="2960" customWidth="1"/>
    <col min="15138" max="15139" width="18.21875" style="2960" customWidth="1"/>
    <col min="15140" max="15141" width="16.33203125" style="2960" customWidth="1"/>
    <col min="15142" max="15143" width="25" style="2960" customWidth="1"/>
    <col min="15144" max="15144" width="7.109375" style="2960" customWidth="1"/>
    <col min="15145" max="15145" width="9" style="2960" customWidth="1"/>
    <col min="15146" max="15148" width="0" style="2960" hidden="1" customWidth="1"/>
    <col min="15149" max="15360" width="8.88671875" style="2960"/>
    <col min="15361" max="15361" width="44.21875" style="2960" customWidth="1"/>
    <col min="15362" max="15362" width="7.109375" style="2960" customWidth="1"/>
    <col min="15363" max="15363" width="15.88671875" style="2960" customWidth="1"/>
    <col min="15364" max="15364" width="7.109375" style="2960" customWidth="1"/>
    <col min="15365" max="15365" width="5.21875" style="2960" customWidth="1"/>
    <col min="15366" max="15366" width="44.21875" style="2960" customWidth="1"/>
    <col min="15367" max="15367" width="9" style="2960" customWidth="1"/>
    <col min="15368" max="15368" width="14.109375" style="2960" customWidth="1"/>
    <col min="15369" max="15369" width="20.33203125" style="2960" customWidth="1"/>
    <col min="15370" max="15371" width="15.88671875" style="2960" customWidth="1"/>
    <col min="15372" max="15372" width="22.77734375" style="2960" customWidth="1"/>
    <col min="15373" max="15373" width="9" style="2960" customWidth="1"/>
    <col min="15374" max="15374" width="14.33203125" style="2960" customWidth="1"/>
    <col min="15375" max="15375" width="9" style="2960" customWidth="1"/>
    <col min="15376" max="15376" width="11" style="2960" customWidth="1"/>
    <col min="15377" max="15378" width="17.77734375" style="2960" customWidth="1"/>
    <col min="15379" max="15379" width="14.77734375" style="2960" customWidth="1"/>
    <col min="15380" max="15381" width="12.88671875" style="2960" customWidth="1"/>
    <col min="15382" max="15382" width="20.33203125" style="2960" customWidth="1"/>
    <col min="15383" max="15383" width="9" style="2960" customWidth="1"/>
    <col min="15384" max="15387" width="10.21875" style="2960" customWidth="1"/>
    <col min="15388" max="15388" width="21.6640625" style="2960" customWidth="1"/>
    <col min="15389" max="15389" width="9" style="2960" customWidth="1"/>
    <col min="15390" max="15390" width="35.44140625" style="2960" customWidth="1"/>
    <col min="15391" max="15393" width="12.109375" style="2960" customWidth="1"/>
    <col min="15394" max="15395" width="18.21875" style="2960" customWidth="1"/>
    <col min="15396" max="15397" width="16.33203125" style="2960" customWidth="1"/>
    <col min="15398" max="15399" width="25" style="2960" customWidth="1"/>
    <col min="15400" max="15400" width="7.109375" style="2960" customWidth="1"/>
    <col min="15401" max="15401" width="9" style="2960" customWidth="1"/>
    <col min="15402" max="15404" width="0" style="2960" hidden="1" customWidth="1"/>
    <col min="15405" max="15616" width="8.88671875" style="2960"/>
    <col min="15617" max="15617" width="44.21875" style="2960" customWidth="1"/>
    <col min="15618" max="15618" width="7.109375" style="2960" customWidth="1"/>
    <col min="15619" max="15619" width="15.88671875" style="2960" customWidth="1"/>
    <col min="15620" max="15620" width="7.109375" style="2960" customWidth="1"/>
    <col min="15621" max="15621" width="5.21875" style="2960" customWidth="1"/>
    <col min="15622" max="15622" width="44.21875" style="2960" customWidth="1"/>
    <col min="15623" max="15623" width="9" style="2960" customWidth="1"/>
    <col min="15624" max="15624" width="14.109375" style="2960" customWidth="1"/>
    <col min="15625" max="15625" width="20.33203125" style="2960" customWidth="1"/>
    <col min="15626" max="15627" width="15.88671875" style="2960" customWidth="1"/>
    <col min="15628" max="15628" width="22.77734375" style="2960" customWidth="1"/>
    <col min="15629" max="15629" width="9" style="2960" customWidth="1"/>
    <col min="15630" max="15630" width="14.33203125" style="2960" customWidth="1"/>
    <col min="15631" max="15631" width="9" style="2960" customWidth="1"/>
    <col min="15632" max="15632" width="11" style="2960" customWidth="1"/>
    <col min="15633" max="15634" width="17.77734375" style="2960" customWidth="1"/>
    <col min="15635" max="15635" width="14.77734375" style="2960" customWidth="1"/>
    <col min="15636" max="15637" width="12.88671875" style="2960" customWidth="1"/>
    <col min="15638" max="15638" width="20.33203125" style="2960" customWidth="1"/>
    <col min="15639" max="15639" width="9" style="2960" customWidth="1"/>
    <col min="15640" max="15643" width="10.21875" style="2960" customWidth="1"/>
    <col min="15644" max="15644" width="21.6640625" style="2960" customWidth="1"/>
    <col min="15645" max="15645" width="9" style="2960" customWidth="1"/>
    <col min="15646" max="15646" width="35.44140625" style="2960" customWidth="1"/>
    <col min="15647" max="15649" width="12.109375" style="2960" customWidth="1"/>
    <col min="15650" max="15651" width="18.21875" style="2960" customWidth="1"/>
    <col min="15652" max="15653" width="16.33203125" style="2960" customWidth="1"/>
    <col min="15654" max="15655" width="25" style="2960" customWidth="1"/>
    <col min="15656" max="15656" width="7.109375" style="2960" customWidth="1"/>
    <col min="15657" max="15657" width="9" style="2960" customWidth="1"/>
    <col min="15658" max="15660" width="0" style="2960" hidden="1" customWidth="1"/>
    <col min="15661" max="15872" width="8.88671875" style="2960"/>
    <col min="15873" max="15873" width="44.21875" style="2960" customWidth="1"/>
    <col min="15874" max="15874" width="7.109375" style="2960" customWidth="1"/>
    <col min="15875" max="15875" width="15.88671875" style="2960" customWidth="1"/>
    <col min="15876" max="15876" width="7.109375" style="2960" customWidth="1"/>
    <col min="15877" max="15877" width="5.21875" style="2960" customWidth="1"/>
    <col min="15878" max="15878" width="44.21875" style="2960" customWidth="1"/>
    <col min="15879" max="15879" width="9" style="2960" customWidth="1"/>
    <col min="15880" max="15880" width="14.109375" style="2960" customWidth="1"/>
    <col min="15881" max="15881" width="20.33203125" style="2960" customWidth="1"/>
    <col min="15882" max="15883" width="15.88671875" style="2960" customWidth="1"/>
    <col min="15884" max="15884" width="22.77734375" style="2960" customWidth="1"/>
    <col min="15885" max="15885" width="9" style="2960" customWidth="1"/>
    <col min="15886" max="15886" width="14.33203125" style="2960" customWidth="1"/>
    <col min="15887" max="15887" width="9" style="2960" customWidth="1"/>
    <col min="15888" max="15888" width="11" style="2960" customWidth="1"/>
    <col min="15889" max="15890" width="17.77734375" style="2960" customWidth="1"/>
    <col min="15891" max="15891" width="14.77734375" style="2960" customWidth="1"/>
    <col min="15892" max="15893" width="12.88671875" style="2960" customWidth="1"/>
    <col min="15894" max="15894" width="20.33203125" style="2960" customWidth="1"/>
    <col min="15895" max="15895" width="9" style="2960" customWidth="1"/>
    <col min="15896" max="15899" width="10.21875" style="2960" customWidth="1"/>
    <col min="15900" max="15900" width="21.6640625" style="2960" customWidth="1"/>
    <col min="15901" max="15901" width="9" style="2960" customWidth="1"/>
    <col min="15902" max="15902" width="35.44140625" style="2960" customWidth="1"/>
    <col min="15903" max="15905" width="12.109375" style="2960" customWidth="1"/>
    <col min="15906" max="15907" width="18.21875" style="2960" customWidth="1"/>
    <col min="15908" max="15909" width="16.33203125" style="2960" customWidth="1"/>
    <col min="15910" max="15911" width="25" style="2960" customWidth="1"/>
    <col min="15912" max="15912" width="7.109375" style="2960" customWidth="1"/>
    <col min="15913" max="15913" width="9" style="2960" customWidth="1"/>
    <col min="15914" max="15916" width="0" style="2960" hidden="1" customWidth="1"/>
    <col min="15917" max="16128" width="8.88671875" style="2960"/>
    <col min="16129" max="16129" width="44.21875" style="2960" customWidth="1"/>
    <col min="16130" max="16130" width="7.109375" style="2960" customWidth="1"/>
    <col min="16131" max="16131" width="15.88671875" style="2960" customWidth="1"/>
    <col min="16132" max="16132" width="7.109375" style="2960" customWidth="1"/>
    <col min="16133" max="16133" width="5.21875" style="2960" customWidth="1"/>
    <col min="16134" max="16134" width="44.21875" style="2960" customWidth="1"/>
    <col min="16135" max="16135" width="9" style="2960" customWidth="1"/>
    <col min="16136" max="16136" width="14.109375" style="2960" customWidth="1"/>
    <col min="16137" max="16137" width="20.33203125" style="2960" customWidth="1"/>
    <col min="16138" max="16139" width="15.88671875" style="2960" customWidth="1"/>
    <col min="16140" max="16140" width="22.77734375" style="2960" customWidth="1"/>
    <col min="16141" max="16141" width="9" style="2960" customWidth="1"/>
    <col min="16142" max="16142" width="14.33203125" style="2960" customWidth="1"/>
    <col min="16143" max="16143" width="9" style="2960" customWidth="1"/>
    <col min="16144" max="16144" width="11" style="2960" customWidth="1"/>
    <col min="16145" max="16146" width="17.77734375" style="2960" customWidth="1"/>
    <col min="16147" max="16147" width="14.77734375" style="2960" customWidth="1"/>
    <col min="16148" max="16149" width="12.88671875" style="2960" customWidth="1"/>
    <col min="16150" max="16150" width="20.33203125" style="2960" customWidth="1"/>
    <col min="16151" max="16151" width="9" style="2960" customWidth="1"/>
    <col min="16152" max="16155" width="10.21875" style="2960" customWidth="1"/>
    <col min="16156" max="16156" width="21.6640625" style="2960" customWidth="1"/>
    <col min="16157" max="16157" width="9" style="2960" customWidth="1"/>
    <col min="16158" max="16158" width="35.44140625" style="2960" customWidth="1"/>
    <col min="16159" max="16161" width="12.109375" style="2960" customWidth="1"/>
    <col min="16162" max="16163" width="18.21875" style="2960" customWidth="1"/>
    <col min="16164" max="16165" width="16.33203125" style="2960" customWidth="1"/>
    <col min="16166" max="16167" width="25" style="2960" customWidth="1"/>
    <col min="16168" max="16168" width="7.109375" style="2960" customWidth="1"/>
    <col min="16169" max="16169" width="9" style="2960" customWidth="1"/>
    <col min="16170" max="16172" width="0" style="2960" hidden="1" customWidth="1"/>
    <col min="16173" max="16384" width="8.88671875" style="2960"/>
  </cols>
  <sheetData>
    <row r="1" spans="1:45">
      <c r="A1" s="2960" t="s">
        <v>3071</v>
      </c>
      <c r="B1" s="2960" t="s">
        <v>3072</v>
      </c>
      <c r="C1" s="2960" t="s">
        <v>3073</v>
      </c>
      <c r="D1" s="2960" t="s">
        <v>3074</v>
      </c>
      <c r="E1" s="2960" t="s">
        <v>3174</v>
      </c>
      <c r="F1" s="2960" t="s">
        <v>3175</v>
      </c>
      <c r="G1" s="2960" t="s">
        <v>3176</v>
      </c>
      <c r="H1" s="2960" t="s">
        <v>3177</v>
      </c>
      <c r="I1" s="2960" t="s">
        <v>3178</v>
      </c>
      <c r="J1" s="2960" t="s">
        <v>3075</v>
      </c>
      <c r="K1" s="2960" t="s">
        <v>3076</v>
      </c>
      <c r="L1" s="2960" t="s">
        <v>2031</v>
      </c>
      <c r="M1" s="2960" t="s">
        <v>3179</v>
      </c>
      <c r="N1" s="2960" t="s">
        <v>3180</v>
      </c>
      <c r="O1" s="2960" t="s">
        <v>3181</v>
      </c>
      <c r="P1" s="2960" t="s">
        <v>3182</v>
      </c>
      <c r="Q1" s="2960" t="s">
        <v>3183</v>
      </c>
      <c r="R1" s="2960" t="s">
        <v>3184</v>
      </c>
      <c r="S1" s="2960" t="s">
        <v>3185</v>
      </c>
      <c r="T1" s="2960" t="s">
        <v>3186</v>
      </c>
      <c r="U1" s="2960" t="s">
        <v>3187</v>
      </c>
      <c r="V1" s="2960" t="s">
        <v>3188</v>
      </c>
      <c r="W1" s="2960" t="s">
        <v>3189</v>
      </c>
      <c r="X1" s="2960" t="s">
        <v>3190</v>
      </c>
      <c r="Y1" s="2960" t="s">
        <v>3191</v>
      </c>
      <c r="Z1" s="2960" t="s">
        <v>3192</v>
      </c>
      <c r="AA1" s="2960" t="s">
        <v>3077</v>
      </c>
      <c r="AB1" s="2960" t="s">
        <v>3193</v>
      </c>
      <c r="AC1" s="2960" t="s">
        <v>3194</v>
      </c>
      <c r="AD1" s="2960" t="s">
        <v>3078</v>
      </c>
      <c r="AE1" s="2960" t="s">
        <v>3195</v>
      </c>
      <c r="AF1" s="2960" t="s">
        <v>3196</v>
      </c>
      <c r="AG1" s="2960" t="s">
        <v>3079</v>
      </c>
      <c r="AH1" s="2960" t="s">
        <v>3197</v>
      </c>
      <c r="AI1" s="2960" t="s">
        <v>3080</v>
      </c>
      <c r="AJ1" s="2960" t="s">
        <v>3198</v>
      </c>
      <c r="AK1" s="2960" t="s">
        <v>3081</v>
      </c>
      <c r="AL1" s="2960" t="s">
        <v>3199</v>
      </c>
      <c r="AM1" s="2960" t="s">
        <v>3200</v>
      </c>
      <c r="AN1" s="2960" t="s">
        <v>3082</v>
      </c>
      <c r="AO1" s="2960" t="s">
        <v>3201</v>
      </c>
      <c r="AP1" s="2960" t="s">
        <v>3202</v>
      </c>
      <c r="AQ1" s="2960" t="s">
        <v>3203</v>
      </c>
      <c r="AR1" s="2960" t="s">
        <v>3204</v>
      </c>
      <c r="AS1" s="3226" t="s">
        <v>3253</v>
      </c>
    </row>
    <row r="2" spans="1:45">
      <c r="A2" s="2960" t="s">
        <v>3254</v>
      </c>
      <c r="B2" s="2960" t="s">
        <v>3255</v>
      </c>
      <c r="C2" s="2960" t="s">
        <v>3210</v>
      </c>
      <c r="D2" s="2960" t="s">
        <v>3256</v>
      </c>
      <c r="E2" s="2960" t="s">
        <v>2817</v>
      </c>
      <c r="F2" s="2960" t="s">
        <v>3254</v>
      </c>
      <c r="G2" s="2960" t="s">
        <v>3206</v>
      </c>
      <c r="H2" s="2960" t="s">
        <v>3257</v>
      </c>
      <c r="I2" s="2960" t="s">
        <v>3258</v>
      </c>
      <c r="J2" s="2960">
        <v>13681.6</v>
      </c>
      <c r="K2" s="2960">
        <v>35982.61</v>
      </c>
      <c r="L2" s="2960" t="s">
        <v>3259</v>
      </c>
      <c r="M2" s="2960" t="s">
        <v>2817</v>
      </c>
      <c r="N2" s="2960" t="s">
        <v>3211</v>
      </c>
      <c r="O2" s="2960" t="s">
        <v>2817</v>
      </c>
      <c r="P2" s="2960" t="s">
        <v>2817</v>
      </c>
      <c r="Q2" s="2960" t="s">
        <v>2817</v>
      </c>
      <c r="R2" s="2960" t="s">
        <v>2817</v>
      </c>
      <c r="S2" s="2960" t="s">
        <v>2817</v>
      </c>
      <c r="T2" s="2960" t="s">
        <v>2817</v>
      </c>
      <c r="U2" s="2960" t="s">
        <v>2817</v>
      </c>
      <c r="V2" s="2960" t="s">
        <v>2817</v>
      </c>
      <c r="W2" s="2960" t="s">
        <v>3208</v>
      </c>
      <c r="X2" s="2960" t="s">
        <v>3260</v>
      </c>
      <c r="Y2" s="2960" t="s">
        <v>3261</v>
      </c>
      <c r="Z2" s="2960" t="s">
        <v>3262</v>
      </c>
      <c r="AA2" s="2960" t="s">
        <v>3262</v>
      </c>
      <c r="AB2" s="2960" t="s">
        <v>3263</v>
      </c>
      <c r="AC2" s="2960" t="s">
        <v>3209</v>
      </c>
      <c r="AD2" s="2960" t="s">
        <v>3264</v>
      </c>
      <c r="AE2" s="2960">
        <v>4000</v>
      </c>
      <c r="AF2" s="2960">
        <v>5397</v>
      </c>
      <c r="AG2" s="2960">
        <v>5397</v>
      </c>
      <c r="AH2" s="2960">
        <v>262.98</v>
      </c>
      <c r="AI2" s="2960">
        <v>262.98</v>
      </c>
      <c r="AJ2" s="2960">
        <v>1499.89</v>
      </c>
      <c r="AK2" s="2960">
        <v>1499.89</v>
      </c>
      <c r="AL2" s="2960" t="s">
        <v>2817</v>
      </c>
      <c r="AM2" s="2960" t="s">
        <v>2817</v>
      </c>
      <c r="AN2" s="2960">
        <v>0</v>
      </c>
      <c r="AO2" s="2960" t="s">
        <v>3216</v>
      </c>
      <c r="AP2" s="2960" t="s">
        <v>2817</v>
      </c>
      <c r="AQ2" s="2960" t="s">
        <v>2817</v>
      </c>
      <c r="AR2" s="2960" t="s">
        <v>2817</v>
      </c>
      <c r="AS2" s="2960">
        <f>ROUND(AG2/J2*10000,0)</f>
        <v>3945</v>
      </c>
    </row>
    <row r="3" spans="1:45" s="3178" customFormat="1">
      <c r="A3" s="3178" t="s">
        <v>3265</v>
      </c>
      <c r="B3" s="3178" t="s">
        <v>3255</v>
      </c>
      <c r="C3" s="3178" t="s">
        <v>3210</v>
      </c>
      <c r="D3" s="3178" t="s">
        <v>3256</v>
      </c>
      <c r="E3" s="3178" t="s">
        <v>2817</v>
      </c>
      <c r="F3" s="3178" t="s">
        <v>3265</v>
      </c>
      <c r="G3" s="3178" t="s">
        <v>3206</v>
      </c>
      <c r="H3" s="3178" t="s">
        <v>3266</v>
      </c>
      <c r="I3" s="3178" t="s">
        <v>3258</v>
      </c>
      <c r="J3" s="3178">
        <v>4945.38</v>
      </c>
      <c r="K3" s="3178">
        <v>18792.439999999999</v>
      </c>
      <c r="L3" s="3178" t="s">
        <v>3267</v>
      </c>
      <c r="M3" s="3178" t="s">
        <v>2817</v>
      </c>
      <c r="N3" s="3178" t="s">
        <v>2817</v>
      </c>
      <c r="O3" s="3178" t="s">
        <v>2817</v>
      </c>
      <c r="P3" s="3178" t="s">
        <v>2817</v>
      </c>
      <c r="Q3" s="3178" t="s">
        <v>2817</v>
      </c>
      <c r="R3" s="3178" t="s">
        <v>2817</v>
      </c>
      <c r="S3" s="3178" t="s">
        <v>2817</v>
      </c>
      <c r="T3" s="3178" t="s">
        <v>2817</v>
      </c>
      <c r="U3" s="3178" t="s">
        <v>2817</v>
      </c>
      <c r="V3" s="3178" t="s">
        <v>2817</v>
      </c>
      <c r="W3" s="3178" t="s">
        <v>3208</v>
      </c>
      <c r="X3" s="3178" t="s">
        <v>3268</v>
      </c>
      <c r="Y3" s="3178" t="s">
        <v>3269</v>
      </c>
      <c r="Z3" s="3178" t="s">
        <v>3270</v>
      </c>
      <c r="AA3" s="3178" t="s">
        <v>3270</v>
      </c>
      <c r="AB3" s="3178" t="s">
        <v>3271</v>
      </c>
      <c r="AC3" s="3178" t="s">
        <v>3209</v>
      </c>
      <c r="AD3" s="3178" t="s">
        <v>3272</v>
      </c>
      <c r="AE3" s="3178">
        <v>665</v>
      </c>
      <c r="AF3" s="3178">
        <v>1108</v>
      </c>
      <c r="AG3" s="3178">
        <v>1108</v>
      </c>
      <c r="AH3" s="3178">
        <v>149.36000000000001</v>
      </c>
      <c r="AI3" s="3178">
        <v>149.36000000000001</v>
      </c>
      <c r="AJ3" s="3178">
        <v>589.59</v>
      </c>
      <c r="AK3" s="3178">
        <v>589.6</v>
      </c>
      <c r="AL3" s="3178" t="s">
        <v>2817</v>
      </c>
      <c r="AM3" s="3178" t="s">
        <v>2817</v>
      </c>
      <c r="AN3" s="3178">
        <v>0</v>
      </c>
      <c r="AO3" s="3178" t="s">
        <v>3216</v>
      </c>
      <c r="AP3" s="3178" t="s">
        <v>2817</v>
      </c>
      <c r="AQ3" s="3178" t="s">
        <v>2817</v>
      </c>
      <c r="AR3" s="3178" t="s">
        <v>2817</v>
      </c>
      <c r="AS3" s="2960">
        <f t="shared" ref="AS3:AS34" si="0">ROUND(AG3/J3*10000,0)</f>
        <v>2240</v>
      </c>
    </row>
    <row r="4" spans="1:45" s="3227" customFormat="1">
      <c r="A4" s="3227" t="s">
        <v>3273</v>
      </c>
      <c r="B4" s="3227" t="s">
        <v>3255</v>
      </c>
      <c r="C4" s="3227" t="s">
        <v>3210</v>
      </c>
      <c r="D4" s="3227" t="s">
        <v>3256</v>
      </c>
      <c r="E4" s="3227" t="s">
        <v>2817</v>
      </c>
      <c r="F4" s="3227" t="s">
        <v>3273</v>
      </c>
      <c r="G4" s="3227" t="s">
        <v>3274</v>
      </c>
      <c r="H4" s="3227" t="s">
        <v>3275</v>
      </c>
      <c r="I4" s="3227" t="s">
        <v>3258</v>
      </c>
      <c r="J4" s="3227">
        <v>4632</v>
      </c>
      <c r="K4" s="3227">
        <v>6484.8</v>
      </c>
      <c r="L4" s="3227" t="s">
        <v>3276</v>
      </c>
      <c r="M4" s="3227" t="s">
        <v>2817</v>
      </c>
      <c r="N4" s="3227" t="s">
        <v>3215</v>
      </c>
      <c r="O4" s="3227" t="s">
        <v>2817</v>
      </c>
      <c r="P4" s="3227" t="s">
        <v>2817</v>
      </c>
      <c r="Q4" s="3227" t="s">
        <v>2817</v>
      </c>
      <c r="R4" s="3227" t="s">
        <v>2817</v>
      </c>
      <c r="S4" s="3227" t="s">
        <v>2817</v>
      </c>
      <c r="T4" s="3227" t="s">
        <v>2817</v>
      </c>
      <c r="U4" s="3227" t="s">
        <v>2817</v>
      </c>
      <c r="V4" s="3227" t="s">
        <v>2817</v>
      </c>
      <c r="W4" s="3227" t="s">
        <v>3208</v>
      </c>
      <c r="X4" s="3227" t="s">
        <v>3277</v>
      </c>
      <c r="Y4" s="3227" t="s">
        <v>3278</v>
      </c>
      <c r="Z4" s="3227" t="s">
        <v>3278</v>
      </c>
      <c r="AA4" s="3227" t="s">
        <v>3278</v>
      </c>
      <c r="AB4" s="3227" t="s">
        <v>3279</v>
      </c>
      <c r="AC4" s="3227" t="s">
        <v>3209</v>
      </c>
      <c r="AD4" s="3227" t="s">
        <v>3280</v>
      </c>
      <c r="AE4" s="3227">
        <v>265</v>
      </c>
      <c r="AF4" s="3227">
        <v>529</v>
      </c>
      <c r="AG4" s="3227">
        <v>555</v>
      </c>
      <c r="AH4" s="3227">
        <v>76.14</v>
      </c>
      <c r="AI4" s="3227">
        <v>79.88</v>
      </c>
      <c r="AJ4" s="3227">
        <v>815.75</v>
      </c>
      <c r="AK4" s="3227">
        <v>855.85</v>
      </c>
      <c r="AL4" s="3227" t="s">
        <v>2817</v>
      </c>
      <c r="AM4" s="3227" t="s">
        <v>2817</v>
      </c>
      <c r="AN4" s="3227">
        <v>4.91</v>
      </c>
      <c r="AO4" s="3227" t="s">
        <v>3216</v>
      </c>
      <c r="AP4" s="3227" t="s">
        <v>2817</v>
      </c>
      <c r="AQ4" s="3227" t="s">
        <v>2817</v>
      </c>
      <c r="AR4" s="3227" t="s">
        <v>2817</v>
      </c>
      <c r="AS4" s="3227">
        <f t="shared" si="0"/>
        <v>1198</v>
      </c>
    </row>
    <row r="5" spans="1:45" s="3227" customFormat="1">
      <c r="A5" s="3227" t="s">
        <v>3281</v>
      </c>
      <c r="B5" s="3227" t="s">
        <v>3255</v>
      </c>
      <c r="C5" s="3227" t="s">
        <v>3210</v>
      </c>
      <c r="D5" s="3227" t="s">
        <v>3256</v>
      </c>
      <c r="E5" s="3227" t="s">
        <v>2817</v>
      </c>
      <c r="F5" s="3227" t="s">
        <v>3281</v>
      </c>
      <c r="G5" s="3227" t="s">
        <v>3274</v>
      </c>
      <c r="H5" s="3227" t="s">
        <v>3282</v>
      </c>
      <c r="I5" s="3227" t="s">
        <v>3258</v>
      </c>
      <c r="J5" s="3227">
        <v>72963</v>
      </c>
      <c r="K5" s="3227">
        <v>198459.4</v>
      </c>
      <c r="L5" s="3227" t="s">
        <v>3283</v>
      </c>
      <c r="M5" s="3227" t="s">
        <v>2817</v>
      </c>
      <c r="N5" s="3227" t="s">
        <v>3211</v>
      </c>
      <c r="O5" s="3227" t="s">
        <v>2817</v>
      </c>
      <c r="P5" s="3227" t="s">
        <v>2817</v>
      </c>
      <c r="Q5" s="3227" t="s">
        <v>2817</v>
      </c>
      <c r="R5" s="3227" t="s">
        <v>2817</v>
      </c>
      <c r="S5" s="3227" t="s">
        <v>2817</v>
      </c>
      <c r="T5" s="3227" t="s">
        <v>2817</v>
      </c>
      <c r="U5" s="3227" t="s">
        <v>2817</v>
      </c>
      <c r="V5" s="3227" t="s">
        <v>2817</v>
      </c>
      <c r="W5" s="3227" t="s">
        <v>3208</v>
      </c>
      <c r="X5" s="3227" t="s">
        <v>3284</v>
      </c>
      <c r="Y5" s="3227" t="s">
        <v>3285</v>
      </c>
      <c r="Z5" s="3227" t="s">
        <v>3285</v>
      </c>
      <c r="AA5" s="3227" t="s">
        <v>3285</v>
      </c>
      <c r="AB5" s="3227" t="s">
        <v>3286</v>
      </c>
      <c r="AC5" s="3227" t="s">
        <v>3209</v>
      </c>
      <c r="AD5" s="3227" t="s">
        <v>3287</v>
      </c>
      <c r="AE5" s="3227">
        <v>19153</v>
      </c>
      <c r="AF5" s="3227">
        <v>38306</v>
      </c>
      <c r="AG5" s="3227">
        <v>56500</v>
      </c>
      <c r="AH5" s="3227">
        <v>350</v>
      </c>
      <c r="AI5" s="3227">
        <v>516.24</v>
      </c>
      <c r="AJ5" s="3227">
        <v>1930.16</v>
      </c>
      <c r="AK5" s="3227">
        <v>2846.92</v>
      </c>
      <c r="AL5" s="3227" t="s">
        <v>2817</v>
      </c>
      <c r="AM5" s="3227" t="s">
        <v>2817</v>
      </c>
      <c r="AN5" s="3227">
        <v>47.5</v>
      </c>
      <c r="AO5" s="3227" t="s">
        <v>3216</v>
      </c>
      <c r="AP5" s="3227" t="s">
        <v>2817</v>
      </c>
      <c r="AQ5" s="3227" t="s">
        <v>2817</v>
      </c>
      <c r="AR5" s="3227" t="s">
        <v>2817</v>
      </c>
      <c r="AS5" s="3227">
        <f t="shared" si="0"/>
        <v>7744</v>
      </c>
    </row>
    <row r="6" spans="1:45" s="3227" customFormat="1">
      <c r="A6" s="3227" t="s">
        <v>3288</v>
      </c>
      <c r="B6" s="3227" t="s">
        <v>3255</v>
      </c>
      <c r="C6" s="3227" t="s">
        <v>3210</v>
      </c>
      <c r="D6" s="3227" t="s">
        <v>3256</v>
      </c>
      <c r="E6" s="3227" t="s">
        <v>2817</v>
      </c>
      <c r="F6" s="3227" t="s">
        <v>3288</v>
      </c>
      <c r="G6" s="3227" t="s">
        <v>3274</v>
      </c>
      <c r="H6" s="3227" t="s">
        <v>3289</v>
      </c>
      <c r="I6" s="3227" t="s">
        <v>3258</v>
      </c>
      <c r="J6" s="3227">
        <v>103175.5</v>
      </c>
      <c r="K6" s="3227">
        <v>281669.09999999998</v>
      </c>
      <c r="L6" s="3227" t="s">
        <v>3290</v>
      </c>
      <c r="M6" s="3227" t="s">
        <v>2817</v>
      </c>
      <c r="N6" s="3227" t="s">
        <v>3211</v>
      </c>
      <c r="O6" s="3227" t="s">
        <v>2817</v>
      </c>
      <c r="P6" s="3227" t="s">
        <v>2817</v>
      </c>
      <c r="Q6" s="3227" t="s">
        <v>2817</v>
      </c>
      <c r="R6" s="3227" t="s">
        <v>2817</v>
      </c>
      <c r="S6" s="3227" t="s">
        <v>2817</v>
      </c>
      <c r="T6" s="3227" t="s">
        <v>2817</v>
      </c>
      <c r="U6" s="3227" t="s">
        <v>2817</v>
      </c>
      <c r="V6" s="3227" t="s">
        <v>2817</v>
      </c>
      <c r="W6" s="3227" t="s">
        <v>3208</v>
      </c>
      <c r="X6" s="3227" t="s">
        <v>3284</v>
      </c>
      <c r="Y6" s="3227" t="s">
        <v>3285</v>
      </c>
      <c r="Z6" s="3227" t="s">
        <v>3285</v>
      </c>
      <c r="AA6" s="3227" t="s">
        <v>3285</v>
      </c>
      <c r="AB6" s="3227" t="s">
        <v>3291</v>
      </c>
      <c r="AC6" s="3227" t="s">
        <v>3209</v>
      </c>
      <c r="AD6" s="3227" t="s">
        <v>3292</v>
      </c>
      <c r="AE6" s="3227">
        <v>27084</v>
      </c>
      <c r="AF6" s="3227">
        <v>54168</v>
      </c>
      <c r="AG6" s="3227">
        <v>78900</v>
      </c>
      <c r="AH6" s="3227">
        <v>350.01</v>
      </c>
      <c r="AI6" s="3227">
        <v>509.81</v>
      </c>
      <c r="AJ6" s="3227">
        <v>1923.1</v>
      </c>
      <c r="AK6" s="3227">
        <v>2801.15</v>
      </c>
      <c r="AL6" s="3227" t="s">
        <v>2817</v>
      </c>
      <c r="AM6" s="3227" t="s">
        <v>2817</v>
      </c>
      <c r="AN6" s="3227">
        <v>45.66</v>
      </c>
      <c r="AO6" s="3227" t="s">
        <v>3216</v>
      </c>
      <c r="AP6" s="3227" t="s">
        <v>2817</v>
      </c>
      <c r="AQ6" s="3227" t="s">
        <v>2817</v>
      </c>
      <c r="AR6" s="3227" t="s">
        <v>2817</v>
      </c>
      <c r="AS6" s="3227">
        <f t="shared" si="0"/>
        <v>7647</v>
      </c>
    </row>
    <row r="7" spans="1:45" s="3227" customFormat="1">
      <c r="A7" s="3227" t="s">
        <v>3293</v>
      </c>
      <c r="B7" s="3227" t="s">
        <v>3255</v>
      </c>
      <c r="C7" s="3227" t="s">
        <v>3210</v>
      </c>
      <c r="D7" s="3227" t="s">
        <v>3256</v>
      </c>
      <c r="E7" s="3227" t="s">
        <v>2817</v>
      </c>
      <c r="F7" s="3227" t="s">
        <v>3293</v>
      </c>
      <c r="G7" s="3227" t="s">
        <v>3274</v>
      </c>
      <c r="H7" s="3227" t="s">
        <v>3294</v>
      </c>
      <c r="I7" s="3227" t="s">
        <v>3258</v>
      </c>
      <c r="J7" s="3227">
        <v>21451.5</v>
      </c>
      <c r="K7" s="3227">
        <v>95137.4</v>
      </c>
      <c r="L7" s="3227" t="s">
        <v>3295</v>
      </c>
      <c r="M7" s="3227" t="s">
        <v>2817</v>
      </c>
      <c r="N7" s="3227" t="s">
        <v>3296</v>
      </c>
      <c r="O7" s="3227" t="s">
        <v>2817</v>
      </c>
      <c r="P7" s="3227" t="s">
        <v>2817</v>
      </c>
      <c r="Q7" s="3227" t="s">
        <v>2817</v>
      </c>
      <c r="R7" s="3227" t="s">
        <v>2817</v>
      </c>
      <c r="S7" s="3227" t="s">
        <v>2817</v>
      </c>
      <c r="T7" s="3227" t="s">
        <v>2817</v>
      </c>
      <c r="U7" s="3227" t="s">
        <v>2817</v>
      </c>
      <c r="V7" s="3227" t="s">
        <v>2817</v>
      </c>
      <c r="W7" s="3227" t="s">
        <v>3208</v>
      </c>
      <c r="X7" s="3227" t="s">
        <v>3297</v>
      </c>
      <c r="Y7" s="3227" t="s">
        <v>3298</v>
      </c>
      <c r="Z7" s="3227" t="s">
        <v>3298</v>
      </c>
      <c r="AA7" s="3227" t="s">
        <v>3298</v>
      </c>
      <c r="AB7" s="3227" t="s">
        <v>3299</v>
      </c>
      <c r="AC7" s="3227" t="s">
        <v>3209</v>
      </c>
      <c r="AD7" s="3227" t="s">
        <v>3300</v>
      </c>
      <c r="AE7" s="3227">
        <v>2838</v>
      </c>
      <c r="AF7" s="3227">
        <v>4730</v>
      </c>
      <c r="AG7" s="3227">
        <v>8980</v>
      </c>
      <c r="AH7" s="3227">
        <v>147</v>
      </c>
      <c r="AI7" s="3227">
        <v>279.08</v>
      </c>
      <c r="AJ7" s="3227">
        <v>497.17</v>
      </c>
      <c r="AK7" s="3227">
        <v>943.89</v>
      </c>
      <c r="AL7" s="3227" t="s">
        <v>2817</v>
      </c>
      <c r="AM7" s="3227" t="s">
        <v>2817</v>
      </c>
      <c r="AN7" s="3227">
        <v>89.85</v>
      </c>
      <c r="AO7" s="3227" t="s">
        <v>3216</v>
      </c>
      <c r="AP7" s="3227" t="s">
        <v>2817</v>
      </c>
      <c r="AQ7" s="3227" t="s">
        <v>2817</v>
      </c>
      <c r="AR7" s="3227" t="s">
        <v>2817</v>
      </c>
      <c r="AS7" s="3227">
        <f t="shared" si="0"/>
        <v>4186</v>
      </c>
    </row>
    <row r="8" spans="1:45" s="3227" customFormat="1">
      <c r="A8" s="3227" t="s">
        <v>3301</v>
      </c>
      <c r="B8" s="3227" t="s">
        <v>3255</v>
      </c>
      <c r="C8" s="3227" t="s">
        <v>3210</v>
      </c>
      <c r="D8" s="3227" t="s">
        <v>3256</v>
      </c>
      <c r="E8" s="3227" t="s">
        <v>2817</v>
      </c>
      <c r="F8" s="3227" t="s">
        <v>3301</v>
      </c>
      <c r="G8" s="3227" t="s">
        <v>3206</v>
      </c>
      <c r="H8" s="3227" t="s">
        <v>3302</v>
      </c>
      <c r="I8" s="3227" t="s">
        <v>3258</v>
      </c>
      <c r="J8" s="3227">
        <v>27683.39</v>
      </c>
      <c r="K8" s="3227">
        <v>69208.479999999996</v>
      </c>
      <c r="L8" s="3227" t="s">
        <v>3303</v>
      </c>
      <c r="M8" s="3227" t="s">
        <v>2817</v>
      </c>
      <c r="N8" s="3227" t="s">
        <v>3215</v>
      </c>
      <c r="O8" s="3227" t="s">
        <v>2817</v>
      </c>
      <c r="P8" s="3227" t="s">
        <v>2817</v>
      </c>
      <c r="Q8" s="3227" t="s">
        <v>2817</v>
      </c>
      <c r="R8" s="3227" t="s">
        <v>2817</v>
      </c>
      <c r="S8" s="3227" t="s">
        <v>2817</v>
      </c>
      <c r="T8" s="3227" t="s">
        <v>2817</v>
      </c>
      <c r="U8" s="3227" t="s">
        <v>2817</v>
      </c>
      <c r="V8" s="3227" t="s">
        <v>2817</v>
      </c>
      <c r="W8" s="3227" t="s">
        <v>3208</v>
      </c>
      <c r="X8" s="3227" t="s">
        <v>3304</v>
      </c>
      <c r="Y8" s="3227" t="s">
        <v>3305</v>
      </c>
      <c r="Z8" s="3227" t="s">
        <v>3306</v>
      </c>
      <c r="AA8" s="3227" t="s">
        <v>3306</v>
      </c>
      <c r="AB8" s="3227" t="s">
        <v>3307</v>
      </c>
      <c r="AC8" s="3227" t="s">
        <v>3209</v>
      </c>
      <c r="AD8" s="3227" t="s">
        <v>3308</v>
      </c>
      <c r="AE8" s="3227">
        <v>3987</v>
      </c>
      <c r="AF8" s="3227">
        <v>7973</v>
      </c>
      <c r="AG8" s="3227">
        <v>7973</v>
      </c>
      <c r="AH8" s="3227">
        <v>192</v>
      </c>
      <c r="AI8" s="3227">
        <v>192</v>
      </c>
      <c r="AJ8" s="3227">
        <v>1152.02</v>
      </c>
      <c r="AK8" s="3227">
        <v>1152.02</v>
      </c>
      <c r="AL8" s="3227" t="s">
        <v>2817</v>
      </c>
      <c r="AM8" s="3227" t="s">
        <v>2817</v>
      </c>
      <c r="AN8" s="3227">
        <v>0</v>
      </c>
      <c r="AO8" s="3227" t="s">
        <v>3216</v>
      </c>
      <c r="AP8" s="3227" t="s">
        <v>2817</v>
      </c>
      <c r="AQ8" s="3227" t="s">
        <v>2817</v>
      </c>
      <c r="AR8" s="3227" t="s">
        <v>2817</v>
      </c>
      <c r="AS8" s="3227">
        <f t="shared" si="0"/>
        <v>2880</v>
      </c>
    </row>
    <row r="9" spans="1:45" s="3227" customFormat="1">
      <c r="A9" s="3227" t="s">
        <v>3309</v>
      </c>
      <c r="B9" s="3227" t="s">
        <v>3255</v>
      </c>
      <c r="C9" s="3227" t="s">
        <v>3210</v>
      </c>
      <c r="D9" s="3227" t="s">
        <v>3256</v>
      </c>
      <c r="E9" s="3227" t="s">
        <v>2817</v>
      </c>
      <c r="F9" s="3227" t="s">
        <v>3309</v>
      </c>
      <c r="G9" s="3227" t="s">
        <v>3206</v>
      </c>
      <c r="H9" s="3227" t="s">
        <v>3310</v>
      </c>
      <c r="I9" s="3227" t="s">
        <v>3258</v>
      </c>
      <c r="J9" s="3227">
        <v>25792</v>
      </c>
      <c r="K9" s="3227">
        <v>92851.199999999997</v>
      </c>
      <c r="L9" s="3227" t="s">
        <v>3311</v>
      </c>
      <c r="M9" s="3227" t="s">
        <v>2817</v>
      </c>
      <c r="N9" s="3227" t="s">
        <v>2817</v>
      </c>
      <c r="O9" s="3227" t="s">
        <v>2817</v>
      </c>
      <c r="P9" s="3227" t="s">
        <v>2817</v>
      </c>
      <c r="Q9" s="3227" t="s">
        <v>2817</v>
      </c>
      <c r="R9" s="3227" t="s">
        <v>2817</v>
      </c>
      <c r="S9" s="3227" t="s">
        <v>2817</v>
      </c>
      <c r="T9" s="3227" t="s">
        <v>2817</v>
      </c>
      <c r="U9" s="3227" t="s">
        <v>2817</v>
      </c>
      <c r="V9" s="3227" t="s">
        <v>2817</v>
      </c>
      <c r="W9" s="3227" t="s">
        <v>3208</v>
      </c>
      <c r="X9" s="3227" t="s">
        <v>3304</v>
      </c>
      <c r="Y9" s="3227" t="s">
        <v>3305</v>
      </c>
      <c r="Z9" s="3227" t="s">
        <v>3306</v>
      </c>
      <c r="AA9" s="3227" t="s">
        <v>3306</v>
      </c>
      <c r="AB9" s="3227" t="s">
        <v>3312</v>
      </c>
      <c r="AC9" s="3227" t="s">
        <v>3209</v>
      </c>
      <c r="AD9" s="3227" t="s">
        <v>3313</v>
      </c>
      <c r="AE9" s="3227">
        <v>5184</v>
      </c>
      <c r="AF9" s="3227">
        <v>10368</v>
      </c>
      <c r="AG9" s="3227">
        <v>10368</v>
      </c>
      <c r="AH9" s="3227">
        <v>267.99</v>
      </c>
      <c r="AI9" s="3227">
        <v>267.99</v>
      </c>
      <c r="AJ9" s="3227">
        <v>1116.6199999999999</v>
      </c>
      <c r="AK9" s="3227">
        <v>1116.6300000000001</v>
      </c>
      <c r="AL9" s="3227" t="s">
        <v>2817</v>
      </c>
      <c r="AM9" s="3227" t="s">
        <v>2817</v>
      </c>
      <c r="AN9" s="3227">
        <v>0</v>
      </c>
      <c r="AO9" s="3227" t="s">
        <v>3216</v>
      </c>
      <c r="AP9" s="3227" t="s">
        <v>2817</v>
      </c>
      <c r="AQ9" s="3227" t="s">
        <v>2817</v>
      </c>
      <c r="AR9" s="3227" t="s">
        <v>2817</v>
      </c>
      <c r="AS9" s="3227">
        <f t="shared" si="0"/>
        <v>4020</v>
      </c>
    </row>
    <row r="10" spans="1:45" s="3227" customFormat="1">
      <c r="A10" s="3227" t="s">
        <v>3314</v>
      </c>
      <c r="B10" s="3227" t="s">
        <v>3255</v>
      </c>
      <c r="C10" s="3227" t="s">
        <v>3210</v>
      </c>
      <c r="D10" s="3227" t="s">
        <v>3256</v>
      </c>
      <c r="E10" s="3227" t="s">
        <v>2817</v>
      </c>
      <c r="F10" s="3227" t="s">
        <v>3314</v>
      </c>
      <c r="G10" s="3227" t="s">
        <v>3206</v>
      </c>
      <c r="H10" s="3227" t="s">
        <v>3315</v>
      </c>
      <c r="I10" s="3227" t="s">
        <v>3258</v>
      </c>
      <c r="J10" s="3227">
        <v>3204.2</v>
      </c>
      <c r="K10" s="3227">
        <v>14418.9</v>
      </c>
      <c r="L10" s="3227" t="s">
        <v>3316</v>
      </c>
      <c r="M10" s="3227" t="s">
        <v>2817</v>
      </c>
      <c r="N10" s="3227" t="s">
        <v>2817</v>
      </c>
      <c r="O10" s="3227" t="s">
        <v>2817</v>
      </c>
      <c r="P10" s="3227" t="s">
        <v>2817</v>
      </c>
      <c r="Q10" s="3227" t="s">
        <v>2817</v>
      </c>
      <c r="R10" s="3227" t="s">
        <v>2817</v>
      </c>
      <c r="S10" s="3227" t="s">
        <v>2817</v>
      </c>
      <c r="T10" s="3227" t="s">
        <v>2817</v>
      </c>
      <c r="U10" s="3227" t="s">
        <v>2817</v>
      </c>
      <c r="V10" s="3227" t="s">
        <v>2817</v>
      </c>
      <c r="W10" s="3227" t="s">
        <v>3208</v>
      </c>
      <c r="X10" s="3227" t="s">
        <v>3317</v>
      </c>
      <c r="Y10" s="3227" t="s">
        <v>3318</v>
      </c>
      <c r="Z10" s="3227" t="s">
        <v>3319</v>
      </c>
      <c r="AA10" s="3227" t="s">
        <v>3319</v>
      </c>
      <c r="AB10" s="3227" t="s">
        <v>3320</v>
      </c>
      <c r="AC10" s="3227" t="s">
        <v>3209</v>
      </c>
      <c r="AD10" s="3227" t="s">
        <v>3321</v>
      </c>
      <c r="AE10" s="3227">
        <v>400</v>
      </c>
      <c r="AF10" s="3227">
        <v>1586</v>
      </c>
      <c r="AG10" s="3227">
        <v>1586</v>
      </c>
      <c r="AH10" s="3227">
        <v>329.98</v>
      </c>
      <c r="AI10" s="3227">
        <v>329.98</v>
      </c>
      <c r="AJ10" s="3227">
        <v>1099.94</v>
      </c>
      <c r="AK10" s="3227">
        <v>1099.95</v>
      </c>
      <c r="AL10" s="3227" t="s">
        <v>2817</v>
      </c>
      <c r="AM10" s="3227" t="s">
        <v>2817</v>
      </c>
      <c r="AN10" s="3227">
        <v>0</v>
      </c>
      <c r="AO10" s="3227" t="s">
        <v>3216</v>
      </c>
      <c r="AP10" s="3227" t="s">
        <v>2817</v>
      </c>
      <c r="AQ10" s="3227" t="s">
        <v>2817</v>
      </c>
      <c r="AR10" s="3227" t="s">
        <v>2817</v>
      </c>
      <c r="AS10" s="2960">
        <f t="shared" si="0"/>
        <v>4950</v>
      </c>
    </row>
    <row r="11" spans="1:45">
      <c r="A11" s="2960" t="s">
        <v>3322</v>
      </c>
      <c r="B11" s="2960" t="s">
        <v>3255</v>
      </c>
      <c r="C11" s="2960" t="s">
        <v>3210</v>
      </c>
      <c r="D11" s="2960" t="s">
        <v>3256</v>
      </c>
      <c r="E11" s="2960" t="s">
        <v>2817</v>
      </c>
      <c r="F11" s="2960" t="s">
        <v>3322</v>
      </c>
      <c r="G11" s="2960" t="s">
        <v>3206</v>
      </c>
      <c r="H11" s="2960" t="s">
        <v>3323</v>
      </c>
      <c r="I11" s="2960" t="s">
        <v>3258</v>
      </c>
      <c r="J11" s="2960">
        <v>1805.8</v>
      </c>
      <c r="K11" s="2960">
        <v>5056.24</v>
      </c>
      <c r="L11" s="2960" t="s">
        <v>3324</v>
      </c>
      <c r="M11" s="2960" t="s">
        <v>2817</v>
      </c>
      <c r="N11" s="2960" t="s">
        <v>2817</v>
      </c>
      <c r="O11" s="2960" t="s">
        <v>2817</v>
      </c>
      <c r="P11" s="2960" t="s">
        <v>2817</v>
      </c>
      <c r="Q11" s="2960" t="s">
        <v>2817</v>
      </c>
      <c r="R11" s="2960" t="s">
        <v>2817</v>
      </c>
      <c r="S11" s="2960" t="s">
        <v>2817</v>
      </c>
      <c r="T11" s="2960" t="s">
        <v>2817</v>
      </c>
      <c r="U11" s="2960" t="s">
        <v>2817</v>
      </c>
      <c r="V11" s="2960" t="s">
        <v>2817</v>
      </c>
      <c r="W11" s="2960" t="s">
        <v>3213</v>
      </c>
      <c r="X11" s="2960" t="s">
        <v>3212</v>
      </c>
      <c r="Y11" s="2960" t="s">
        <v>3325</v>
      </c>
      <c r="Z11" s="2960" t="s">
        <v>3326</v>
      </c>
      <c r="AA11" s="2960" t="s">
        <v>3326</v>
      </c>
      <c r="AB11" s="2960" t="s">
        <v>3327</v>
      </c>
      <c r="AC11" s="2960" t="s">
        <v>3209</v>
      </c>
      <c r="AD11" s="2960" t="s">
        <v>3328</v>
      </c>
      <c r="AE11" s="2960">
        <v>180</v>
      </c>
      <c r="AF11" s="2960">
        <v>358</v>
      </c>
      <c r="AG11" s="2960">
        <v>488</v>
      </c>
      <c r="AH11" s="2960">
        <v>132.16999999999999</v>
      </c>
      <c r="AI11" s="2960">
        <v>180.16</v>
      </c>
      <c r="AJ11" s="2960">
        <v>708.03</v>
      </c>
      <c r="AK11" s="2960">
        <v>965.13</v>
      </c>
      <c r="AL11" s="2960" t="s">
        <v>2817</v>
      </c>
      <c r="AM11" s="2960" t="s">
        <v>2817</v>
      </c>
      <c r="AN11" s="2960">
        <v>36.31</v>
      </c>
      <c r="AO11" s="2960" t="s">
        <v>3216</v>
      </c>
      <c r="AP11" s="2960" t="s">
        <v>2817</v>
      </c>
      <c r="AQ11" s="2960" t="s">
        <v>2817</v>
      </c>
      <c r="AR11" s="2960" t="s">
        <v>2817</v>
      </c>
      <c r="AS11" s="2960">
        <f t="shared" si="0"/>
        <v>2702</v>
      </c>
    </row>
    <row r="12" spans="1:45">
      <c r="A12" s="2960" t="s">
        <v>3329</v>
      </c>
      <c r="B12" s="2960" t="s">
        <v>3255</v>
      </c>
      <c r="C12" s="2960" t="s">
        <v>3210</v>
      </c>
      <c r="D12" s="2960" t="s">
        <v>3256</v>
      </c>
      <c r="E12" s="2960" t="s">
        <v>2817</v>
      </c>
      <c r="F12" s="2960" t="s">
        <v>3329</v>
      </c>
      <c r="G12" s="2960" t="s">
        <v>3206</v>
      </c>
      <c r="H12" s="2960" t="s">
        <v>3330</v>
      </c>
      <c r="I12" s="2960" t="s">
        <v>3258</v>
      </c>
      <c r="J12" s="2960">
        <v>27535</v>
      </c>
      <c r="K12" s="2960">
        <v>55070</v>
      </c>
      <c r="L12" s="2960" t="s">
        <v>3331</v>
      </c>
      <c r="M12" s="2960" t="s">
        <v>2817</v>
      </c>
      <c r="N12" s="2960" t="s">
        <v>3215</v>
      </c>
      <c r="O12" s="2960" t="s">
        <v>2817</v>
      </c>
      <c r="P12" s="2960" t="s">
        <v>2817</v>
      </c>
      <c r="Q12" s="2960" t="s">
        <v>2817</v>
      </c>
      <c r="R12" s="2960" t="s">
        <v>2817</v>
      </c>
      <c r="S12" s="2960" t="s">
        <v>2817</v>
      </c>
      <c r="T12" s="2960" t="s">
        <v>2817</v>
      </c>
      <c r="U12" s="2960" t="s">
        <v>2817</v>
      </c>
      <c r="V12" s="2960" t="s">
        <v>2817</v>
      </c>
      <c r="W12" s="2960" t="s">
        <v>3213</v>
      </c>
      <c r="X12" s="2960" t="s">
        <v>3332</v>
      </c>
      <c r="Y12" s="2960" t="s">
        <v>3333</v>
      </c>
      <c r="Z12" s="2960" t="s">
        <v>3334</v>
      </c>
      <c r="AA12" s="2960" t="s">
        <v>3334</v>
      </c>
      <c r="AB12" s="2960" t="s">
        <v>3335</v>
      </c>
      <c r="AC12" s="2960" t="s">
        <v>3209</v>
      </c>
      <c r="AD12" s="2960" t="s">
        <v>3336</v>
      </c>
      <c r="AE12" s="2960">
        <v>1618</v>
      </c>
      <c r="AF12" s="2960">
        <v>3236</v>
      </c>
      <c r="AG12" s="2960">
        <v>11916</v>
      </c>
      <c r="AH12" s="2960">
        <v>78.349999999999994</v>
      </c>
      <c r="AI12" s="2960">
        <v>288.51</v>
      </c>
      <c r="AJ12" s="2960">
        <v>587.61</v>
      </c>
      <c r="AK12" s="2960">
        <v>2163.7800000000002</v>
      </c>
      <c r="AL12" s="2960" t="s">
        <v>2817</v>
      </c>
      <c r="AM12" s="2960" t="s">
        <v>2817</v>
      </c>
      <c r="AN12" s="2960">
        <v>268.23</v>
      </c>
      <c r="AO12" s="2960" t="s">
        <v>3216</v>
      </c>
      <c r="AP12" s="2960" t="s">
        <v>2817</v>
      </c>
      <c r="AQ12" s="2960" t="s">
        <v>2817</v>
      </c>
      <c r="AR12" s="2960" t="s">
        <v>2817</v>
      </c>
      <c r="AS12" s="2960">
        <f t="shared" si="0"/>
        <v>4328</v>
      </c>
    </row>
    <row r="13" spans="1:45">
      <c r="A13" s="2960" t="s">
        <v>3337</v>
      </c>
      <c r="B13" s="2960" t="s">
        <v>3255</v>
      </c>
      <c r="C13" s="2960" t="s">
        <v>3210</v>
      </c>
      <c r="D13" s="2960" t="s">
        <v>3256</v>
      </c>
      <c r="E13" s="2960" t="s">
        <v>2817</v>
      </c>
      <c r="F13" s="2960" t="s">
        <v>3337</v>
      </c>
      <c r="G13" s="2960" t="s">
        <v>3206</v>
      </c>
      <c r="H13" s="2960" t="s">
        <v>3338</v>
      </c>
      <c r="I13" s="2960" t="s">
        <v>3258</v>
      </c>
      <c r="J13" s="2960">
        <v>66825.5</v>
      </c>
      <c r="K13" s="2960">
        <v>120285.9</v>
      </c>
      <c r="L13" s="2960" t="s">
        <v>3339</v>
      </c>
      <c r="M13" s="2960" t="s">
        <v>2817</v>
      </c>
      <c r="N13" s="2960" t="s">
        <v>3215</v>
      </c>
      <c r="O13" s="2960" t="s">
        <v>2817</v>
      </c>
      <c r="P13" s="2960" t="s">
        <v>2817</v>
      </c>
      <c r="Q13" s="2960" t="s">
        <v>2817</v>
      </c>
      <c r="R13" s="2960" t="s">
        <v>2817</v>
      </c>
      <c r="S13" s="2960" t="s">
        <v>2817</v>
      </c>
      <c r="T13" s="2960" t="s">
        <v>2817</v>
      </c>
      <c r="U13" s="2960" t="s">
        <v>2817</v>
      </c>
      <c r="V13" s="2960" t="s">
        <v>2817</v>
      </c>
      <c r="W13" s="2960" t="s">
        <v>3213</v>
      </c>
      <c r="X13" s="2960" t="s">
        <v>3332</v>
      </c>
      <c r="Y13" s="2960" t="s">
        <v>3333</v>
      </c>
      <c r="Z13" s="2960" t="s">
        <v>3334</v>
      </c>
      <c r="AA13" s="2960" t="s">
        <v>3334</v>
      </c>
      <c r="AB13" s="2960" t="s">
        <v>3340</v>
      </c>
      <c r="AC13" s="2960" t="s">
        <v>3209</v>
      </c>
      <c r="AD13" s="2960" t="s">
        <v>3336</v>
      </c>
      <c r="AE13" s="2960">
        <v>3756</v>
      </c>
      <c r="AF13" s="2960">
        <v>7512</v>
      </c>
      <c r="AG13" s="2960">
        <v>21062</v>
      </c>
      <c r="AH13" s="2960">
        <v>74.94</v>
      </c>
      <c r="AI13" s="2960">
        <v>210.12</v>
      </c>
      <c r="AJ13" s="2960">
        <v>624.51</v>
      </c>
      <c r="AK13" s="2960">
        <v>1750.99</v>
      </c>
      <c r="AL13" s="2960" t="s">
        <v>2817</v>
      </c>
      <c r="AM13" s="2960" t="s">
        <v>2817</v>
      </c>
      <c r="AN13" s="2960">
        <v>180.38</v>
      </c>
      <c r="AO13" s="2960" t="s">
        <v>3216</v>
      </c>
      <c r="AP13" s="2960" t="s">
        <v>2817</v>
      </c>
      <c r="AQ13" s="2960" t="s">
        <v>2817</v>
      </c>
      <c r="AR13" s="2960" t="s">
        <v>2817</v>
      </c>
      <c r="AS13" s="2960">
        <f t="shared" si="0"/>
        <v>3152</v>
      </c>
    </row>
    <row r="14" spans="1:45">
      <c r="A14" s="2960" t="s">
        <v>3341</v>
      </c>
      <c r="B14" s="2960" t="s">
        <v>3255</v>
      </c>
      <c r="C14" s="2960" t="s">
        <v>3210</v>
      </c>
      <c r="D14" s="2960" t="s">
        <v>3256</v>
      </c>
      <c r="E14" s="2960" t="s">
        <v>2817</v>
      </c>
      <c r="F14" s="2960" t="s">
        <v>3341</v>
      </c>
      <c r="G14" s="2960" t="s">
        <v>3206</v>
      </c>
      <c r="H14" s="2960" t="s">
        <v>3342</v>
      </c>
      <c r="I14" s="2960" t="s">
        <v>3258</v>
      </c>
      <c r="J14" s="2960">
        <v>1870</v>
      </c>
      <c r="K14" s="2960">
        <v>3366</v>
      </c>
      <c r="L14" s="2960" t="s">
        <v>3339</v>
      </c>
      <c r="M14" s="2960" t="s">
        <v>2817</v>
      </c>
      <c r="N14" s="2960" t="s">
        <v>3343</v>
      </c>
      <c r="O14" s="2960" t="s">
        <v>2817</v>
      </c>
      <c r="P14" s="2960" t="s">
        <v>2817</v>
      </c>
      <c r="Q14" s="2960" t="s">
        <v>2817</v>
      </c>
      <c r="R14" s="2960" t="s">
        <v>2817</v>
      </c>
      <c r="S14" s="2960" t="s">
        <v>2817</v>
      </c>
      <c r="T14" s="2960" t="s">
        <v>2817</v>
      </c>
      <c r="U14" s="2960" t="s">
        <v>2817</v>
      </c>
      <c r="V14" s="2960" t="s">
        <v>2817</v>
      </c>
      <c r="W14" s="2960" t="s">
        <v>3213</v>
      </c>
      <c r="X14" s="2960" t="s">
        <v>3332</v>
      </c>
      <c r="Y14" s="2960" t="s">
        <v>3333</v>
      </c>
      <c r="Z14" s="2960" t="s">
        <v>3334</v>
      </c>
      <c r="AA14" s="2960" t="s">
        <v>3334</v>
      </c>
      <c r="AB14" s="2960" t="s">
        <v>3344</v>
      </c>
      <c r="AC14" s="2960" t="s">
        <v>3209</v>
      </c>
      <c r="AD14" s="2960" t="s">
        <v>3345</v>
      </c>
      <c r="AE14" s="2960">
        <v>233</v>
      </c>
      <c r="AF14" s="2960">
        <v>465</v>
      </c>
      <c r="AG14" s="2960">
        <v>465</v>
      </c>
      <c r="AH14" s="2960">
        <v>165.78</v>
      </c>
      <c r="AI14" s="2960">
        <v>165.78</v>
      </c>
      <c r="AJ14" s="2960">
        <v>1381.46</v>
      </c>
      <c r="AK14" s="2960">
        <v>1381.46</v>
      </c>
      <c r="AL14" s="2960" t="s">
        <v>2817</v>
      </c>
      <c r="AM14" s="2960" t="s">
        <v>2817</v>
      </c>
      <c r="AN14" s="2960">
        <v>0</v>
      </c>
      <c r="AO14" s="2960" t="s">
        <v>3216</v>
      </c>
      <c r="AP14" s="2960" t="s">
        <v>2817</v>
      </c>
      <c r="AQ14" s="2960" t="s">
        <v>2817</v>
      </c>
      <c r="AR14" s="2960" t="s">
        <v>2817</v>
      </c>
      <c r="AS14" s="2960">
        <f t="shared" si="0"/>
        <v>2487</v>
      </c>
    </row>
    <row r="15" spans="1:45">
      <c r="A15" s="2960" t="s">
        <v>3329</v>
      </c>
      <c r="B15" s="2960" t="s">
        <v>3255</v>
      </c>
      <c r="C15" s="2960" t="s">
        <v>3210</v>
      </c>
      <c r="D15" s="2960" t="s">
        <v>3256</v>
      </c>
      <c r="E15" s="2960" t="s">
        <v>2817</v>
      </c>
      <c r="F15" s="2960" t="s">
        <v>3329</v>
      </c>
      <c r="G15" s="2960" t="s">
        <v>3206</v>
      </c>
      <c r="H15" s="2960" t="s">
        <v>3346</v>
      </c>
      <c r="I15" s="2960" t="s">
        <v>3258</v>
      </c>
      <c r="J15" s="2960">
        <v>21447</v>
      </c>
      <c r="K15" s="2960">
        <v>42894</v>
      </c>
      <c r="L15" s="2960" t="s">
        <v>3331</v>
      </c>
      <c r="M15" s="2960" t="s">
        <v>2817</v>
      </c>
      <c r="N15" s="2960" t="s">
        <v>3215</v>
      </c>
      <c r="O15" s="2960" t="s">
        <v>2817</v>
      </c>
      <c r="P15" s="2960" t="s">
        <v>2817</v>
      </c>
      <c r="Q15" s="2960" t="s">
        <v>2817</v>
      </c>
      <c r="R15" s="2960" t="s">
        <v>2817</v>
      </c>
      <c r="S15" s="2960" t="s">
        <v>2817</v>
      </c>
      <c r="T15" s="2960" t="s">
        <v>2817</v>
      </c>
      <c r="U15" s="2960" t="s">
        <v>2817</v>
      </c>
      <c r="V15" s="2960" t="s">
        <v>2817</v>
      </c>
      <c r="W15" s="2960" t="s">
        <v>3213</v>
      </c>
      <c r="X15" s="2960" t="s">
        <v>3332</v>
      </c>
      <c r="Y15" s="2960" t="s">
        <v>3333</v>
      </c>
      <c r="Z15" s="2960" t="s">
        <v>3334</v>
      </c>
      <c r="AA15" s="2960" t="s">
        <v>3334</v>
      </c>
      <c r="AB15" s="2960" t="s">
        <v>3347</v>
      </c>
      <c r="AC15" s="2960" t="s">
        <v>3209</v>
      </c>
      <c r="AD15" s="2960" t="s">
        <v>3336</v>
      </c>
      <c r="AE15" s="2960">
        <v>1260</v>
      </c>
      <c r="AF15" s="2960">
        <v>2521</v>
      </c>
      <c r="AG15" s="2960">
        <v>6771</v>
      </c>
      <c r="AH15" s="2960">
        <v>78.36</v>
      </c>
      <c r="AI15" s="2960">
        <v>210.47</v>
      </c>
      <c r="AJ15" s="2960">
        <v>587.72</v>
      </c>
      <c r="AK15" s="2960">
        <v>1578.53</v>
      </c>
      <c r="AL15" s="2960" t="s">
        <v>2817</v>
      </c>
      <c r="AM15" s="2960" t="s">
        <v>2817</v>
      </c>
      <c r="AN15" s="2960">
        <v>168.58</v>
      </c>
      <c r="AO15" s="2960" t="s">
        <v>3216</v>
      </c>
      <c r="AP15" s="2960" t="s">
        <v>2817</v>
      </c>
      <c r="AQ15" s="2960" t="s">
        <v>2817</v>
      </c>
      <c r="AR15" s="2960" t="s">
        <v>2817</v>
      </c>
      <c r="AS15" s="2960">
        <f t="shared" si="0"/>
        <v>3157</v>
      </c>
    </row>
    <row r="16" spans="1:45">
      <c r="A16" s="2960" t="s">
        <v>3337</v>
      </c>
      <c r="B16" s="2960" t="s">
        <v>3255</v>
      </c>
      <c r="C16" s="2960" t="s">
        <v>3210</v>
      </c>
      <c r="D16" s="2960" t="s">
        <v>3256</v>
      </c>
      <c r="E16" s="2960" t="s">
        <v>2817</v>
      </c>
      <c r="F16" s="2960" t="s">
        <v>3337</v>
      </c>
      <c r="G16" s="2960" t="s">
        <v>3206</v>
      </c>
      <c r="H16" s="2960" t="s">
        <v>3348</v>
      </c>
      <c r="I16" s="2960" t="s">
        <v>3258</v>
      </c>
      <c r="J16" s="2960">
        <v>60778.6</v>
      </c>
      <c r="K16" s="2960">
        <v>109401.5</v>
      </c>
      <c r="L16" s="2960" t="s">
        <v>3339</v>
      </c>
      <c r="M16" s="2960" t="s">
        <v>2817</v>
      </c>
      <c r="N16" s="2960" t="s">
        <v>3215</v>
      </c>
      <c r="O16" s="2960" t="s">
        <v>2817</v>
      </c>
      <c r="P16" s="2960" t="s">
        <v>2817</v>
      </c>
      <c r="Q16" s="2960" t="s">
        <v>2817</v>
      </c>
      <c r="R16" s="2960" t="s">
        <v>2817</v>
      </c>
      <c r="S16" s="2960" t="s">
        <v>2817</v>
      </c>
      <c r="T16" s="2960" t="s">
        <v>2817</v>
      </c>
      <c r="U16" s="2960" t="s">
        <v>2817</v>
      </c>
      <c r="V16" s="2960" t="s">
        <v>2817</v>
      </c>
      <c r="W16" s="2960" t="s">
        <v>3213</v>
      </c>
      <c r="X16" s="2960" t="s">
        <v>3332</v>
      </c>
      <c r="Y16" s="2960" t="s">
        <v>3333</v>
      </c>
      <c r="Z16" s="2960" t="s">
        <v>3334</v>
      </c>
      <c r="AA16" s="2960" t="s">
        <v>3334</v>
      </c>
      <c r="AB16" s="2960" t="s">
        <v>3349</v>
      </c>
      <c r="AC16" s="2960" t="s">
        <v>3209</v>
      </c>
      <c r="AD16" s="2960" t="s">
        <v>3336</v>
      </c>
      <c r="AE16" s="2960">
        <v>3319</v>
      </c>
      <c r="AF16" s="2960">
        <v>6638</v>
      </c>
      <c r="AG16" s="2960">
        <v>19138</v>
      </c>
      <c r="AH16" s="2960">
        <v>72.81</v>
      </c>
      <c r="AI16" s="2960">
        <v>209.92</v>
      </c>
      <c r="AJ16" s="2960">
        <v>606.75</v>
      </c>
      <c r="AK16" s="2960">
        <v>1749.33</v>
      </c>
      <c r="AL16" s="2960" t="s">
        <v>2817</v>
      </c>
      <c r="AM16" s="2960" t="s">
        <v>2817</v>
      </c>
      <c r="AN16" s="2960">
        <v>188.31</v>
      </c>
      <c r="AO16" s="2960" t="s">
        <v>3216</v>
      </c>
      <c r="AP16" s="2960" t="s">
        <v>2817</v>
      </c>
      <c r="AQ16" s="2960" t="s">
        <v>2817</v>
      </c>
      <c r="AR16" s="2960" t="s">
        <v>2817</v>
      </c>
      <c r="AS16" s="2960">
        <f t="shared" si="0"/>
        <v>3149</v>
      </c>
    </row>
    <row r="17" spans="1:45">
      <c r="A17" s="2960" t="s">
        <v>3350</v>
      </c>
      <c r="B17" s="2960" t="s">
        <v>3255</v>
      </c>
      <c r="C17" s="2960" t="s">
        <v>3210</v>
      </c>
      <c r="D17" s="2960" t="s">
        <v>3256</v>
      </c>
      <c r="E17" s="2960" t="s">
        <v>2817</v>
      </c>
      <c r="F17" s="2960" t="s">
        <v>3350</v>
      </c>
      <c r="G17" s="2960" t="s">
        <v>3206</v>
      </c>
      <c r="H17" s="2960" t="s">
        <v>3351</v>
      </c>
      <c r="I17" s="2960" t="s">
        <v>3258</v>
      </c>
      <c r="J17" s="2960">
        <v>6409</v>
      </c>
      <c r="K17" s="2960">
        <v>17496.57</v>
      </c>
      <c r="L17" s="2960" t="s">
        <v>3290</v>
      </c>
      <c r="M17" s="2960" t="s">
        <v>2817</v>
      </c>
      <c r="N17" s="2960" t="s">
        <v>2817</v>
      </c>
      <c r="O17" s="2960" t="s">
        <v>2817</v>
      </c>
      <c r="P17" s="2960" t="s">
        <v>2817</v>
      </c>
      <c r="Q17" s="2960" t="s">
        <v>2817</v>
      </c>
      <c r="R17" s="2960" t="s">
        <v>2817</v>
      </c>
      <c r="S17" s="2960" t="s">
        <v>2817</v>
      </c>
      <c r="T17" s="2960" t="s">
        <v>2817</v>
      </c>
      <c r="U17" s="2960" t="s">
        <v>2817</v>
      </c>
      <c r="V17" s="2960" t="s">
        <v>2817</v>
      </c>
      <c r="W17" s="2960" t="s">
        <v>3213</v>
      </c>
      <c r="X17" s="2960" t="s">
        <v>3332</v>
      </c>
      <c r="Y17" s="2960" t="s">
        <v>3333</v>
      </c>
      <c r="Z17" s="2960" t="s">
        <v>3334</v>
      </c>
      <c r="AA17" s="2960" t="s">
        <v>3334</v>
      </c>
      <c r="AB17" s="2960" t="s">
        <v>3352</v>
      </c>
      <c r="AC17" s="2960" t="s">
        <v>3209</v>
      </c>
      <c r="AD17" s="2960" t="s">
        <v>3353</v>
      </c>
      <c r="AE17" s="2960">
        <v>716</v>
      </c>
      <c r="AF17" s="2960">
        <v>1432</v>
      </c>
      <c r="AG17" s="2960">
        <v>1432</v>
      </c>
      <c r="AH17" s="2960">
        <v>148.96</v>
      </c>
      <c r="AI17" s="2960">
        <v>148.96</v>
      </c>
      <c r="AJ17" s="2960">
        <v>818.44</v>
      </c>
      <c r="AK17" s="2960">
        <v>818.45</v>
      </c>
      <c r="AL17" s="2960" t="s">
        <v>2817</v>
      </c>
      <c r="AM17" s="2960" t="s">
        <v>2817</v>
      </c>
      <c r="AN17" s="2960">
        <v>0</v>
      </c>
      <c r="AO17" s="2960" t="s">
        <v>3216</v>
      </c>
      <c r="AP17" s="2960" t="s">
        <v>2817</v>
      </c>
      <c r="AQ17" s="2960" t="s">
        <v>2817</v>
      </c>
      <c r="AR17" s="2960" t="s">
        <v>2817</v>
      </c>
      <c r="AS17" s="2960">
        <f t="shared" si="0"/>
        <v>2234</v>
      </c>
    </row>
    <row r="18" spans="1:45">
      <c r="A18" s="2960" t="s">
        <v>3354</v>
      </c>
      <c r="B18" s="2960" t="s">
        <v>3255</v>
      </c>
      <c r="C18" s="2960" t="s">
        <v>3210</v>
      </c>
      <c r="D18" s="2960" t="s">
        <v>3256</v>
      </c>
      <c r="E18" s="2960" t="s">
        <v>2817</v>
      </c>
      <c r="F18" s="2960" t="s">
        <v>3354</v>
      </c>
      <c r="G18" s="2960" t="s">
        <v>3206</v>
      </c>
      <c r="H18" s="2960" t="s">
        <v>3355</v>
      </c>
      <c r="I18" s="2960" t="s">
        <v>3258</v>
      </c>
      <c r="J18" s="2960">
        <v>5136.1000000000004</v>
      </c>
      <c r="K18" s="2960">
        <v>14946.05</v>
      </c>
      <c r="L18" s="2960" t="s">
        <v>3356</v>
      </c>
      <c r="M18" s="2960" t="s">
        <v>2817</v>
      </c>
      <c r="N18" s="2960" t="s">
        <v>3357</v>
      </c>
      <c r="O18" s="2960" t="s">
        <v>2817</v>
      </c>
      <c r="P18" s="2960" t="s">
        <v>2817</v>
      </c>
      <c r="Q18" s="2960" t="s">
        <v>2817</v>
      </c>
      <c r="R18" s="2960" t="s">
        <v>2817</v>
      </c>
      <c r="S18" s="2960" t="s">
        <v>2817</v>
      </c>
      <c r="T18" s="2960" t="s">
        <v>2817</v>
      </c>
      <c r="U18" s="2960" t="s">
        <v>2817</v>
      </c>
      <c r="V18" s="2960" t="s">
        <v>2817</v>
      </c>
      <c r="W18" s="2960" t="s">
        <v>3213</v>
      </c>
      <c r="X18" s="2960" t="s">
        <v>3358</v>
      </c>
      <c r="Y18" s="2960" t="s">
        <v>3359</v>
      </c>
      <c r="Z18" s="2960" t="s">
        <v>3360</v>
      </c>
      <c r="AA18" s="2960" t="s">
        <v>3360</v>
      </c>
      <c r="AB18" s="2960" t="s">
        <v>3361</v>
      </c>
      <c r="AC18" s="2960" t="s">
        <v>3209</v>
      </c>
      <c r="AD18" s="2960" t="s">
        <v>3354</v>
      </c>
      <c r="AE18" s="2960">
        <v>430</v>
      </c>
      <c r="AF18" s="2960">
        <v>538</v>
      </c>
      <c r="AG18" s="2960">
        <v>538</v>
      </c>
      <c r="AH18" s="2960">
        <v>69.83</v>
      </c>
      <c r="AI18" s="2960">
        <v>69.83</v>
      </c>
      <c r="AJ18" s="2960">
        <v>359.96</v>
      </c>
      <c r="AK18" s="2960">
        <v>359.95</v>
      </c>
      <c r="AL18" s="2960" t="s">
        <v>2817</v>
      </c>
      <c r="AM18" s="2960" t="s">
        <v>2817</v>
      </c>
      <c r="AN18" s="2960">
        <v>0</v>
      </c>
      <c r="AO18" s="2960" t="s">
        <v>3216</v>
      </c>
      <c r="AP18" s="2960" t="s">
        <v>2817</v>
      </c>
      <c r="AQ18" s="2960" t="s">
        <v>2817</v>
      </c>
      <c r="AR18" s="2960" t="s">
        <v>2817</v>
      </c>
      <c r="AS18" s="2960">
        <f t="shared" si="0"/>
        <v>1047</v>
      </c>
    </row>
    <row r="19" spans="1:45" s="3178" customFormat="1">
      <c r="A19" s="3178" t="s">
        <v>3362</v>
      </c>
      <c r="B19" s="3178" t="s">
        <v>3255</v>
      </c>
      <c r="C19" s="3178" t="s">
        <v>3210</v>
      </c>
      <c r="D19" s="3178" t="s">
        <v>3256</v>
      </c>
      <c r="E19" s="3178" t="s">
        <v>2817</v>
      </c>
      <c r="F19" s="3178" t="s">
        <v>3362</v>
      </c>
      <c r="G19" s="3178" t="s">
        <v>3274</v>
      </c>
      <c r="H19" s="3178" t="s">
        <v>3363</v>
      </c>
      <c r="I19" s="3178" t="s">
        <v>3258</v>
      </c>
      <c r="J19" s="3178">
        <v>55753.4</v>
      </c>
      <c r="K19" s="3178">
        <v>111506.8</v>
      </c>
      <c r="L19" s="3178" t="s">
        <v>3331</v>
      </c>
      <c r="M19" s="3178" t="s">
        <v>2817</v>
      </c>
      <c r="N19" s="3178" t="s">
        <v>3215</v>
      </c>
      <c r="O19" s="3178" t="s">
        <v>2817</v>
      </c>
      <c r="P19" s="3178" t="s">
        <v>2817</v>
      </c>
      <c r="Q19" s="3178" t="s">
        <v>2817</v>
      </c>
      <c r="R19" s="3178" t="s">
        <v>2817</v>
      </c>
      <c r="S19" s="3178" t="s">
        <v>2817</v>
      </c>
      <c r="T19" s="3178" t="s">
        <v>2817</v>
      </c>
      <c r="U19" s="3178" t="s">
        <v>2817</v>
      </c>
      <c r="V19" s="3178" t="s">
        <v>2817</v>
      </c>
      <c r="W19" s="3178" t="s">
        <v>3213</v>
      </c>
      <c r="X19" s="3178" t="s">
        <v>3364</v>
      </c>
      <c r="Y19" s="3178" t="s">
        <v>3365</v>
      </c>
      <c r="Z19" s="3178" t="s">
        <v>3365</v>
      </c>
      <c r="AA19" s="3178" t="s">
        <v>3365</v>
      </c>
      <c r="AB19" s="3178" t="s">
        <v>3366</v>
      </c>
      <c r="AC19" s="3178" t="s">
        <v>3209</v>
      </c>
      <c r="AD19" s="3178" t="s">
        <v>3367</v>
      </c>
      <c r="AE19" s="3178">
        <v>3250</v>
      </c>
      <c r="AF19" s="3178">
        <v>6501</v>
      </c>
      <c r="AG19" s="3178">
        <v>6820</v>
      </c>
      <c r="AH19" s="3178">
        <v>77.739999999999995</v>
      </c>
      <c r="AI19" s="3178">
        <v>81.55</v>
      </c>
      <c r="AJ19" s="3178">
        <v>583.01</v>
      </c>
      <c r="AK19" s="3178">
        <v>611.62</v>
      </c>
      <c r="AL19" s="3178" t="s">
        <v>2817</v>
      </c>
      <c r="AM19" s="3178" t="s">
        <v>2817</v>
      </c>
      <c r="AN19" s="3178">
        <v>4.91</v>
      </c>
      <c r="AO19" s="3178" t="s">
        <v>3216</v>
      </c>
      <c r="AP19" s="3178" t="s">
        <v>2817</v>
      </c>
      <c r="AQ19" s="3178" t="s">
        <v>2817</v>
      </c>
      <c r="AR19" s="3178" t="s">
        <v>2817</v>
      </c>
      <c r="AS19" s="3178">
        <f t="shared" si="0"/>
        <v>1223</v>
      </c>
    </row>
    <row r="20" spans="1:45" s="3227" customFormat="1">
      <c r="A20" s="3227" t="s">
        <v>3368</v>
      </c>
      <c r="B20" s="3227" t="s">
        <v>3255</v>
      </c>
      <c r="C20" s="3227" t="s">
        <v>3210</v>
      </c>
      <c r="D20" s="3227" t="s">
        <v>3256</v>
      </c>
      <c r="E20" s="3227" t="s">
        <v>2817</v>
      </c>
      <c r="F20" s="3227" t="s">
        <v>3368</v>
      </c>
      <c r="G20" s="3227" t="s">
        <v>3206</v>
      </c>
      <c r="H20" s="3227" t="s">
        <v>3369</v>
      </c>
      <c r="I20" s="3227" t="s">
        <v>3258</v>
      </c>
      <c r="J20" s="3227">
        <v>50410.3</v>
      </c>
      <c r="K20" s="3227">
        <v>151230.9</v>
      </c>
      <c r="L20" s="3227" t="s">
        <v>3370</v>
      </c>
      <c r="M20" s="3227" t="s">
        <v>2817</v>
      </c>
      <c r="N20" s="3227" t="s">
        <v>3371</v>
      </c>
      <c r="O20" s="3227" t="s">
        <v>2817</v>
      </c>
      <c r="P20" s="3227" t="s">
        <v>2817</v>
      </c>
      <c r="Q20" s="3227" t="s">
        <v>2817</v>
      </c>
      <c r="R20" s="3227" t="s">
        <v>2817</v>
      </c>
      <c r="S20" s="3227" t="s">
        <v>2817</v>
      </c>
      <c r="T20" s="3227" t="s">
        <v>2817</v>
      </c>
      <c r="U20" s="3227" t="s">
        <v>2817</v>
      </c>
      <c r="V20" s="3227" t="s">
        <v>2817</v>
      </c>
      <c r="W20" s="3227" t="s">
        <v>3213</v>
      </c>
      <c r="X20" s="3227" t="s">
        <v>3372</v>
      </c>
      <c r="Y20" s="3227" t="s">
        <v>3373</v>
      </c>
      <c r="Z20" s="3227" t="s">
        <v>3374</v>
      </c>
      <c r="AA20" s="3227" t="s">
        <v>3374</v>
      </c>
      <c r="AB20" s="3227" t="s">
        <v>3375</v>
      </c>
      <c r="AC20" s="3227" t="s">
        <v>3209</v>
      </c>
      <c r="AD20" s="3227" t="s">
        <v>3376</v>
      </c>
      <c r="AE20" s="3227">
        <v>3846</v>
      </c>
      <c r="AF20" s="3227">
        <v>7691</v>
      </c>
      <c r="AG20" s="3227">
        <v>7691</v>
      </c>
      <c r="AH20" s="3227">
        <v>101.71</v>
      </c>
      <c r="AI20" s="3227">
        <v>101.71</v>
      </c>
      <c r="AJ20" s="3227">
        <v>508.56</v>
      </c>
      <c r="AK20" s="3227">
        <v>508.56</v>
      </c>
      <c r="AL20" s="3227" t="s">
        <v>2817</v>
      </c>
      <c r="AM20" s="3227" t="s">
        <v>2817</v>
      </c>
      <c r="AN20" s="3227">
        <v>0</v>
      </c>
      <c r="AO20" s="3227" t="s">
        <v>3216</v>
      </c>
      <c r="AP20" s="3227" t="s">
        <v>2817</v>
      </c>
      <c r="AQ20" s="3227" t="s">
        <v>2817</v>
      </c>
      <c r="AR20" s="3227" t="s">
        <v>2817</v>
      </c>
      <c r="AS20" s="3227">
        <f t="shared" si="0"/>
        <v>1526</v>
      </c>
    </row>
    <row r="21" spans="1:45">
      <c r="A21" s="2960" t="s">
        <v>3377</v>
      </c>
      <c r="B21" s="2960" t="s">
        <v>3255</v>
      </c>
      <c r="C21" s="2960" t="s">
        <v>3205</v>
      </c>
      <c r="D21" s="2960" t="s">
        <v>3256</v>
      </c>
      <c r="E21" s="2960" t="s">
        <v>2817</v>
      </c>
      <c r="F21" s="2960" t="s">
        <v>3377</v>
      </c>
      <c r="G21" s="2960" t="s">
        <v>3206</v>
      </c>
      <c r="H21" s="2960" t="s">
        <v>3378</v>
      </c>
      <c r="I21" s="2960" t="s">
        <v>3379</v>
      </c>
      <c r="J21" s="2960">
        <v>2541.6</v>
      </c>
      <c r="K21" s="2960">
        <v>5083.2</v>
      </c>
      <c r="L21" s="2960" t="s">
        <v>3217</v>
      </c>
      <c r="M21" s="2960" t="s">
        <v>2817</v>
      </c>
      <c r="N21" s="2960" t="s">
        <v>2817</v>
      </c>
      <c r="O21" s="2960" t="s">
        <v>2817</v>
      </c>
      <c r="P21" s="2960" t="s">
        <v>2817</v>
      </c>
      <c r="Q21" s="2960" t="s">
        <v>2817</v>
      </c>
      <c r="R21" s="2960" t="s">
        <v>2817</v>
      </c>
      <c r="S21" s="2960" t="s">
        <v>2817</v>
      </c>
      <c r="T21" s="2960" t="s">
        <v>2817</v>
      </c>
      <c r="U21" s="2960" t="s">
        <v>2817</v>
      </c>
      <c r="V21" s="2960" t="s">
        <v>2817</v>
      </c>
      <c r="W21" s="2960" t="s">
        <v>3213</v>
      </c>
      <c r="X21" s="2960" t="s">
        <v>3380</v>
      </c>
      <c r="Y21" s="2960" t="s">
        <v>3381</v>
      </c>
      <c r="Z21" s="2960" t="s">
        <v>3382</v>
      </c>
      <c r="AA21" s="2960" t="s">
        <v>3382</v>
      </c>
      <c r="AB21" s="2960" t="s">
        <v>3383</v>
      </c>
      <c r="AC21" s="2960" t="s">
        <v>3209</v>
      </c>
      <c r="AD21" s="2960" t="s">
        <v>3384</v>
      </c>
      <c r="AE21" s="2960">
        <v>150</v>
      </c>
      <c r="AF21" s="2960">
        <v>300</v>
      </c>
      <c r="AG21" s="2960" t="s">
        <v>2817</v>
      </c>
      <c r="AH21" s="2960">
        <v>78.69</v>
      </c>
      <c r="AI21" s="2960" t="s">
        <v>2817</v>
      </c>
      <c r="AJ21" s="2960">
        <v>590.16999999999996</v>
      </c>
      <c r="AK21" s="2960" t="s">
        <v>2817</v>
      </c>
      <c r="AL21" s="2960" t="s">
        <v>2817</v>
      </c>
      <c r="AM21" s="2960" t="s">
        <v>2817</v>
      </c>
      <c r="AN21" s="2960" t="s">
        <v>2817</v>
      </c>
      <c r="AO21" s="2960" t="s">
        <v>3385</v>
      </c>
      <c r="AP21" s="2960" t="s">
        <v>2817</v>
      </c>
      <c r="AQ21" s="2960" t="s">
        <v>2817</v>
      </c>
      <c r="AR21" s="2960" t="s">
        <v>2817</v>
      </c>
    </row>
    <row r="22" spans="1:45" s="3178" customFormat="1">
      <c r="A22" s="3178" t="s">
        <v>3386</v>
      </c>
      <c r="B22" s="3178" t="s">
        <v>3255</v>
      </c>
      <c r="C22" s="3178" t="s">
        <v>3210</v>
      </c>
      <c r="D22" s="3178" t="s">
        <v>3256</v>
      </c>
      <c r="E22" s="3178" t="s">
        <v>2817</v>
      </c>
      <c r="F22" s="3178" t="s">
        <v>3386</v>
      </c>
      <c r="G22" s="3178" t="s">
        <v>3206</v>
      </c>
      <c r="H22" s="3178" t="s">
        <v>3387</v>
      </c>
      <c r="I22" s="3178" t="s">
        <v>3258</v>
      </c>
      <c r="J22" s="3178">
        <v>28967</v>
      </c>
      <c r="K22" s="3178">
        <v>86901</v>
      </c>
      <c r="L22" s="3178" t="s">
        <v>3207</v>
      </c>
      <c r="M22" s="3178" t="s">
        <v>2817</v>
      </c>
      <c r="N22" s="3178" t="s">
        <v>3371</v>
      </c>
      <c r="O22" s="3178" t="s">
        <v>2817</v>
      </c>
      <c r="P22" s="3178" t="s">
        <v>2817</v>
      </c>
      <c r="Q22" s="3178" t="s">
        <v>2817</v>
      </c>
      <c r="R22" s="3178" t="s">
        <v>2817</v>
      </c>
      <c r="S22" s="3178" t="s">
        <v>2817</v>
      </c>
      <c r="T22" s="3178" t="s">
        <v>2817</v>
      </c>
      <c r="U22" s="3178" t="s">
        <v>2817</v>
      </c>
      <c r="V22" s="3178" t="s">
        <v>2817</v>
      </c>
      <c r="W22" s="3178" t="s">
        <v>3213</v>
      </c>
      <c r="X22" s="3178" t="s">
        <v>3388</v>
      </c>
      <c r="Y22" s="3178" t="s">
        <v>3389</v>
      </c>
      <c r="Z22" s="3178" t="s">
        <v>3390</v>
      </c>
      <c r="AA22" s="3178" t="s">
        <v>3390</v>
      </c>
      <c r="AB22" s="3178" t="s">
        <v>3391</v>
      </c>
      <c r="AC22" s="3178" t="s">
        <v>3209</v>
      </c>
      <c r="AD22" s="3178" t="s">
        <v>3392</v>
      </c>
      <c r="AE22" s="3178">
        <v>3280</v>
      </c>
      <c r="AF22" s="3178">
        <v>5466</v>
      </c>
      <c r="AG22" s="3178">
        <v>5466</v>
      </c>
      <c r="AH22" s="3178">
        <v>125.8</v>
      </c>
      <c r="AI22" s="3178">
        <v>125.8</v>
      </c>
      <c r="AJ22" s="3178">
        <v>628.99</v>
      </c>
      <c r="AK22" s="3178">
        <v>628.99</v>
      </c>
      <c r="AL22" s="3178" t="s">
        <v>2817</v>
      </c>
      <c r="AM22" s="3178" t="s">
        <v>2817</v>
      </c>
      <c r="AN22" s="3178">
        <v>0</v>
      </c>
      <c r="AO22" s="3178" t="s">
        <v>3216</v>
      </c>
      <c r="AP22" s="3178" t="s">
        <v>2817</v>
      </c>
      <c r="AQ22" s="3178" t="s">
        <v>2817</v>
      </c>
      <c r="AR22" s="3178" t="s">
        <v>2817</v>
      </c>
      <c r="AS22" s="3178">
        <f t="shared" si="0"/>
        <v>1887</v>
      </c>
    </row>
    <row r="23" spans="1:45" s="3227" customFormat="1">
      <c r="A23" s="3227" t="s">
        <v>3393</v>
      </c>
      <c r="B23" s="3227" t="s">
        <v>3255</v>
      </c>
      <c r="C23" s="3227" t="s">
        <v>3210</v>
      </c>
      <c r="D23" s="3227" t="s">
        <v>3256</v>
      </c>
      <c r="E23" s="3227" t="s">
        <v>2817</v>
      </c>
      <c r="F23" s="3227" t="s">
        <v>3393</v>
      </c>
      <c r="G23" s="3227" t="s">
        <v>3206</v>
      </c>
      <c r="H23" s="3227" t="s">
        <v>3394</v>
      </c>
      <c r="I23" s="3227" t="s">
        <v>3258</v>
      </c>
      <c r="J23" s="3227">
        <v>369.4</v>
      </c>
      <c r="K23" s="3227">
        <v>1108.2</v>
      </c>
      <c r="L23" s="3227" t="s">
        <v>3370</v>
      </c>
      <c r="M23" s="3227" t="s">
        <v>2817</v>
      </c>
      <c r="N23" s="3227" t="s">
        <v>3371</v>
      </c>
      <c r="O23" s="3227" t="s">
        <v>2817</v>
      </c>
      <c r="P23" s="3227" t="s">
        <v>2817</v>
      </c>
      <c r="Q23" s="3227" t="s">
        <v>2817</v>
      </c>
      <c r="R23" s="3227" t="s">
        <v>2817</v>
      </c>
      <c r="S23" s="3227" t="s">
        <v>2817</v>
      </c>
      <c r="T23" s="3227" t="s">
        <v>2817</v>
      </c>
      <c r="U23" s="3227" t="s">
        <v>2817</v>
      </c>
      <c r="V23" s="3227" t="s">
        <v>2817</v>
      </c>
      <c r="W23" s="3227" t="s">
        <v>3213</v>
      </c>
      <c r="X23" s="3227" t="s">
        <v>3395</v>
      </c>
      <c r="Y23" s="3227" t="s">
        <v>3396</v>
      </c>
      <c r="Z23" s="3227" t="s">
        <v>3397</v>
      </c>
      <c r="AA23" s="3227" t="s">
        <v>3397</v>
      </c>
      <c r="AB23" s="3227" t="s">
        <v>3398</v>
      </c>
      <c r="AC23" s="3227" t="s">
        <v>3209</v>
      </c>
      <c r="AD23" s="3227" t="s">
        <v>3392</v>
      </c>
      <c r="AE23" s="3227">
        <v>35</v>
      </c>
      <c r="AF23" s="3227">
        <v>70</v>
      </c>
      <c r="AG23" s="3227">
        <v>70</v>
      </c>
      <c r="AH23" s="3227">
        <v>126.33</v>
      </c>
      <c r="AI23" s="3227">
        <v>126.33</v>
      </c>
      <c r="AJ23" s="3227">
        <v>631.65</v>
      </c>
      <c r="AK23" s="3227">
        <v>631.64</v>
      </c>
      <c r="AL23" s="3227" t="s">
        <v>2817</v>
      </c>
      <c r="AM23" s="3227" t="s">
        <v>2817</v>
      </c>
      <c r="AN23" s="3227">
        <v>0</v>
      </c>
      <c r="AO23" s="3227" t="s">
        <v>3216</v>
      </c>
      <c r="AP23" s="3227" t="s">
        <v>2817</v>
      </c>
      <c r="AQ23" s="3227" t="s">
        <v>2817</v>
      </c>
      <c r="AR23" s="3227" t="s">
        <v>2817</v>
      </c>
      <c r="AS23" s="3227">
        <f t="shared" si="0"/>
        <v>1895</v>
      </c>
    </row>
    <row r="24" spans="1:45">
      <c r="A24" s="2960" t="s">
        <v>3399</v>
      </c>
      <c r="B24" s="2960" t="s">
        <v>3255</v>
      </c>
      <c r="C24" s="2960" t="s">
        <v>3210</v>
      </c>
      <c r="D24" s="2960" t="s">
        <v>3256</v>
      </c>
      <c r="E24" s="2960" t="s">
        <v>2817</v>
      </c>
      <c r="F24" s="2960" t="s">
        <v>3399</v>
      </c>
      <c r="G24" s="2960" t="s">
        <v>3206</v>
      </c>
      <c r="H24" s="2960" t="s">
        <v>3400</v>
      </c>
      <c r="I24" s="2960" t="s">
        <v>3258</v>
      </c>
      <c r="J24" s="2960">
        <v>613</v>
      </c>
      <c r="K24" s="2960">
        <v>2022.9</v>
      </c>
      <c r="L24" s="2960" t="s">
        <v>3401</v>
      </c>
      <c r="M24" s="2960" t="s">
        <v>2817</v>
      </c>
      <c r="N24" s="2960" t="s">
        <v>3402</v>
      </c>
      <c r="O24" s="2960" t="s">
        <v>2817</v>
      </c>
      <c r="P24" s="2960" t="s">
        <v>2817</v>
      </c>
      <c r="Q24" s="2960" t="s">
        <v>2817</v>
      </c>
      <c r="R24" s="2960" t="s">
        <v>2817</v>
      </c>
      <c r="S24" s="2960" t="s">
        <v>2817</v>
      </c>
      <c r="T24" s="2960" t="s">
        <v>2817</v>
      </c>
      <c r="U24" s="2960" t="s">
        <v>2817</v>
      </c>
      <c r="V24" s="2960" t="s">
        <v>2817</v>
      </c>
      <c r="W24" s="2960" t="s">
        <v>3213</v>
      </c>
      <c r="X24" s="2960" t="s">
        <v>3403</v>
      </c>
      <c r="Y24" s="2960" t="s">
        <v>3404</v>
      </c>
      <c r="Z24" s="2960" t="s">
        <v>3405</v>
      </c>
      <c r="AA24" s="2960" t="s">
        <v>3405</v>
      </c>
      <c r="AB24" s="2960" t="s">
        <v>3406</v>
      </c>
      <c r="AC24" s="2960" t="s">
        <v>3209</v>
      </c>
      <c r="AD24" s="2960" t="s">
        <v>3407</v>
      </c>
      <c r="AE24" s="2960">
        <v>98</v>
      </c>
      <c r="AF24" s="2960">
        <v>196</v>
      </c>
      <c r="AG24" s="2960">
        <v>196</v>
      </c>
      <c r="AH24" s="2960">
        <v>213.16</v>
      </c>
      <c r="AI24" s="2960">
        <v>213.16</v>
      </c>
      <c r="AJ24" s="2960">
        <v>968.9</v>
      </c>
      <c r="AK24" s="2960">
        <v>968.9</v>
      </c>
      <c r="AL24" s="2960" t="s">
        <v>2817</v>
      </c>
      <c r="AM24" s="2960" t="s">
        <v>2817</v>
      </c>
      <c r="AN24" s="2960">
        <v>0</v>
      </c>
      <c r="AO24" s="2960" t="s">
        <v>3216</v>
      </c>
      <c r="AP24" s="2960" t="s">
        <v>2817</v>
      </c>
      <c r="AQ24" s="2960" t="s">
        <v>2817</v>
      </c>
      <c r="AR24" s="2960" t="s">
        <v>2817</v>
      </c>
      <c r="AS24" s="2960">
        <f t="shared" si="0"/>
        <v>3197</v>
      </c>
    </row>
    <row r="25" spans="1:45">
      <c r="A25" s="2960" t="s">
        <v>3408</v>
      </c>
      <c r="B25" s="2960" t="s">
        <v>3255</v>
      </c>
      <c r="C25" s="2960" t="s">
        <v>3210</v>
      </c>
      <c r="D25" s="2960" t="s">
        <v>3256</v>
      </c>
      <c r="E25" s="2960" t="s">
        <v>2817</v>
      </c>
      <c r="F25" s="2960" t="s">
        <v>3408</v>
      </c>
      <c r="G25" s="2960" t="s">
        <v>3206</v>
      </c>
      <c r="H25" s="2960" t="s">
        <v>3409</v>
      </c>
      <c r="I25" s="2960" t="s">
        <v>3258</v>
      </c>
      <c r="J25" s="2960">
        <v>97583.3</v>
      </c>
      <c r="K25" s="2960">
        <v>322024.90000000002</v>
      </c>
      <c r="L25" s="2960" t="s">
        <v>3410</v>
      </c>
      <c r="M25" s="2960" t="s">
        <v>2817</v>
      </c>
      <c r="N25" s="2960" t="s">
        <v>3411</v>
      </c>
      <c r="O25" s="2960" t="s">
        <v>2817</v>
      </c>
      <c r="P25" s="2960" t="s">
        <v>2817</v>
      </c>
      <c r="Q25" s="2960" t="s">
        <v>2817</v>
      </c>
      <c r="R25" s="2960" t="s">
        <v>2817</v>
      </c>
      <c r="S25" s="2960" t="s">
        <v>2817</v>
      </c>
      <c r="T25" s="2960" t="s">
        <v>2817</v>
      </c>
      <c r="U25" s="2960" t="s">
        <v>2817</v>
      </c>
      <c r="V25" s="2960" t="s">
        <v>2817</v>
      </c>
      <c r="W25" s="2960" t="s">
        <v>3213</v>
      </c>
      <c r="X25" s="2960" t="s">
        <v>3412</v>
      </c>
      <c r="Y25" s="2960" t="s">
        <v>3413</v>
      </c>
      <c r="Z25" s="2960" t="s">
        <v>3414</v>
      </c>
      <c r="AA25" s="2960" t="s">
        <v>3414</v>
      </c>
      <c r="AB25" s="2960" t="s">
        <v>3415</v>
      </c>
      <c r="AC25" s="2960" t="s">
        <v>3209</v>
      </c>
      <c r="AD25" s="2960" t="s">
        <v>3416</v>
      </c>
      <c r="AE25" s="2960">
        <v>5507</v>
      </c>
      <c r="AF25" s="2960">
        <v>27534</v>
      </c>
      <c r="AG25" s="2960">
        <v>27534</v>
      </c>
      <c r="AH25" s="2960">
        <v>188.11</v>
      </c>
      <c r="AI25" s="2960">
        <v>188.11</v>
      </c>
      <c r="AJ25" s="2960">
        <v>855.02</v>
      </c>
      <c r="AK25" s="2960">
        <v>855.02</v>
      </c>
      <c r="AL25" s="2960" t="s">
        <v>2817</v>
      </c>
      <c r="AM25" s="2960" t="s">
        <v>2817</v>
      </c>
      <c r="AN25" s="2960">
        <v>0</v>
      </c>
      <c r="AO25" s="2960" t="s">
        <v>3216</v>
      </c>
      <c r="AP25" s="2960" t="s">
        <v>2817</v>
      </c>
      <c r="AQ25" s="2960" t="s">
        <v>2817</v>
      </c>
      <c r="AR25" s="2960" t="s">
        <v>2817</v>
      </c>
      <c r="AS25" s="2960">
        <f t="shared" si="0"/>
        <v>2822</v>
      </c>
    </row>
    <row r="26" spans="1:45">
      <c r="A26" s="2960" t="s">
        <v>3417</v>
      </c>
      <c r="B26" s="2960" t="s">
        <v>3255</v>
      </c>
      <c r="C26" s="2960" t="s">
        <v>3210</v>
      </c>
      <c r="D26" s="2960" t="s">
        <v>3256</v>
      </c>
      <c r="E26" s="2960" t="s">
        <v>2817</v>
      </c>
      <c r="F26" s="2960" t="s">
        <v>3417</v>
      </c>
      <c r="G26" s="2960" t="s">
        <v>3206</v>
      </c>
      <c r="H26" s="2960" t="s">
        <v>3418</v>
      </c>
      <c r="I26" s="2960" t="s">
        <v>3258</v>
      </c>
      <c r="J26" s="2960">
        <v>76786.600000000006</v>
      </c>
      <c r="K26" s="2960">
        <v>99822.58</v>
      </c>
      <c r="L26" s="2960" t="s">
        <v>3419</v>
      </c>
      <c r="M26" s="2960">
        <v>0</v>
      </c>
      <c r="N26" s="2960" t="s">
        <v>3420</v>
      </c>
      <c r="O26" s="2960" t="s">
        <v>2817</v>
      </c>
      <c r="P26" s="2960" t="s">
        <v>2817</v>
      </c>
      <c r="Q26" s="2960" t="s">
        <v>2817</v>
      </c>
      <c r="R26" s="2960" t="s">
        <v>2817</v>
      </c>
      <c r="S26" s="2960" t="s">
        <v>2817</v>
      </c>
      <c r="T26" s="2960" t="s">
        <v>2817</v>
      </c>
      <c r="U26" s="2960" t="s">
        <v>2817</v>
      </c>
      <c r="V26" s="2960" t="s">
        <v>2817</v>
      </c>
      <c r="W26" s="2960" t="s">
        <v>3213</v>
      </c>
      <c r="X26" s="2960" t="s">
        <v>3421</v>
      </c>
      <c r="Y26" s="2960" t="s">
        <v>3422</v>
      </c>
      <c r="Z26" s="2960" t="s">
        <v>3423</v>
      </c>
      <c r="AA26" s="2960" t="s">
        <v>3423</v>
      </c>
      <c r="AB26" s="2960" t="s">
        <v>3424</v>
      </c>
      <c r="AC26" s="2960" t="s">
        <v>3209</v>
      </c>
      <c r="AD26" s="2960" t="s">
        <v>3425</v>
      </c>
      <c r="AE26" s="2960">
        <v>753</v>
      </c>
      <c r="AF26" s="2960">
        <v>2509</v>
      </c>
      <c r="AG26" s="2960">
        <v>2509</v>
      </c>
      <c r="AH26" s="2960">
        <v>21.78</v>
      </c>
      <c r="AI26" s="2960">
        <v>21.78</v>
      </c>
      <c r="AJ26" s="2960">
        <v>251.34</v>
      </c>
      <c r="AK26" s="2960">
        <v>251.34</v>
      </c>
      <c r="AL26" s="2960" t="s">
        <v>2817</v>
      </c>
      <c r="AM26" s="2960" t="s">
        <v>2817</v>
      </c>
      <c r="AN26" s="2960">
        <v>0</v>
      </c>
      <c r="AO26" s="2960" t="s">
        <v>3216</v>
      </c>
      <c r="AP26" s="2960" t="s">
        <v>2817</v>
      </c>
      <c r="AQ26" s="2960" t="s">
        <v>2817</v>
      </c>
      <c r="AR26" s="2960" t="s">
        <v>2817</v>
      </c>
      <c r="AS26" s="2960">
        <f t="shared" si="0"/>
        <v>327</v>
      </c>
    </row>
    <row r="27" spans="1:45">
      <c r="A27" s="2960" t="s">
        <v>3426</v>
      </c>
      <c r="B27" s="2960" t="s">
        <v>3255</v>
      </c>
      <c r="C27" s="2960" t="s">
        <v>3210</v>
      </c>
      <c r="D27" s="2960" t="s">
        <v>3256</v>
      </c>
      <c r="E27" s="2960" t="s">
        <v>2817</v>
      </c>
      <c r="F27" s="2960" t="s">
        <v>3426</v>
      </c>
      <c r="G27" s="2960" t="s">
        <v>3206</v>
      </c>
      <c r="H27" s="2960" t="s">
        <v>3427</v>
      </c>
      <c r="I27" s="2960" t="s">
        <v>3258</v>
      </c>
      <c r="J27" s="2960">
        <v>106440.3</v>
      </c>
      <c r="K27" s="2960">
        <v>329964.90000000002</v>
      </c>
      <c r="L27" s="2960" t="s">
        <v>3428</v>
      </c>
      <c r="M27" s="2960" t="s">
        <v>2817</v>
      </c>
      <c r="N27" s="2960" t="s">
        <v>3411</v>
      </c>
      <c r="O27" s="2960" t="s">
        <v>2817</v>
      </c>
      <c r="P27" s="2960" t="s">
        <v>2817</v>
      </c>
      <c r="Q27" s="2960" t="s">
        <v>2817</v>
      </c>
      <c r="R27" s="2960" t="s">
        <v>2817</v>
      </c>
      <c r="S27" s="2960" t="s">
        <v>2817</v>
      </c>
      <c r="T27" s="2960" t="s">
        <v>2817</v>
      </c>
      <c r="U27" s="2960" t="s">
        <v>2817</v>
      </c>
      <c r="V27" s="2960" t="s">
        <v>2817</v>
      </c>
      <c r="W27" s="2960" t="s">
        <v>3213</v>
      </c>
      <c r="X27" s="2960" t="s">
        <v>3429</v>
      </c>
      <c r="Y27" s="2960" t="s">
        <v>3430</v>
      </c>
      <c r="Z27" s="2960" t="s">
        <v>3431</v>
      </c>
      <c r="AA27" s="2960" t="s">
        <v>3431</v>
      </c>
      <c r="AB27" s="2960" t="s">
        <v>3432</v>
      </c>
      <c r="AC27" s="2960" t="s">
        <v>3209</v>
      </c>
      <c r="AD27" s="2960" t="s">
        <v>3433</v>
      </c>
      <c r="AE27" s="2960">
        <v>9531</v>
      </c>
      <c r="AF27" s="2960">
        <v>19062</v>
      </c>
      <c r="AG27" s="2960">
        <v>19062</v>
      </c>
      <c r="AH27" s="2960">
        <v>119.39</v>
      </c>
      <c r="AI27" s="2960">
        <v>119.39</v>
      </c>
      <c r="AJ27" s="2960">
        <v>577.69000000000005</v>
      </c>
      <c r="AK27" s="2960">
        <v>577.70000000000005</v>
      </c>
      <c r="AL27" s="2960" t="s">
        <v>2817</v>
      </c>
      <c r="AM27" s="2960" t="s">
        <v>2817</v>
      </c>
      <c r="AN27" s="2960">
        <v>0</v>
      </c>
      <c r="AO27" s="2960" t="s">
        <v>3216</v>
      </c>
      <c r="AP27" s="2960" t="s">
        <v>2817</v>
      </c>
      <c r="AQ27" s="2960" t="s">
        <v>2817</v>
      </c>
      <c r="AR27" s="2960" t="s">
        <v>2817</v>
      </c>
      <c r="AS27" s="2960">
        <f t="shared" si="0"/>
        <v>1791</v>
      </c>
    </row>
    <row r="28" spans="1:45">
      <c r="A28" s="2960" t="s">
        <v>3426</v>
      </c>
      <c r="B28" s="2960" t="s">
        <v>3255</v>
      </c>
      <c r="C28" s="2960" t="s">
        <v>3210</v>
      </c>
      <c r="D28" s="2960" t="s">
        <v>3256</v>
      </c>
      <c r="E28" s="2960" t="s">
        <v>2817</v>
      </c>
      <c r="F28" s="2960" t="s">
        <v>3426</v>
      </c>
      <c r="G28" s="2960" t="s">
        <v>3206</v>
      </c>
      <c r="H28" s="2960" t="s">
        <v>3434</v>
      </c>
      <c r="I28" s="2960" t="s">
        <v>3258</v>
      </c>
      <c r="J28" s="2960">
        <v>17345</v>
      </c>
      <c r="K28" s="2960">
        <v>53769.5</v>
      </c>
      <c r="L28" s="2960" t="s">
        <v>3428</v>
      </c>
      <c r="M28" s="2960" t="s">
        <v>2817</v>
      </c>
      <c r="N28" s="2960" t="s">
        <v>3411</v>
      </c>
      <c r="O28" s="2960" t="s">
        <v>2817</v>
      </c>
      <c r="P28" s="2960" t="s">
        <v>2817</v>
      </c>
      <c r="Q28" s="2960" t="s">
        <v>2817</v>
      </c>
      <c r="R28" s="2960" t="s">
        <v>2817</v>
      </c>
      <c r="S28" s="2960" t="s">
        <v>2817</v>
      </c>
      <c r="T28" s="2960" t="s">
        <v>2817</v>
      </c>
      <c r="U28" s="2960" t="s">
        <v>2817</v>
      </c>
      <c r="V28" s="2960" t="s">
        <v>2817</v>
      </c>
      <c r="W28" s="2960" t="s">
        <v>3213</v>
      </c>
      <c r="X28" s="2960" t="s">
        <v>3429</v>
      </c>
      <c r="Y28" s="2960" t="s">
        <v>3430</v>
      </c>
      <c r="Z28" s="2960" t="s">
        <v>3431</v>
      </c>
      <c r="AA28" s="2960" t="s">
        <v>3431</v>
      </c>
      <c r="AB28" s="2960" t="s">
        <v>3435</v>
      </c>
      <c r="AC28" s="2960" t="s">
        <v>3209</v>
      </c>
      <c r="AD28" s="2960" t="s">
        <v>3433</v>
      </c>
      <c r="AE28" s="2960">
        <v>1584</v>
      </c>
      <c r="AF28" s="2960">
        <v>3167</v>
      </c>
      <c r="AG28" s="2960">
        <v>3167</v>
      </c>
      <c r="AH28" s="2960">
        <v>121.73</v>
      </c>
      <c r="AI28" s="2960">
        <v>121.73</v>
      </c>
      <c r="AJ28" s="2960">
        <v>588.99</v>
      </c>
      <c r="AK28" s="2960">
        <v>589</v>
      </c>
      <c r="AL28" s="2960" t="s">
        <v>2817</v>
      </c>
      <c r="AM28" s="2960" t="s">
        <v>2817</v>
      </c>
      <c r="AN28" s="2960">
        <v>0</v>
      </c>
      <c r="AO28" s="2960" t="s">
        <v>3216</v>
      </c>
      <c r="AP28" s="2960" t="s">
        <v>2817</v>
      </c>
      <c r="AQ28" s="2960" t="s">
        <v>2817</v>
      </c>
      <c r="AR28" s="2960" t="s">
        <v>2817</v>
      </c>
      <c r="AS28" s="2960">
        <f t="shared" si="0"/>
        <v>1826</v>
      </c>
    </row>
    <row r="29" spans="1:45">
      <c r="A29" s="2960" t="s">
        <v>3426</v>
      </c>
      <c r="B29" s="2960" t="s">
        <v>3255</v>
      </c>
      <c r="C29" s="2960" t="s">
        <v>3210</v>
      </c>
      <c r="D29" s="2960" t="s">
        <v>3256</v>
      </c>
      <c r="E29" s="2960" t="s">
        <v>2817</v>
      </c>
      <c r="F29" s="2960" t="s">
        <v>3426</v>
      </c>
      <c r="G29" s="2960" t="s">
        <v>3206</v>
      </c>
      <c r="H29" s="2960" t="s">
        <v>3436</v>
      </c>
      <c r="I29" s="2960" t="s">
        <v>3258</v>
      </c>
      <c r="J29" s="2960">
        <v>20416.8</v>
      </c>
      <c r="K29" s="2960">
        <v>63292.08</v>
      </c>
      <c r="L29" s="2960" t="s">
        <v>3428</v>
      </c>
      <c r="M29" s="2960" t="s">
        <v>2817</v>
      </c>
      <c r="N29" s="2960" t="s">
        <v>3411</v>
      </c>
      <c r="O29" s="2960" t="s">
        <v>2817</v>
      </c>
      <c r="P29" s="2960" t="s">
        <v>2817</v>
      </c>
      <c r="Q29" s="2960" t="s">
        <v>2817</v>
      </c>
      <c r="R29" s="2960" t="s">
        <v>2817</v>
      </c>
      <c r="S29" s="2960" t="s">
        <v>2817</v>
      </c>
      <c r="T29" s="2960" t="s">
        <v>2817</v>
      </c>
      <c r="U29" s="2960" t="s">
        <v>2817</v>
      </c>
      <c r="V29" s="2960" t="s">
        <v>2817</v>
      </c>
      <c r="W29" s="2960" t="s">
        <v>3213</v>
      </c>
      <c r="X29" s="2960" t="s">
        <v>3429</v>
      </c>
      <c r="Y29" s="2960" t="s">
        <v>3430</v>
      </c>
      <c r="Z29" s="2960" t="s">
        <v>3431</v>
      </c>
      <c r="AA29" s="2960" t="s">
        <v>3431</v>
      </c>
      <c r="AB29" s="2960" t="s">
        <v>3437</v>
      </c>
      <c r="AC29" s="2960" t="s">
        <v>3209</v>
      </c>
      <c r="AD29" s="2960" t="s">
        <v>3433</v>
      </c>
      <c r="AE29" s="2960">
        <v>1859</v>
      </c>
      <c r="AF29" s="2960">
        <v>3718</v>
      </c>
      <c r="AG29" s="2960">
        <v>3718</v>
      </c>
      <c r="AH29" s="2960">
        <v>121.4</v>
      </c>
      <c r="AI29" s="2960">
        <v>121.4</v>
      </c>
      <c r="AJ29" s="2960">
        <v>587.42999999999995</v>
      </c>
      <c r="AK29" s="2960">
        <v>587.44000000000005</v>
      </c>
      <c r="AL29" s="2960" t="s">
        <v>2817</v>
      </c>
      <c r="AM29" s="2960" t="s">
        <v>2817</v>
      </c>
      <c r="AN29" s="2960">
        <v>0</v>
      </c>
      <c r="AO29" s="2960" t="s">
        <v>3216</v>
      </c>
      <c r="AP29" s="2960" t="s">
        <v>2817</v>
      </c>
      <c r="AQ29" s="2960" t="s">
        <v>2817</v>
      </c>
      <c r="AR29" s="2960" t="s">
        <v>2817</v>
      </c>
      <c r="AS29" s="2960">
        <f t="shared" si="0"/>
        <v>1821</v>
      </c>
    </row>
    <row r="30" spans="1:45">
      <c r="A30" s="2960" t="s">
        <v>3438</v>
      </c>
      <c r="B30" s="2960" t="s">
        <v>3255</v>
      </c>
      <c r="C30" s="2960" t="s">
        <v>3210</v>
      </c>
      <c r="D30" s="2960" t="s">
        <v>3256</v>
      </c>
      <c r="E30" s="2960" t="s">
        <v>2817</v>
      </c>
      <c r="F30" s="2960" t="s">
        <v>3438</v>
      </c>
      <c r="G30" s="2960" t="s">
        <v>3274</v>
      </c>
      <c r="H30" s="2960" t="s">
        <v>3439</v>
      </c>
      <c r="I30" s="2960" t="s">
        <v>3258</v>
      </c>
      <c r="J30" s="2960">
        <v>13598.1</v>
      </c>
      <c r="K30" s="2960">
        <v>33995.25</v>
      </c>
      <c r="L30" s="2960" t="s">
        <v>3440</v>
      </c>
      <c r="M30" s="2960" t="s">
        <v>2817</v>
      </c>
      <c r="N30" s="2960" t="s">
        <v>3441</v>
      </c>
      <c r="O30" s="2960" t="s">
        <v>2817</v>
      </c>
      <c r="P30" s="2960" t="s">
        <v>2817</v>
      </c>
      <c r="Q30" s="2960" t="s">
        <v>2817</v>
      </c>
      <c r="R30" s="2960" t="s">
        <v>2817</v>
      </c>
      <c r="S30" s="2960" t="s">
        <v>2817</v>
      </c>
      <c r="T30" s="2960" t="s">
        <v>2817</v>
      </c>
      <c r="U30" s="2960" t="s">
        <v>2817</v>
      </c>
      <c r="V30" s="2960" t="s">
        <v>2817</v>
      </c>
      <c r="W30" s="2960" t="s">
        <v>3213</v>
      </c>
      <c r="X30" s="2960" t="s">
        <v>3442</v>
      </c>
      <c r="Y30" s="2960" t="s">
        <v>3443</v>
      </c>
      <c r="Z30" s="2960" t="s">
        <v>3443</v>
      </c>
      <c r="AA30" s="2960" t="s">
        <v>3443</v>
      </c>
      <c r="AB30" s="2960" t="s">
        <v>3444</v>
      </c>
      <c r="AC30" s="2960" t="s">
        <v>3209</v>
      </c>
      <c r="AD30" s="2960" t="s">
        <v>3445</v>
      </c>
      <c r="AE30" s="2960">
        <v>2125</v>
      </c>
      <c r="AF30" s="2960">
        <v>4250</v>
      </c>
      <c r="AG30" s="2960">
        <v>5000</v>
      </c>
      <c r="AH30" s="2960">
        <v>208.36</v>
      </c>
      <c r="AI30" s="2960">
        <v>245.13</v>
      </c>
      <c r="AJ30" s="2960">
        <v>1250.17</v>
      </c>
      <c r="AK30" s="2960">
        <v>1470.78</v>
      </c>
      <c r="AL30" s="2960" t="s">
        <v>2817</v>
      </c>
      <c r="AM30" s="2960" t="s">
        <v>2817</v>
      </c>
      <c r="AN30" s="2960">
        <v>17.649999999999999</v>
      </c>
      <c r="AO30" s="2960" t="s">
        <v>3216</v>
      </c>
      <c r="AP30" s="2960" t="s">
        <v>2817</v>
      </c>
      <c r="AQ30" s="2960" t="s">
        <v>2817</v>
      </c>
      <c r="AR30" s="2960" t="s">
        <v>2817</v>
      </c>
      <c r="AS30" s="2960">
        <f t="shared" si="0"/>
        <v>3677</v>
      </c>
    </row>
    <row r="31" spans="1:45">
      <c r="A31" s="2960" t="s">
        <v>3446</v>
      </c>
      <c r="B31" s="2960" t="s">
        <v>3255</v>
      </c>
      <c r="C31" s="2960" t="s">
        <v>3210</v>
      </c>
      <c r="D31" s="2960" t="s">
        <v>3256</v>
      </c>
      <c r="E31" s="2960" t="s">
        <v>2817</v>
      </c>
      <c r="F31" s="2960" t="s">
        <v>3446</v>
      </c>
      <c r="G31" s="2960" t="s">
        <v>3206</v>
      </c>
      <c r="H31" s="2960" t="s">
        <v>3447</v>
      </c>
      <c r="I31" s="2960" t="s">
        <v>3258</v>
      </c>
      <c r="J31" s="2960">
        <v>10322.700000000001</v>
      </c>
      <c r="K31" s="2960">
        <v>25806.75</v>
      </c>
      <c r="L31" s="2960" t="s">
        <v>3440</v>
      </c>
      <c r="M31" s="2960" t="s">
        <v>2817</v>
      </c>
      <c r="N31" s="2960" t="s">
        <v>3448</v>
      </c>
      <c r="O31" s="2960" t="s">
        <v>2817</v>
      </c>
      <c r="P31" s="2960" t="s">
        <v>2817</v>
      </c>
      <c r="Q31" s="2960" t="s">
        <v>2817</v>
      </c>
      <c r="R31" s="2960" t="s">
        <v>2817</v>
      </c>
      <c r="S31" s="2960" t="s">
        <v>2817</v>
      </c>
      <c r="T31" s="2960" t="s">
        <v>2817</v>
      </c>
      <c r="U31" s="2960" t="s">
        <v>2817</v>
      </c>
      <c r="V31" s="2960" t="s">
        <v>2817</v>
      </c>
      <c r="W31" s="2960" t="s">
        <v>3213</v>
      </c>
      <c r="X31" s="2960" t="s">
        <v>3449</v>
      </c>
      <c r="Y31" s="2960" t="s">
        <v>3450</v>
      </c>
      <c r="Z31" s="2960" t="s">
        <v>3451</v>
      </c>
      <c r="AA31" s="2960" t="s">
        <v>3451</v>
      </c>
      <c r="AB31" s="2960" t="s">
        <v>3452</v>
      </c>
      <c r="AC31" s="2960" t="s">
        <v>3209</v>
      </c>
      <c r="AD31" s="2960" t="s">
        <v>3453</v>
      </c>
      <c r="AE31" s="2960">
        <v>1072</v>
      </c>
      <c r="AF31" s="2960">
        <v>2143</v>
      </c>
      <c r="AG31" s="2960">
        <v>2143</v>
      </c>
      <c r="AH31" s="2960">
        <v>138.4</v>
      </c>
      <c r="AI31" s="2960">
        <v>138.4</v>
      </c>
      <c r="AJ31" s="2960">
        <v>830.4</v>
      </c>
      <c r="AK31" s="2960">
        <v>830.39</v>
      </c>
      <c r="AL31" s="2960" t="s">
        <v>2817</v>
      </c>
      <c r="AM31" s="2960" t="s">
        <v>2817</v>
      </c>
      <c r="AN31" s="2960">
        <v>0</v>
      </c>
      <c r="AO31" s="2960" t="s">
        <v>3216</v>
      </c>
      <c r="AP31" s="2960" t="s">
        <v>2817</v>
      </c>
      <c r="AQ31" s="2960" t="s">
        <v>2817</v>
      </c>
      <c r="AR31" s="2960" t="s">
        <v>2817</v>
      </c>
      <c r="AS31" s="2960">
        <f t="shared" si="0"/>
        <v>2076</v>
      </c>
    </row>
    <row r="32" spans="1:45">
      <c r="A32" s="2960" t="s">
        <v>3454</v>
      </c>
      <c r="B32" s="2960" t="s">
        <v>3255</v>
      </c>
      <c r="C32" s="2960" t="s">
        <v>3210</v>
      </c>
      <c r="D32" s="2960" t="s">
        <v>3256</v>
      </c>
      <c r="E32" s="2960" t="s">
        <v>2817</v>
      </c>
      <c r="F32" s="2960" t="s">
        <v>3454</v>
      </c>
      <c r="G32" s="2960" t="s">
        <v>3206</v>
      </c>
      <c r="H32" s="2960" t="s">
        <v>3455</v>
      </c>
      <c r="I32" s="2960" t="s">
        <v>3258</v>
      </c>
      <c r="J32" s="2960">
        <v>8035.6</v>
      </c>
      <c r="K32" s="2960">
        <v>24106.799999999999</v>
      </c>
      <c r="L32" s="2960" t="s">
        <v>3456</v>
      </c>
      <c r="M32" s="2960" t="s">
        <v>2817</v>
      </c>
      <c r="N32" s="2960" t="s">
        <v>3457</v>
      </c>
      <c r="O32" s="2960" t="s">
        <v>2817</v>
      </c>
      <c r="P32" s="2960" t="s">
        <v>2817</v>
      </c>
      <c r="Q32" s="2960" t="s">
        <v>2817</v>
      </c>
      <c r="R32" s="2960" t="s">
        <v>2817</v>
      </c>
      <c r="S32" s="2960" t="s">
        <v>2817</v>
      </c>
      <c r="T32" s="2960" t="s">
        <v>2817</v>
      </c>
      <c r="U32" s="2960" t="s">
        <v>2817</v>
      </c>
      <c r="V32" s="2960" t="s">
        <v>2817</v>
      </c>
      <c r="W32" s="2960" t="s">
        <v>3213</v>
      </c>
      <c r="X32" s="2960" t="s">
        <v>3458</v>
      </c>
      <c r="Y32" s="2960" t="s">
        <v>3459</v>
      </c>
      <c r="Z32" s="2960" t="s">
        <v>3460</v>
      </c>
      <c r="AA32" s="2960" t="s">
        <v>3460</v>
      </c>
      <c r="AB32" s="2960" t="s">
        <v>3461</v>
      </c>
      <c r="AC32" s="2960" t="s">
        <v>3209</v>
      </c>
      <c r="AD32" s="2960" t="s">
        <v>3462</v>
      </c>
      <c r="AE32" s="2960">
        <v>1067</v>
      </c>
      <c r="AF32" s="2960">
        <v>2135</v>
      </c>
      <c r="AG32" s="2960">
        <v>2135</v>
      </c>
      <c r="AH32" s="2960">
        <v>177.13</v>
      </c>
      <c r="AI32" s="2960">
        <v>177.13</v>
      </c>
      <c r="AJ32" s="2960">
        <v>885.64</v>
      </c>
      <c r="AK32" s="2960">
        <v>885.63</v>
      </c>
      <c r="AL32" s="2960" t="s">
        <v>2817</v>
      </c>
      <c r="AM32" s="2960" t="s">
        <v>2817</v>
      </c>
      <c r="AN32" s="2960">
        <v>0</v>
      </c>
      <c r="AO32" s="2960" t="s">
        <v>3216</v>
      </c>
      <c r="AP32" s="2960" t="s">
        <v>2817</v>
      </c>
      <c r="AQ32" s="2960" t="s">
        <v>2817</v>
      </c>
      <c r="AR32" s="2960" t="s">
        <v>2817</v>
      </c>
      <c r="AS32" s="2960">
        <f t="shared" si="0"/>
        <v>2657</v>
      </c>
    </row>
    <row r="33" spans="1:45">
      <c r="A33" s="2960" t="s">
        <v>3454</v>
      </c>
      <c r="B33" s="2960" t="s">
        <v>3255</v>
      </c>
      <c r="C33" s="2960" t="s">
        <v>3210</v>
      </c>
      <c r="D33" s="2960" t="s">
        <v>3256</v>
      </c>
      <c r="E33" s="2960" t="s">
        <v>2817</v>
      </c>
      <c r="F33" s="2960" t="s">
        <v>3454</v>
      </c>
      <c r="G33" s="2960" t="s">
        <v>3206</v>
      </c>
      <c r="H33" s="2960" t="s">
        <v>3463</v>
      </c>
      <c r="I33" s="2960" t="s">
        <v>3258</v>
      </c>
      <c r="J33" s="2960">
        <v>4030.4</v>
      </c>
      <c r="K33" s="2960">
        <v>12091.2</v>
      </c>
      <c r="L33" s="2960" t="s">
        <v>3456</v>
      </c>
      <c r="M33" s="2960" t="s">
        <v>2817</v>
      </c>
      <c r="N33" s="2960" t="s">
        <v>3457</v>
      </c>
      <c r="O33" s="2960" t="s">
        <v>2817</v>
      </c>
      <c r="P33" s="2960" t="s">
        <v>2817</v>
      </c>
      <c r="Q33" s="2960" t="s">
        <v>2817</v>
      </c>
      <c r="R33" s="2960" t="s">
        <v>2817</v>
      </c>
      <c r="S33" s="2960" t="s">
        <v>2817</v>
      </c>
      <c r="T33" s="2960" t="s">
        <v>2817</v>
      </c>
      <c r="U33" s="2960" t="s">
        <v>2817</v>
      </c>
      <c r="V33" s="2960" t="s">
        <v>2817</v>
      </c>
      <c r="W33" s="2960" t="s">
        <v>3213</v>
      </c>
      <c r="X33" s="2960" t="s">
        <v>3458</v>
      </c>
      <c r="Y33" s="2960" t="s">
        <v>3459</v>
      </c>
      <c r="Z33" s="2960" t="s">
        <v>3460</v>
      </c>
      <c r="AA33" s="2960" t="s">
        <v>3460</v>
      </c>
      <c r="AB33" s="2960" t="s">
        <v>3464</v>
      </c>
      <c r="AC33" s="2960" t="s">
        <v>3209</v>
      </c>
      <c r="AD33" s="2960" t="s">
        <v>3462</v>
      </c>
      <c r="AE33" s="2960">
        <v>508</v>
      </c>
      <c r="AF33" s="2960">
        <v>1016</v>
      </c>
      <c r="AG33" s="2960">
        <v>1016</v>
      </c>
      <c r="AH33" s="2960">
        <v>168.06</v>
      </c>
      <c r="AI33" s="2960">
        <v>168.06</v>
      </c>
      <c r="AJ33" s="2960">
        <v>840.28</v>
      </c>
      <c r="AK33" s="2960">
        <v>840.27</v>
      </c>
      <c r="AL33" s="2960" t="s">
        <v>2817</v>
      </c>
      <c r="AM33" s="2960" t="s">
        <v>2817</v>
      </c>
      <c r="AN33" s="2960">
        <v>0</v>
      </c>
      <c r="AO33" s="2960" t="s">
        <v>3216</v>
      </c>
      <c r="AP33" s="2960" t="s">
        <v>2817</v>
      </c>
      <c r="AQ33" s="2960" t="s">
        <v>2817</v>
      </c>
      <c r="AR33" s="2960" t="s">
        <v>2817</v>
      </c>
      <c r="AS33" s="2960">
        <f t="shared" si="0"/>
        <v>2521</v>
      </c>
    </row>
    <row r="34" spans="1:45">
      <c r="A34" s="2960" t="s">
        <v>3465</v>
      </c>
      <c r="B34" s="2960" t="s">
        <v>3255</v>
      </c>
      <c r="C34" s="2960" t="s">
        <v>3210</v>
      </c>
      <c r="D34" s="2960" t="s">
        <v>3256</v>
      </c>
      <c r="E34" s="2960" t="s">
        <v>2817</v>
      </c>
      <c r="F34" s="2960" t="s">
        <v>3465</v>
      </c>
      <c r="G34" s="2960" t="s">
        <v>3206</v>
      </c>
      <c r="H34" s="2960" t="s">
        <v>3466</v>
      </c>
      <c r="I34" s="2960" t="s">
        <v>3258</v>
      </c>
      <c r="J34" s="2960">
        <v>31262</v>
      </c>
      <c r="K34" s="2960">
        <v>84407.4</v>
      </c>
      <c r="L34" s="2960" t="s">
        <v>3467</v>
      </c>
      <c r="M34" s="2960" t="s">
        <v>2817</v>
      </c>
      <c r="N34" s="2960" t="s">
        <v>3411</v>
      </c>
      <c r="O34" s="2960" t="s">
        <v>2817</v>
      </c>
      <c r="P34" s="2960" t="s">
        <v>2817</v>
      </c>
      <c r="Q34" s="2960" t="s">
        <v>2817</v>
      </c>
      <c r="R34" s="2960" t="s">
        <v>2817</v>
      </c>
      <c r="S34" s="2960" t="s">
        <v>2817</v>
      </c>
      <c r="T34" s="2960" t="s">
        <v>2817</v>
      </c>
      <c r="U34" s="2960" t="s">
        <v>2817</v>
      </c>
      <c r="V34" s="2960" t="s">
        <v>2817</v>
      </c>
      <c r="W34" s="2960" t="s">
        <v>3213</v>
      </c>
      <c r="X34" s="2960" t="s">
        <v>3468</v>
      </c>
      <c r="Y34" s="2960" t="s">
        <v>3469</v>
      </c>
      <c r="Z34" s="2960" t="s">
        <v>3470</v>
      </c>
      <c r="AA34" s="2960" t="s">
        <v>3470</v>
      </c>
      <c r="AB34" s="2960" t="s">
        <v>3471</v>
      </c>
      <c r="AC34" s="2960" t="s">
        <v>3209</v>
      </c>
      <c r="AD34" s="2960" t="s">
        <v>3472</v>
      </c>
      <c r="AE34" s="2960">
        <v>2450</v>
      </c>
      <c r="AF34" s="2960">
        <v>4899</v>
      </c>
      <c r="AG34" s="2960">
        <v>4899</v>
      </c>
      <c r="AH34" s="2960">
        <v>104.47</v>
      </c>
      <c r="AI34" s="2960">
        <v>104.47</v>
      </c>
      <c r="AJ34" s="2960">
        <v>580.39</v>
      </c>
      <c r="AK34" s="2960">
        <v>580.39</v>
      </c>
      <c r="AL34" s="2960" t="s">
        <v>2817</v>
      </c>
      <c r="AM34" s="2960" t="s">
        <v>2817</v>
      </c>
      <c r="AN34" s="2960">
        <v>0</v>
      </c>
      <c r="AO34" s="2960" t="s">
        <v>3216</v>
      </c>
      <c r="AP34" s="2960" t="s">
        <v>2817</v>
      </c>
      <c r="AQ34" s="2960" t="s">
        <v>2817</v>
      </c>
      <c r="AR34" s="2960" t="s">
        <v>2817</v>
      </c>
      <c r="AS34" s="2960">
        <f t="shared" si="0"/>
        <v>1567</v>
      </c>
    </row>
    <row r="35" spans="1:45">
      <c r="A35" s="2960" t="s">
        <v>3465</v>
      </c>
      <c r="B35" s="2960" t="s">
        <v>3255</v>
      </c>
      <c r="C35" s="2960" t="s">
        <v>3210</v>
      </c>
      <c r="D35" s="2960" t="s">
        <v>3256</v>
      </c>
      <c r="E35" s="2960" t="s">
        <v>2817</v>
      </c>
      <c r="F35" s="2960" t="s">
        <v>3465</v>
      </c>
      <c r="G35" s="2960" t="s">
        <v>3206</v>
      </c>
      <c r="H35" s="2960" t="s">
        <v>3473</v>
      </c>
      <c r="I35" s="2960" t="s">
        <v>3258</v>
      </c>
      <c r="J35" s="2960">
        <v>35688</v>
      </c>
      <c r="K35" s="2960">
        <v>96357.6</v>
      </c>
      <c r="L35" s="2960" t="s">
        <v>3467</v>
      </c>
      <c r="M35" s="2960" t="s">
        <v>2817</v>
      </c>
      <c r="N35" s="2960" t="s">
        <v>3411</v>
      </c>
      <c r="O35" s="2960" t="s">
        <v>2817</v>
      </c>
      <c r="P35" s="2960" t="s">
        <v>2817</v>
      </c>
      <c r="Q35" s="2960" t="s">
        <v>2817</v>
      </c>
      <c r="R35" s="2960" t="s">
        <v>2817</v>
      </c>
      <c r="S35" s="2960" t="s">
        <v>2817</v>
      </c>
      <c r="T35" s="2960" t="s">
        <v>2817</v>
      </c>
      <c r="U35" s="2960" t="s">
        <v>2817</v>
      </c>
      <c r="V35" s="2960" t="s">
        <v>2817</v>
      </c>
      <c r="W35" s="2960" t="s">
        <v>3213</v>
      </c>
      <c r="X35" s="2960" t="s">
        <v>3468</v>
      </c>
      <c r="Y35" s="2960" t="s">
        <v>3469</v>
      </c>
      <c r="Z35" s="2960" t="s">
        <v>3470</v>
      </c>
      <c r="AA35" s="2960" t="s">
        <v>3470</v>
      </c>
      <c r="AB35" s="2960" t="s">
        <v>3474</v>
      </c>
      <c r="AC35" s="2960" t="s">
        <v>3209</v>
      </c>
      <c r="AD35" s="2960" t="s">
        <v>3472</v>
      </c>
      <c r="AE35" s="2960">
        <v>2802</v>
      </c>
      <c r="AF35" s="2960">
        <v>5603</v>
      </c>
      <c r="AG35" s="2960">
        <v>5603</v>
      </c>
      <c r="AH35" s="2960">
        <v>104.67</v>
      </c>
      <c r="AI35" s="2960">
        <v>104.67</v>
      </c>
      <c r="AJ35" s="2960">
        <v>581.47</v>
      </c>
      <c r="AK35" s="2960">
        <v>581.48</v>
      </c>
      <c r="AL35" s="2960" t="s">
        <v>2817</v>
      </c>
      <c r="AM35" s="2960" t="s">
        <v>2817</v>
      </c>
      <c r="AN35" s="2960">
        <v>0</v>
      </c>
      <c r="AO35" s="2960" t="s">
        <v>3216</v>
      </c>
      <c r="AP35" s="2960" t="s">
        <v>2817</v>
      </c>
      <c r="AQ35" s="2960" t="s">
        <v>2817</v>
      </c>
      <c r="AR35" s="2960" t="s">
        <v>2817</v>
      </c>
    </row>
    <row r="36" spans="1:45">
      <c r="A36" s="2960" t="s">
        <v>3465</v>
      </c>
      <c r="B36" s="2960" t="s">
        <v>3255</v>
      </c>
      <c r="C36" s="2960" t="s">
        <v>3210</v>
      </c>
      <c r="D36" s="2960" t="s">
        <v>3256</v>
      </c>
      <c r="E36" s="2960" t="s">
        <v>2817</v>
      </c>
      <c r="F36" s="2960" t="s">
        <v>3465</v>
      </c>
      <c r="G36" s="2960" t="s">
        <v>3206</v>
      </c>
      <c r="H36" s="2960" t="s">
        <v>3475</v>
      </c>
      <c r="I36" s="2960" t="s">
        <v>3258</v>
      </c>
      <c r="J36" s="2960">
        <v>43879</v>
      </c>
      <c r="K36" s="2960">
        <v>118473.3</v>
      </c>
      <c r="L36" s="2960" t="s">
        <v>3467</v>
      </c>
      <c r="M36" s="2960" t="s">
        <v>2817</v>
      </c>
      <c r="N36" s="2960" t="s">
        <v>3411</v>
      </c>
      <c r="O36" s="2960" t="s">
        <v>2817</v>
      </c>
      <c r="P36" s="2960" t="s">
        <v>2817</v>
      </c>
      <c r="Q36" s="2960" t="s">
        <v>2817</v>
      </c>
      <c r="R36" s="2960" t="s">
        <v>2817</v>
      </c>
      <c r="S36" s="2960" t="s">
        <v>2817</v>
      </c>
      <c r="T36" s="2960" t="s">
        <v>2817</v>
      </c>
      <c r="U36" s="2960" t="s">
        <v>2817</v>
      </c>
      <c r="V36" s="2960" t="s">
        <v>2817</v>
      </c>
      <c r="W36" s="2960" t="s">
        <v>3213</v>
      </c>
      <c r="X36" s="2960" t="s">
        <v>3468</v>
      </c>
      <c r="Y36" s="2960" t="s">
        <v>3469</v>
      </c>
      <c r="Z36" s="2960" t="s">
        <v>3470</v>
      </c>
      <c r="AA36" s="2960" t="s">
        <v>3470</v>
      </c>
      <c r="AB36" s="2960" t="s">
        <v>3476</v>
      </c>
      <c r="AC36" s="2960" t="s">
        <v>3209</v>
      </c>
      <c r="AD36" s="2960" t="s">
        <v>3472</v>
      </c>
      <c r="AE36" s="2960">
        <v>3439</v>
      </c>
      <c r="AF36" s="2960">
        <v>6877</v>
      </c>
      <c r="AG36" s="2960">
        <v>6877</v>
      </c>
      <c r="AH36" s="2960">
        <v>104.48</v>
      </c>
      <c r="AI36" s="2960">
        <v>104.48</v>
      </c>
      <c r="AJ36" s="2960">
        <v>580.46</v>
      </c>
      <c r="AK36" s="2960">
        <v>580.47</v>
      </c>
      <c r="AL36" s="2960" t="s">
        <v>2817</v>
      </c>
      <c r="AM36" s="2960" t="s">
        <v>2817</v>
      </c>
      <c r="AN36" s="2960">
        <v>0</v>
      </c>
      <c r="AO36" s="2960" t="s">
        <v>3216</v>
      </c>
      <c r="AP36" s="2960" t="s">
        <v>2817</v>
      </c>
      <c r="AQ36" s="2960" t="s">
        <v>2817</v>
      </c>
      <c r="AR36" s="2960" t="s">
        <v>2817</v>
      </c>
    </row>
    <row r="37" spans="1:45">
      <c r="A37" s="2960" t="s">
        <v>3465</v>
      </c>
      <c r="B37" s="2960" t="s">
        <v>3255</v>
      </c>
      <c r="C37" s="2960" t="s">
        <v>3210</v>
      </c>
      <c r="D37" s="2960" t="s">
        <v>3256</v>
      </c>
      <c r="E37" s="2960" t="s">
        <v>2817</v>
      </c>
      <c r="F37" s="2960" t="s">
        <v>3465</v>
      </c>
      <c r="G37" s="2960" t="s">
        <v>3206</v>
      </c>
      <c r="H37" s="2960" t="s">
        <v>3477</v>
      </c>
      <c r="I37" s="2960" t="s">
        <v>3258</v>
      </c>
      <c r="J37" s="2960">
        <v>35746</v>
      </c>
      <c r="K37" s="2960">
        <v>96514.2</v>
      </c>
      <c r="L37" s="2960" t="s">
        <v>3467</v>
      </c>
      <c r="M37" s="2960" t="s">
        <v>2817</v>
      </c>
      <c r="N37" s="2960" t="s">
        <v>3411</v>
      </c>
      <c r="O37" s="2960" t="s">
        <v>2817</v>
      </c>
      <c r="P37" s="2960" t="s">
        <v>2817</v>
      </c>
      <c r="Q37" s="2960" t="s">
        <v>2817</v>
      </c>
      <c r="R37" s="2960" t="s">
        <v>2817</v>
      </c>
      <c r="S37" s="2960" t="s">
        <v>2817</v>
      </c>
      <c r="T37" s="2960" t="s">
        <v>2817</v>
      </c>
      <c r="U37" s="2960" t="s">
        <v>2817</v>
      </c>
      <c r="V37" s="2960" t="s">
        <v>2817</v>
      </c>
      <c r="W37" s="2960" t="s">
        <v>3213</v>
      </c>
      <c r="X37" s="2960" t="s">
        <v>3468</v>
      </c>
      <c r="Y37" s="2960" t="s">
        <v>3469</v>
      </c>
      <c r="Z37" s="2960" t="s">
        <v>3470</v>
      </c>
      <c r="AA37" s="2960" t="s">
        <v>3470</v>
      </c>
      <c r="AB37" s="2960" t="s">
        <v>3478</v>
      </c>
      <c r="AC37" s="2960" t="s">
        <v>3209</v>
      </c>
      <c r="AD37" s="2960" t="s">
        <v>3472</v>
      </c>
      <c r="AE37" s="2960">
        <v>2807</v>
      </c>
      <c r="AF37" s="2960">
        <v>5614</v>
      </c>
      <c r="AG37" s="2960">
        <v>5614</v>
      </c>
      <c r="AH37" s="2960">
        <v>104.7</v>
      </c>
      <c r="AI37" s="2960">
        <v>104.7</v>
      </c>
      <c r="AJ37" s="2960">
        <v>581.66999999999996</v>
      </c>
      <c r="AK37" s="2960">
        <v>581.66999999999996</v>
      </c>
      <c r="AL37" s="2960" t="s">
        <v>2817</v>
      </c>
      <c r="AM37" s="2960" t="s">
        <v>2817</v>
      </c>
      <c r="AN37" s="2960">
        <v>0</v>
      </c>
      <c r="AO37" s="2960" t="s">
        <v>3216</v>
      </c>
      <c r="AP37" s="2960" t="s">
        <v>2817</v>
      </c>
      <c r="AQ37" s="2960" t="s">
        <v>2817</v>
      </c>
      <c r="AR37" s="2960" t="s">
        <v>2817</v>
      </c>
    </row>
    <row r="38" spans="1:45">
      <c r="A38" s="2960" t="s">
        <v>3465</v>
      </c>
      <c r="B38" s="2960" t="s">
        <v>3255</v>
      </c>
      <c r="C38" s="2960" t="s">
        <v>3210</v>
      </c>
      <c r="D38" s="2960" t="s">
        <v>3256</v>
      </c>
      <c r="E38" s="2960" t="s">
        <v>2817</v>
      </c>
      <c r="F38" s="2960" t="s">
        <v>3465</v>
      </c>
      <c r="G38" s="2960" t="s">
        <v>3206</v>
      </c>
      <c r="H38" s="2960" t="s">
        <v>3479</v>
      </c>
      <c r="I38" s="2960" t="s">
        <v>3258</v>
      </c>
      <c r="J38" s="2960">
        <v>36330</v>
      </c>
      <c r="K38" s="2960">
        <v>98091</v>
      </c>
      <c r="L38" s="2960" t="s">
        <v>3467</v>
      </c>
      <c r="M38" s="2960" t="s">
        <v>2817</v>
      </c>
      <c r="N38" s="2960" t="s">
        <v>3411</v>
      </c>
      <c r="O38" s="2960" t="s">
        <v>2817</v>
      </c>
      <c r="P38" s="2960" t="s">
        <v>2817</v>
      </c>
      <c r="Q38" s="2960" t="s">
        <v>2817</v>
      </c>
      <c r="R38" s="2960" t="s">
        <v>2817</v>
      </c>
      <c r="S38" s="2960" t="s">
        <v>2817</v>
      </c>
      <c r="T38" s="2960" t="s">
        <v>2817</v>
      </c>
      <c r="U38" s="2960" t="s">
        <v>2817</v>
      </c>
      <c r="V38" s="2960" t="s">
        <v>2817</v>
      </c>
      <c r="W38" s="2960" t="s">
        <v>3213</v>
      </c>
      <c r="X38" s="2960" t="s">
        <v>3468</v>
      </c>
      <c r="Y38" s="2960" t="s">
        <v>3469</v>
      </c>
      <c r="Z38" s="2960" t="s">
        <v>3470</v>
      </c>
      <c r="AA38" s="2960" t="s">
        <v>3470</v>
      </c>
      <c r="AB38" s="2960" t="s">
        <v>3480</v>
      </c>
      <c r="AC38" s="2960" t="s">
        <v>3209</v>
      </c>
      <c r="AD38" s="2960" t="s">
        <v>3472</v>
      </c>
      <c r="AE38" s="2960">
        <v>2845</v>
      </c>
      <c r="AF38" s="2960">
        <v>5689</v>
      </c>
      <c r="AG38" s="2960">
        <v>5689</v>
      </c>
      <c r="AH38" s="2960">
        <v>104.39</v>
      </c>
      <c r="AI38" s="2960">
        <v>104.39</v>
      </c>
      <c r="AJ38" s="2960">
        <v>579.97</v>
      </c>
      <c r="AK38" s="2960">
        <v>579.97</v>
      </c>
      <c r="AL38" s="2960" t="s">
        <v>2817</v>
      </c>
      <c r="AM38" s="2960" t="s">
        <v>2817</v>
      </c>
      <c r="AN38" s="2960">
        <v>0</v>
      </c>
      <c r="AO38" s="2960" t="s">
        <v>3216</v>
      </c>
      <c r="AP38" s="2960" t="s">
        <v>2817</v>
      </c>
      <c r="AQ38" s="2960" t="s">
        <v>2817</v>
      </c>
      <c r="AR38" s="2960" t="s">
        <v>2817</v>
      </c>
    </row>
    <row r="39" spans="1:45">
      <c r="A39" s="2960" t="s">
        <v>3481</v>
      </c>
      <c r="B39" s="2960" t="s">
        <v>3255</v>
      </c>
      <c r="C39" s="2960" t="s">
        <v>3210</v>
      </c>
      <c r="D39" s="2960" t="s">
        <v>3256</v>
      </c>
      <c r="E39" s="2960" t="s">
        <v>2817</v>
      </c>
      <c r="F39" s="2960" t="s">
        <v>3481</v>
      </c>
      <c r="G39" s="2960" t="s">
        <v>3482</v>
      </c>
      <c r="H39" s="2960" t="s">
        <v>3483</v>
      </c>
      <c r="I39" s="2960" t="s">
        <v>3210</v>
      </c>
      <c r="J39" s="2960">
        <v>49586.3</v>
      </c>
      <c r="K39" s="2960">
        <v>148758.9</v>
      </c>
      <c r="L39" s="2960" t="s">
        <v>3484</v>
      </c>
      <c r="M39" s="2960" t="s">
        <v>2817</v>
      </c>
      <c r="N39" s="2960" t="s">
        <v>3371</v>
      </c>
      <c r="O39" s="2960" t="s">
        <v>2817</v>
      </c>
      <c r="P39" s="2960" t="s">
        <v>2817</v>
      </c>
      <c r="Q39" s="2960" t="s">
        <v>2817</v>
      </c>
      <c r="R39" s="2960" t="s">
        <v>2817</v>
      </c>
      <c r="S39" s="2960" t="s">
        <v>2817</v>
      </c>
      <c r="T39" s="2960" t="s">
        <v>2817</v>
      </c>
      <c r="U39" s="2960" t="s">
        <v>2817</v>
      </c>
      <c r="V39" s="2960" t="s">
        <v>2817</v>
      </c>
      <c r="W39" s="2960" t="s">
        <v>3213</v>
      </c>
      <c r="X39" s="2960" t="s">
        <v>3485</v>
      </c>
      <c r="Y39" s="2960" t="s">
        <v>3486</v>
      </c>
      <c r="Z39" s="2960" t="s">
        <v>3487</v>
      </c>
      <c r="AA39" s="2960" t="s">
        <v>3487</v>
      </c>
      <c r="AB39" s="2960" t="s">
        <v>3488</v>
      </c>
      <c r="AC39" s="2960" t="s">
        <v>3209</v>
      </c>
      <c r="AD39" s="2960" t="s">
        <v>3392</v>
      </c>
      <c r="AE39" s="2960">
        <v>1934</v>
      </c>
      <c r="AF39" s="2960">
        <v>9669</v>
      </c>
      <c r="AG39" s="2960">
        <v>9669</v>
      </c>
      <c r="AH39" s="2960">
        <v>130</v>
      </c>
      <c r="AI39" s="2960">
        <v>130</v>
      </c>
      <c r="AJ39" s="2960">
        <v>649.97</v>
      </c>
      <c r="AK39" s="2960">
        <v>649.98</v>
      </c>
      <c r="AL39" s="2960" t="s">
        <v>2817</v>
      </c>
      <c r="AM39" s="2960" t="s">
        <v>2817</v>
      </c>
      <c r="AN39" s="2960">
        <v>0</v>
      </c>
      <c r="AO39" s="2960" t="s">
        <v>3216</v>
      </c>
      <c r="AP39" s="2960" t="s">
        <v>2817</v>
      </c>
      <c r="AQ39" s="2960" t="s">
        <v>2817</v>
      </c>
      <c r="AR39" s="2960" t="s">
        <v>2817</v>
      </c>
    </row>
    <row r="40" spans="1:45">
      <c r="A40" s="2960" t="s">
        <v>3489</v>
      </c>
      <c r="B40" s="2960" t="s">
        <v>3255</v>
      </c>
      <c r="C40" s="2960" t="s">
        <v>3210</v>
      </c>
      <c r="D40" s="2960" t="s">
        <v>3256</v>
      </c>
      <c r="E40" s="2960" t="s">
        <v>2817</v>
      </c>
      <c r="F40" s="2960" t="s">
        <v>3489</v>
      </c>
      <c r="G40" s="2960" t="s">
        <v>3206</v>
      </c>
      <c r="H40" s="2960" t="s">
        <v>3490</v>
      </c>
      <c r="I40" s="2960" t="s">
        <v>3258</v>
      </c>
      <c r="J40" s="2960">
        <v>49347.6</v>
      </c>
      <c r="K40" s="2960">
        <v>140640.70000000001</v>
      </c>
      <c r="L40" s="2960" t="s">
        <v>3491</v>
      </c>
      <c r="M40" s="2960" t="s">
        <v>2817</v>
      </c>
      <c r="N40" s="2960" t="s">
        <v>3492</v>
      </c>
      <c r="O40" s="2960" t="s">
        <v>2817</v>
      </c>
      <c r="P40" s="2960" t="s">
        <v>2817</v>
      </c>
      <c r="Q40" s="2960" t="s">
        <v>2817</v>
      </c>
      <c r="R40" s="2960" t="s">
        <v>2817</v>
      </c>
      <c r="S40" s="2960" t="s">
        <v>2817</v>
      </c>
      <c r="T40" s="2960" t="s">
        <v>2817</v>
      </c>
      <c r="U40" s="2960" t="s">
        <v>2817</v>
      </c>
      <c r="V40" s="2960" t="s">
        <v>2817</v>
      </c>
      <c r="W40" s="2960" t="s">
        <v>3213</v>
      </c>
      <c r="X40" s="2960" t="s">
        <v>3493</v>
      </c>
      <c r="Y40" s="2960" t="s">
        <v>3494</v>
      </c>
      <c r="Z40" s="2960" t="s">
        <v>3495</v>
      </c>
      <c r="AA40" s="2960" t="s">
        <v>3495</v>
      </c>
      <c r="AB40" s="2960" t="s">
        <v>3496</v>
      </c>
      <c r="AC40" s="2960" t="s">
        <v>3209</v>
      </c>
      <c r="AD40" s="2960" t="s">
        <v>3497</v>
      </c>
      <c r="AE40" s="2960">
        <v>7653</v>
      </c>
      <c r="AF40" s="2960">
        <v>14906</v>
      </c>
      <c r="AG40" s="2960">
        <v>14906</v>
      </c>
      <c r="AH40" s="2960">
        <v>201.37</v>
      </c>
      <c r="AI40" s="2960">
        <v>201.37</v>
      </c>
      <c r="AJ40" s="2960">
        <v>1059.8599999999999</v>
      </c>
      <c r="AK40" s="2960">
        <v>1059.8499999999999</v>
      </c>
      <c r="AL40" s="2960" t="s">
        <v>2817</v>
      </c>
      <c r="AM40" s="2960" t="s">
        <v>2817</v>
      </c>
      <c r="AN40" s="2960">
        <v>0</v>
      </c>
      <c r="AO40" s="2960" t="s">
        <v>3216</v>
      </c>
      <c r="AP40" s="2960" t="s">
        <v>2817</v>
      </c>
      <c r="AQ40" s="2960" t="s">
        <v>2817</v>
      </c>
      <c r="AR40" s="2960" t="s">
        <v>2817</v>
      </c>
    </row>
    <row r="41" spans="1:45">
      <c r="A41" s="2960" t="s">
        <v>3498</v>
      </c>
      <c r="B41" s="2960" t="s">
        <v>3255</v>
      </c>
      <c r="C41" s="2960" t="s">
        <v>3210</v>
      </c>
      <c r="D41" s="2960" t="s">
        <v>3256</v>
      </c>
      <c r="E41" s="2960" t="s">
        <v>2817</v>
      </c>
      <c r="F41" s="2960" t="s">
        <v>3498</v>
      </c>
      <c r="G41" s="2960" t="s">
        <v>3206</v>
      </c>
      <c r="H41" s="2960" t="s">
        <v>3499</v>
      </c>
      <c r="I41" s="2960" t="s">
        <v>3258</v>
      </c>
      <c r="J41" s="2960">
        <v>6436.2</v>
      </c>
      <c r="K41" s="2960">
        <v>38874.65</v>
      </c>
      <c r="L41" s="2960" t="s">
        <v>3500</v>
      </c>
      <c r="M41" s="2960" t="s">
        <v>2817</v>
      </c>
      <c r="N41" s="2960" t="s">
        <v>3501</v>
      </c>
      <c r="O41" s="2960" t="s">
        <v>2817</v>
      </c>
      <c r="P41" s="2960" t="s">
        <v>2817</v>
      </c>
      <c r="Q41" s="2960" t="s">
        <v>2817</v>
      </c>
      <c r="R41" s="2960" t="s">
        <v>2817</v>
      </c>
      <c r="S41" s="2960" t="s">
        <v>2817</v>
      </c>
      <c r="T41" s="2960" t="s">
        <v>2817</v>
      </c>
      <c r="U41" s="2960" t="s">
        <v>2817</v>
      </c>
      <c r="V41" s="2960" t="s">
        <v>2817</v>
      </c>
      <c r="W41" s="2960" t="s">
        <v>3213</v>
      </c>
      <c r="X41" s="2960" t="s">
        <v>3502</v>
      </c>
      <c r="Y41" s="2960" t="s">
        <v>3503</v>
      </c>
      <c r="Z41" s="2960" t="s">
        <v>3504</v>
      </c>
      <c r="AA41" s="2960" t="s">
        <v>3504</v>
      </c>
      <c r="AB41" s="2960" t="s">
        <v>3505</v>
      </c>
      <c r="AC41" s="2960" t="s">
        <v>3209</v>
      </c>
      <c r="AD41" s="2960" t="s">
        <v>3506</v>
      </c>
      <c r="AE41" s="2960">
        <v>1642</v>
      </c>
      <c r="AF41" s="2960">
        <v>3283</v>
      </c>
      <c r="AG41" s="2960">
        <v>3283</v>
      </c>
      <c r="AH41" s="2960">
        <v>340.06</v>
      </c>
      <c r="AI41" s="2960">
        <v>340.06</v>
      </c>
      <c r="AJ41" s="2960">
        <v>844.5</v>
      </c>
      <c r="AK41" s="2960">
        <v>844.5</v>
      </c>
      <c r="AL41" s="2960" t="s">
        <v>2817</v>
      </c>
      <c r="AM41" s="2960" t="s">
        <v>2817</v>
      </c>
      <c r="AN41" s="2960">
        <v>0</v>
      </c>
      <c r="AO41" s="2960" t="s">
        <v>3216</v>
      </c>
      <c r="AP41" s="2960" t="s">
        <v>2817</v>
      </c>
      <c r="AQ41" s="2960" t="s">
        <v>2817</v>
      </c>
      <c r="AR41" s="2960" t="s">
        <v>2817</v>
      </c>
    </row>
    <row r="42" spans="1:45">
      <c r="A42" s="2960" t="s">
        <v>3507</v>
      </c>
      <c r="B42" s="2960" t="s">
        <v>3255</v>
      </c>
      <c r="C42" s="2960" t="s">
        <v>3210</v>
      </c>
      <c r="D42" s="2960" t="s">
        <v>3256</v>
      </c>
      <c r="E42" s="2960" t="s">
        <v>2817</v>
      </c>
      <c r="F42" s="2960" t="s">
        <v>3507</v>
      </c>
      <c r="G42" s="2960" t="s">
        <v>3206</v>
      </c>
      <c r="H42" s="2960" t="s">
        <v>3508</v>
      </c>
      <c r="I42" s="2960" t="s">
        <v>3258</v>
      </c>
      <c r="J42" s="2960">
        <v>13297.1</v>
      </c>
      <c r="K42" s="2960">
        <v>44944.2</v>
      </c>
      <c r="L42" s="2960" t="s">
        <v>3509</v>
      </c>
      <c r="M42" s="2960" t="s">
        <v>2817</v>
      </c>
      <c r="N42" s="2960" t="s">
        <v>3457</v>
      </c>
      <c r="O42" s="2960" t="s">
        <v>2817</v>
      </c>
      <c r="P42" s="2960" t="s">
        <v>2817</v>
      </c>
      <c r="Q42" s="2960" t="s">
        <v>2817</v>
      </c>
      <c r="R42" s="2960" t="s">
        <v>2817</v>
      </c>
      <c r="S42" s="2960" t="s">
        <v>2817</v>
      </c>
      <c r="T42" s="2960" t="s">
        <v>2817</v>
      </c>
      <c r="U42" s="2960" t="s">
        <v>2817</v>
      </c>
      <c r="V42" s="2960" t="s">
        <v>2817</v>
      </c>
      <c r="W42" s="2960" t="s">
        <v>3213</v>
      </c>
      <c r="X42" s="2960" t="s">
        <v>3510</v>
      </c>
      <c r="Y42" s="2960" t="s">
        <v>3511</v>
      </c>
      <c r="Z42" s="2960" t="s">
        <v>3512</v>
      </c>
      <c r="AA42" s="2960" t="s">
        <v>3512</v>
      </c>
      <c r="AB42" s="2960" t="s">
        <v>3513</v>
      </c>
      <c r="AC42" s="2960" t="s">
        <v>3209</v>
      </c>
      <c r="AD42" s="2960" t="s">
        <v>3514</v>
      </c>
      <c r="AE42" s="2960">
        <v>3277</v>
      </c>
      <c r="AF42" s="2960">
        <v>4096</v>
      </c>
      <c r="AG42" s="2960">
        <v>4096</v>
      </c>
      <c r="AH42" s="2960">
        <v>205.36</v>
      </c>
      <c r="AI42" s="2960">
        <v>205.36</v>
      </c>
      <c r="AJ42" s="2960">
        <v>911.35</v>
      </c>
      <c r="AK42" s="2960">
        <v>911.35</v>
      </c>
      <c r="AL42" s="2960" t="s">
        <v>2817</v>
      </c>
      <c r="AM42" s="2960" t="s">
        <v>2817</v>
      </c>
      <c r="AN42" s="2960">
        <v>0</v>
      </c>
      <c r="AO42" s="2960" t="s">
        <v>3216</v>
      </c>
      <c r="AP42" s="2960" t="s">
        <v>2817</v>
      </c>
      <c r="AQ42" s="2960" t="s">
        <v>2817</v>
      </c>
      <c r="AR42" s="2960" t="s">
        <v>2817</v>
      </c>
    </row>
    <row r="43" spans="1:45">
      <c r="A43" s="2960" t="s">
        <v>3515</v>
      </c>
      <c r="B43" s="2960" t="s">
        <v>3255</v>
      </c>
      <c r="C43" s="2960" t="s">
        <v>3210</v>
      </c>
      <c r="D43" s="2960" t="s">
        <v>3256</v>
      </c>
      <c r="E43" s="2960" t="s">
        <v>2817</v>
      </c>
      <c r="F43" s="2960" t="s">
        <v>3515</v>
      </c>
      <c r="G43" s="2960" t="s">
        <v>3206</v>
      </c>
      <c r="H43" s="2960" t="s">
        <v>3516</v>
      </c>
      <c r="I43" s="2960" t="s">
        <v>3258</v>
      </c>
      <c r="J43" s="2960">
        <v>4494.8</v>
      </c>
      <c r="K43" s="2960">
        <v>23058.32</v>
      </c>
      <c r="L43" s="2960" t="s">
        <v>3517</v>
      </c>
      <c r="M43" s="2960" t="s">
        <v>2817</v>
      </c>
      <c r="N43" s="2960" t="s">
        <v>3518</v>
      </c>
      <c r="O43" s="2960" t="s">
        <v>2817</v>
      </c>
      <c r="P43" s="2960" t="s">
        <v>2817</v>
      </c>
      <c r="Q43" s="2960" t="s">
        <v>2817</v>
      </c>
      <c r="R43" s="2960" t="s">
        <v>2817</v>
      </c>
      <c r="S43" s="2960" t="s">
        <v>2817</v>
      </c>
      <c r="T43" s="2960" t="s">
        <v>2817</v>
      </c>
      <c r="U43" s="2960" t="s">
        <v>2817</v>
      </c>
      <c r="V43" s="2960" t="s">
        <v>2817</v>
      </c>
      <c r="W43" s="2960" t="s">
        <v>3213</v>
      </c>
      <c r="X43" s="2960" t="s">
        <v>3510</v>
      </c>
      <c r="Y43" s="2960" t="s">
        <v>3511</v>
      </c>
      <c r="Z43" s="2960" t="s">
        <v>3512</v>
      </c>
      <c r="AA43" s="2960" t="s">
        <v>3512</v>
      </c>
      <c r="AB43" s="2960" t="s">
        <v>3519</v>
      </c>
      <c r="AC43" s="2960" t="s">
        <v>3209</v>
      </c>
      <c r="AD43" s="2960" t="s">
        <v>3520</v>
      </c>
      <c r="AE43" s="2960">
        <v>373</v>
      </c>
      <c r="AF43" s="2960">
        <v>1865</v>
      </c>
      <c r="AG43" s="2960">
        <v>1865</v>
      </c>
      <c r="AH43" s="2960">
        <v>276.62</v>
      </c>
      <c r="AI43" s="2960">
        <v>276.62</v>
      </c>
      <c r="AJ43" s="2960">
        <v>808.81</v>
      </c>
      <c r="AK43" s="2960">
        <v>808.82</v>
      </c>
      <c r="AL43" s="2960" t="s">
        <v>2817</v>
      </c>
      <c r="AM43" s="2960" t="s">
        <v>2817</v>
      </c>
      <c r="AN43" s="2960">
        <v>0</v>
      </c>
      <c r="AO43" s="2960" t="s">
        <v>3216</v>
      </c>
      <c r="AP43" s="2960" t="s">
        <v>2817</v>
      </c>
      <c r="AQ43" s="2960" t="s">
        <v>2817</v>
      </c>
      <c r="AR43" s="2960" t="s">
        <v>2817</v>
      </c>
    </row>
    <row r="44" spans="1:45">
      <c r="A44" s="2960" t="s">
        <v>3521</v>
      </c>
      <c r="B44" s="2960" t="s">
        <v>3255</v>
      </c>
      <c r="C44" s="2960" t="s">
        <v>3210</v>
      </c>
      <c r="D44" s="2960" t="s">
        <v>3256</v>
      </c>
      <c r="E44" s="2960" t="s">
        <v>2817</v>
      </c>
      <c r="F44" s="2960" t="s">
        <v>3521</v>
      </c>
      <c r="G44" s="2960" t="s">
        <v>3206</v>
      </c>
      <c r="H44" s="2960" t="s">
        <v>3522</v>
      </c>
      <c r="I44" s="2960" t="s">
        <v>3258</v>
      </c>
      <c r="J44" s="2960">
        <v>6367.1</v>
      </c>
      <c r="K44" s="2960">
        <v>28651.95</v>
      </c>
      <c r="L44" s="2960" t="s">
        <v>3523</v>
      </c>
      <c r="M44" s="2960" t="s">
        <v>2817</v>
      </c>
      <c r="N44" s="2960" t="s">
        <v>3524</v>
      </c>
      <c r="O44" s="2960" t="s">
        <v>2817</v>
      </c>
      <c r="P44" s="2960" t="s">
        <v>2817</v>
      </c>
      <c r="Q44" s="2960" t="s">
        <v>2817</v>
      </c>
      <c r="R44" s="2960" t="s">
        <v>2817</v>
      </c>
      <c r="S44" s="2960" t="s">
        <v>2817</v>
      </c>
      <c r="T44" s="2960" t="s">
        <v>2817</v>
      </c>
      <c r="U44" s="2960" t="s">
        <v>2817</v>
      </c>
      <c r="V44" s="2960" t="s">
        <v>2817</v>
      </c>
      <c r="W44" s="2960" t="s">
        <v>3214</v>
      </c>
      <c r="X44" s="2960" t="s">
        <v>3525</v>
      </c>
      <c r="Y44" s="2960" t="s">
        <v>3526</v>
      </c>
      <c r="Z44" s="2960" t="s">
        <v>3527</v>
      </c>
      <c r="AA44" s="2960" t="s">
        <v>3527</v>
      </c>
      <c r="AB44" s="2960" t="s">
        <v>3528</v>
      </c>
      <c r="AC44" s="2960" t="s">
        <v>3209</v>
      </c>
      <c r="AD44" s="2960" t="s">
        <v>3529</v>
      </c>
      <c r="AE44" s="2960">
        <v>860</v>
      </c>
      <c r="AF44" s="2960">
        <v>2865</v>
      </c>
      <c r="AG44" s="2960">
        <v>2865</v>
      </c>
      <c r="AH44" s="2960">
        <v>299.98</v>
      </c>
      <c r="AI44" s="2960">
        <v>299.98</v>
      </c>
      <c r="AJ44" s="2960">
        <v>999.93</v>
      </c>
      <c r="AK44" s="2960">
        <v>999.92</v>
      </c>
      <c r="AL44" s="2960" t="s">
        <v>2817</v>
      </c>
      <c r="AM44" s="2960" t="s">
        <v>2817</v>
      </c>
      <c r="AN44" s="2960">
        <v>0</v>
      </c>
      <c r="AO44" s="2960" t="s">
        <v>3216</v>
      </c>
      <c r="AP44" s="2960" t="s">
        <v>2817</v>
      </c>
      <c r="AQ44" s="2960" t="s">
        <v>2817</v>
      </c>
      <c r="AR44" s="2960" t="s">
        <v>2817</v>
      </c>
    </row>
    <row r="45" spans="1:45">
      <c r="A45" s="2960" t="s">
        <v>3530</v>
      </c>
      <c r="B45" s="2960" t="s">
        <v>3255</v>
      </c>
      <c r="C45" s="2960" t="s">
        <v>3210</v>
      </c>
      <c r="D45" s="2960" t="s">
        <v>3256</v>
      </c>
      <c r="E45" s="2960" t="s">
        <v>2817</v>
      </c>
      <c r="F45" s="2960" t="s">
        <v>3530</v>
      </c>
      <c r="G45" s="2960" t="s">
        <v>3206</v>
      </c>
      <c r="H45" s="2960" t="s">
        <v>3531</v>
      </c>
      <c r="I45" s="2960" t="s">
        <v>3258</v>
      </c>
      <c r="J45" s="2960">
        <v>17783.8</v>
      </c>
      <c r="K45" s="2960">
        <v>104035.2</v>
      </c>
      <c r="L45" s="2960" t="s">
        <v>3532</v>
      </c>
      <c r="M45" s="2960" t="s">
        <v>2817</v>
      </c>
      <c r="N45" s="2960" t="s">
        <v>2817</v>
      </c>
      <c r="O45" s="2960" t="s">
        <v>2817</v>
      </c>
      <c r="P45" s="2960" t="s">
        <v>2817</v>
      </c>
      <c r="Q45" s="2960" t="s">
        <v>2817</v>
      </c>
      <c r="R45" s="2960" t="s">
        <v>2817</v>
      </c>
      <c r="S45" s="2960" t="s">
        <v>2817</v>
      </c>
      <c r="T45" s="2960" t="s">
        <v>2817</v>
      </c>
      <c r="U45" s="2960" t="s">
        <v>2817</v>
      </c>
      <c r="V45" s="2960" t="s">
        <v>2817</v>
      </c>
      <c r="W45" s="2960" t="s">
        <v>3214</v>
      </c>
      <c r="X45" s="2960" t="s">
        <v>3533</v>
      </c>
      <c r="Y45" s="2960" t="s">
        <v>3534</v>
      </c>
      <c r="Z45" s="2960" t="s">
        <v>3526</v>
      </c>
      <c r="AA45" s="2960" t="s">
        <v>3526</v>
      </c>
      <c r="AB45" s="2960" t="s">
        <v>3535</v>
      </c>
      <c r="AC45" s="2960" t="s">
        <v>3209</v>
      </c>
      <c r="AD45" s="2960" t="s">
        <v>3536</v>
      </c>
      <c r="AE45" s="2960">
        <v>2190</v>
      </c>
      <c r="AF45" s="2960">
        <v>3649</v>
      </c>
      <c r="AG45" s="2960">
        <v>3649</v>
      </c>
      <c r="AH45" s="2960">
        <v>136.79</v>
      </c>
      <c r="AI45" s="2960">
        <v>136.79</v>
      </c>
      <c r="AJ45" s="2960">
        <v>350.74</v>
      </c>
      <c r="AK45" s="2960">
        <v>350.75</v>
      </c>
      <c r="AL45" s="2960" t="s">
        <v>2817</v>
      </c>
      <c r="AM45" s="2960" t="s">
        <v>2817</v>
      </c>
      <c r="AN45" s="2960">
        <v>0</v>
      </c>
      <c r="AO45" s="2960" t="s">
        <v>3216</v>
      </c>
      <c r="AP45" s="2960" t="s">
        <v>2817</v>
      </c>
      <c r="AQ45" s="2960" t="s">
        <v>2817</v>
      </c>
      <c r="AR45" s="2960" t="s">
        <v>2817</v>
      </c>
    </row>
    <row r="46" spans="1:45">
      <c r="A46" s="2960" t="s">
        <v>3530</v>
      </c>
      <c r="B46" s="2960" t="s">
        <v>3255</v>
      </c>
      <c r="C46" s="2960" t="s">
        <v>3210</v>
      </c>
      <c r="D46" s="2960" t="s">
        <v>3256</v>
      </c>
      <c r="E46" s="2960" t="s">
        <v>2817</v>
      </c>
      <c r="F46" s="2960" t="s">
        <v>3530</v>
      </c>
      <c r="G46" s="2960" t="s">
        <v>3206</v>
      </c>
      <c r="H46" s="2960" t="s">
        <v>3537</v>
      </c>
      <c r="I46" s="2960" t="s">
        <v>3258</v>
      </c>
      <c r="J46" s="2960">
        <v>6119.2</v>
      </c>
      <c r="K46" s="2960">
        <v>11504.1</v>
      </c>
      <c r="L46" s="2960" t="s">
        <v>3538</v>
      </c>
      <c r="M46" s="2960" t="s">
        <v>2817</v>
      </c>
      <c r="N46" s="2960" t="s">
        <v>2817</v>
      </c>
      <c r="O46" s="2960" t="s">
        <v>2817</v>
      </c>
      <c r="P46" s="2960" t="s">
        <v>2817</v>
      </c>
      <c r="Q46" s="2960" t="s">
        <v>2817</v>
      </c>
      <c r="R46" s="2960" t="s">
        <v>2817</v>
      </c>
      <c r="S46" s="2960" t="s">
        <v>2817</v>
      </c>
      <c r="T46" s="2960" t="s">
        <v>2817</v>
      </c>
      <c r="U46" s="2960" t="s">
        <v>2817</v>
      </c>
      <c r="V46" s="2960" t="s">
        <v>2817</v>
      </c>
      <c r="W46" s="2960" t="s">
        <v>3214</v>
      </c>
      <c r="X46" s="2960" t="s">
        <v>3533</v>
      </c>
      <c r="Y46" s="2960" t="s">
        <v>3534</v>
      </c>
      <c r="Z46" s="2960" t="s">
        <v>3526</v>
      </c>
      <c r="AA46" s="2960" t="s">
        <v>3526</v>
      </c>
      <c r="AB46" s="2960" t="s">
        <v>3539</v>
      </c>
      <c r="AC46" s="2960" t="s">
        <v>3209</v>
      </c>
      <c r="AD46" s="2960" t="s">
        <v>3536</v>
      </c>
      <c r="AE46" s="2960">
        <v>512</v>
      </c>
      <c r="AF46" s="2960">
        <v>853</v>
      </c>
      <c r="AG46" s="2960">
        <v>853</v>
      </c>
      <c r="AH46" s="2960">
        <v>92.93</v>
      </c>
      <c r="AI46" s="2960">
        <v>92.93</v>
      </c>
      <c r="AJ46" s="2960">
        <v>741.47</v>
      </c>
      <c r="AK46" s="2960">
        <v>741.47</v>
      </c>
      <c r="AL46" s="2960" t="s">
        <v>2817</v>
      </c>
      <c r="AM46" s="2960" t="s">
        <v>2817</v>
      </c>
      <c r="AN46" s="2960">
        <v>0</v>
      </c>
      <c r="AO46" s="2960" t="s">
        <v>3216</v>
      </c>
      <c r="AP46" s="2960" t="s">
        <v>2817</v>
      </c>
      <c r="AQ46" s="2960" t="s">
        <v>2817</v>
      </c>
      <c r="AR46" s="2960" t="s">
        <v>2817</v>
      </c>
    </row>
    <row r="47" spans="1:45">
      <c r="A47" s="2960" t="s">
        <v>3540</v>
      </c>
      <c r="B47" s="2960" t="s">
        <v>3255</v>
      </c>
      <c r="C47" s="2960" t="s">
        <v>3210</v>
      </c>
      <c r="D47" s="2960" t="s">
        <v>3256</v>
      </c>
      <c r="E47" s="2960" t="s">
        <v>2817</v>
      </c>
      <c r="F47" s="2960" t="s">
        <v>3540</v>
      </c>
      <c r="G47" s="2960" t="s">
        <v>3206</v>
      </c>
      <c r="H47" s="2960" t="s">
        <v>3541</v>
      </c>
      <c r="I47" s="2960" t="s">
        <v>3258</v>
      </c>
      <c r="J47" s="2960">
        <v>403</v>
      </c>
      <c r="K47" s="2960">
        <v>926.9</v>
      </c>
      <c r="L47" s="2960" t="s">
        <v>3542</v>
      </c>
      <c r="M47" s="2960" t="s">
        <v>2817</v>
      </c>
      <c r="N47" s="2960" t="s">
        <v>3543</v>
      </c>
      <c r="O47" s="2960" t="s">
        <v>2817</v>
      </c>
      <c r="P47" s="2960" t="s">
        <v>2817</v>
      </c>
      <c r="Q47" s="2960" t="s">
        <v>2817</v>
      </c>
      <c r="R47" s="2960" t="s">
        <v>2817</v>
      </c>
      <c r="S47" s="2960" t="s">
        <v>2817</v>
      </c>
      <c r="T47" s="2960" t="s">
        <v>2817</v>
      </c>
      <c r="U47" s="2960" t="s">
        <v>2817</v>
      </c>
      <c r="V47" s="2960" t="s">
        <v>2817</v>
      </c>
      <c r="W47" s="2960" t="s">
        <v>3214</v>
      </c>
      <c r="X47" s="2960" t="s">
        <v>3544</v>
      </c>
      <c r="Y47" s="2960" t="s">
        <v>3545</v>
      </c>
      <c r="Z47" s="2960" t="s">
        <v>3546</v>
      </c>
      <c r="AA47" s="2960" t="s">
        <v>3546</v>
      </c>
      <c r="AB47" s="2960" t="s">
        <v>3547</v>
      </c>
      <c r="AC47" s="2960" t="s">
        <v>3209</v>
      </c>
      <c r="AD47" s="2960" t="s">
        <v>3548</v>
      </c>
      <c r="AE47" s="2960">
        <v>65</v>
      </c>
      <c r="AF47" s="2960">
        <v>79</v>
      </c>
      <c r="AG47" s="2960">
        <v>79</v>
      </c>
      <c r="AH47" s="2960">
        <v>130.69</v>
      </c>
      <c r="AI47" s="2960">
        <v>130.69</v>
      </c>
      <c r="AJ47" s="2960">
        <v>852.3</v>
      </c>
      <c r="AK47" s="2960">
        <v>852.29</v>
      </c>
      <c r="AL47" s="2960" t="s">
        <v>2817</v>
      </c>
      <c r="AM47" s="2960" t="s">
        <v>2817</v>
      </c>
      <c r="AN47" s="2960">
        <v>0</v>
      </c>
      <c r="AO47" s="2960" t="s">
        <v>3216</v>
      </c>
      <c r="AP47" s="2960" t="s">
        <v>2817</v>
      </c>
      <c r="AQ47" s="2960" t="s">
        <v>2817</v>
      </c>
      <c r="AR47" s="2960" t="s">
        <v>2817</v>
      </c>
    </row>
    <row r="48" spans="1:45">
      <c r="A48" s="2960" t="s">
        <v>3549</v>
      </c>
      <c r="B48" s="2960" t="s">
        <v>3255</v>
      </c>
      <c r="C48" s="2960" t="s">
        <v>3210</v>
      </c>
      <c r="D48" s="2960" t="s">
        <v>3256</v>
      </c>
      <c r="E48" s="2960" t="s">
        <v>2817</v>
      </c>
      <c r="F48" s="2960" t="s">
        <v>3549</v>
      </c>
      <c r="G48" s="2960" t="s">
        <v>3206</v>
      </c>
      <c r="H48" s="2960" t="s">
        <v>3550</v>
      </c>
      <c r="I48" s="2960" t="s">
        <v>3258</v>
      </c>
      <c r="J48" s="2960">
        <v>3051.7</v>
      </c>
      <c r="K48" s="2960">
        <v>11810.08</v>
      </c>
      <c r="L48" s="2960" t="s">
        <v>3551</v>
      </c>
      <c r="M48" s="2960" t="s">
        <v>2817</v>
      </c>
      <c r="N48" s="2960" t="s">
        <v>3552</v>
      </c>
      <c r="O48" s="2960" t="s">
        <v>2817</v>
      </c>
      <c r="P48" s="2960" t="s">
        <v>2817</v>
      </c>
      <c r="Q48" s="2960" t="s">
        <v>2817</v>
      </c>
      <c r="R48" s="2960" t="s">
        <v>2817</v>
      </c>
      <c r="S48" s="2960" t="s">
        <v>2817</v>
      </c>
      <c r="T48" s="2960" t="s">
        <v>2817</v>
      </c>
      <c r="U48" s="2960" t="s">
        <v>2817</v>
      </c>
      <c r="V48" s="2960" t="s">
        <v>2817</v>
      </c>
      <c r="W48" s="2960" t="s">
        <v>3214</v>
      </c>
      <c r="X48" s="2960" t="s">
        <v>3553</v>
      </c>
      <c r="Y48" s="2960" t="s">
        <v>3554</v>
      </c>
      <c r="Z48" s="2960" t="s">
        <v>3555</v>
      </c>
      <c r="AA48" s="2960" t="s">
        <v>3555</v>
      </c>
      <c r="AB48" s="2960" t="s">
        <v>3556</v>
      </c>
      <c r="AC48" s="2960" t="s">
        <v>3209</v>
      </c>
      <c r="AD48" s="2960" t="s">
        <v>3557</v>
      </c>
      <c r="AE48" s="2960">
        <v>387</v>
      </c>
      <c r="AF48" s="2960">
        <v>484</v>
      </c>
      <c r="AG48" s="2960">
        <v>484</v>
      </c>
      <c r="AH48" s="2960">
        <v>105.73</v>
      </c>
      <c r="AI48" s="2960">
        <v>105.73</v>
      </c>
      <c r="AJ48" s="2960">
        <v>409.81</v>
      </c>
      <c r="AK48" s="2960">
        <v>409.81</v>
      </c>
      <c r="AL48" s="2960" t="s">
        <v>2817</v>
      </c>
      <c r="AM48" s="2960" t="s">
        <v>2817</v>
      </c>
      <c r="AN48" s="2960">
        <v>0</v>
      </c>
      <c r="AO48" s="2960" t="s">
        <v>3216</v>
      </c>
      <c r="AP48" s="2960" t="s">
        <v>2817</v>
      </c>
      <c r="AQ48" s="2960" t="s">
        <v>2817</v>
      </c>
      <c r="AR48" s="2960" t="s">
        <v>2817</v>
      </c>
    </row>
    <row r="49" spans="1:44">
      <c r="A49" s="2960" t="s">
        <v>3558</v>
      </c>
      <c r="B49" s="2960" t="s">
        <v>3255</v>
      </c>
      <c r="C49" s="2960" t="s">
        <v>3210</v>
      </c>
      <c r="D49" s="2960" t="s">
        <v>3256</v>
      </c>
      <c r="E49" s="2960" t="s">
        <v>2817</v>
      </c>
      <c r="F49" s="2960" t="s">
        <v>3558</v>
      </c>
      <c r="G49" s="2960" t="s">
        <v>3274</v>
      </c>
      <c r="H49" s="2960" t="s">
        <v>3559</v>
      </c>
      <c r="I49" s="2960" t="s">
        <v>3258</v>
      </c>
      <c r="J49" s="2960">
        <v>7177.2</v>
      </c>
      <c r="K49" s="2960">
        <v>19952.62</v>
      </c>
      <c r="L49" s="2960" t="s">
        <v>3560</v>
      </c>
      <c r="M49" s="2960" t="s">
        <v>2817</v>
      </c>
      <c r="N49" s="2960" t="s">
        <v>3561</v>
      </c>
      <c r="O49" s="2960" t="s">
        <v>2817</v>
      </c>
      <c r="P49" s="2960" t="s">
        <v>2817</v>
      </c>
      <c r="Q49" s="2960" t="s">
        <v>2817</v>
      </c>
      <c r="R49" s="2960" t="s">
        <v>2817</v>
      </c>
      <c r="S49" s="2960" t="s">
        <v>2817</v>
      </c>
      <c r="T49" s="2960" t="s">
        <v>2817</v>
      </c>
      <c r="U49" s="2960" t="s">
        <v>2817</v>
      </c>
      <c r="V49" s="2960" t="s">
        <v>2817</v>
      </c>
      <c r="W49" s="2960" t="s">
        <v>3214</v>
      </c>
      <c r="X49" s="2960" t="s">
        <v>3562</v>
      </c>
      <c r="Y49" s="2960" t="s">
        <v>3563</v>
      </c>
      <c r="Z49" s="2960" t="s">
        <v>3563</v>
      </c>
      <c r="AA49" s="2960" t="s">
        <v>3563</v>
      </c>
      <c r="AB49" s="2960" t="s">
        <v>3564</v>
      </c>
      <c r="AC49" s="2960" t="s">
        <v>3209</v>
      </c>
      <c r="AD49" s="2960" t="s">
        <v>3565</v>
      </c>
      <c r="AE49" s="2960">
        <v>694</v>
      </c>
      <c r="AF49" s="2960">
        <v>867</v>
      </c>
      <c r="AG49" s="2960">
        <v>872</v>
      </c>
      <c r="AH49" s="2960">
        <v>80.53</v>
      </c>
      <c r="AI49" s="2960">
        <v>81</v>
      </c>
      <c r="AJ49" s="2960">
        <v>434.52</v>
      </c>
      <c r="AK49" s="2960">
        <v>437.04</v>
      </c>
      <c r="AL49" s="2960" t="s">
        <v>2817</v>
      </c>
      <c r="AM49" s="2960" t="s">
        <v>2817</v>
      </c>
      <c r="AN49" s="2960">
        <v>0.57999999999999996</v>
      </c>
      <c r="AO49" s="2960" t="s">
        <v>3216</v>
      </c>
      <c r="AP49" s="2960" t="s">
        <v>2817</v>
      </c>
      <c r="AQ49" s="2960" t="s">
        <v>2817</v>
      </c>
      <c r="AR49" s="2960" t="s">
        <v>2817</v>
      </c>
    </row>
    <row r="50" spans="1:44">
      <c r="A50" s="2960" t="s">
        <v>3566</v>
      </c>
      <c r="B50" s="2960" t="s">
        <v>3255</v>
      </c>
      <c r="C50" s="2960" t="s">
        <v>3210</v>
      </c>
      <c r="D50" s="2960" t="s">
        <v>3256</v>
      </c>
      <c r="E50" s="2960" t="s">
        <v>2817</v>
      </c>
      <c r="F50" s="2960" t="s">
        <v>3566</v>
      </c>
      <c r="G50" s="2960" t="s">
        <v>3206</v>
      </c>
      <c r="H50" s="2960" t="s">
        <v>3567</v>
      </c>
      <c r="I50" s="2960" t="s">
        <v>3258</v>
      </c>
      <c r="J50" s="2960">
        <v>2093</v>
      </c>
      <c r="K50" s="2960">
        <v>7534.8</v>
      </c>
      <c r="L50" s="2960" t="s">
        <v>3568</v>
      </c>
      <c r="M50" s="2960" t="s">
        <v>2817</v>
      </c>
      <c r="N50" s="2960" t="s">
        <v>3569</v>
      </c>
      <c r="O50" s="2960" t="s">
        <v>2817</v>
      </c>
      <c r="P50" s="2960" t="s">
        <v>2817</v>
      </c>
      <c r="Q50" s="2960" t="s">
        <v>2817</v>
      </c>
      <c r="R50" s="2960" t="s">
        <v>2817</v>
      </c>
      <c r="S50" s="2960" t="s">
        <v>2817</v>
      </c>
      <c r="T50" s="2960" t="s">
        <v>2817</v>
      </c>
      <c r="U50" s="2960" t="s">
        <v>2817</v>
      </c>
      <c r="V50" s="2960" t="s">
        <v>2817</v>
      </c>
      <c r="W50" s="2960" t="s">
        <v>3214</v>
      </c>
      <c r="X50" s="2960" t="s">
        <v>3570</v>
      </c>
      <c r="Y50" s="2960" t="s">
        <v>3571</v>
      </c>
      <c r="Z50" s="2960" t="s">
        <v>3572</v>
      </c>
      <c r="AA50" s="2960" t="s">
        <v>3572</v>
      </c>
      <c r="AB50" s="2960" t="s">
        <v>3573</v>
      </c>
      <c r="AC50" s="2960" t="s">
        <v>3209</v>
      </c>
      <c r="AD50" s="2960" t="s">
        <v>3574</v>
      </c>
      <c r="AE50" s="2960">
        <v>326</v>
      </c>
      <c r="AF50" s="2960">
        <v>407</v>
      </c>
      <c r="AG50" s="2960">
        <v>417</v>
      </c>
      <c r="AH50" s="2960">
        <v>129.63999999999999</v>
      </c>
      <c r="AI50" s="2960">
        <v>132.82</v>
      </c>
      <c r="AJ50" s="2960">
        <v>540.16</v>
      </c>
      <c r="AK50" s="2960">
        <v>553.41999999999996</v>
      </c>
      <c r="AL50" s="2960" t="s">
        <v>2817</v>
      </c>
      <c r="AM50" s="2960" t="s">
        <v>2817</v>
      </c>
      <c r="AN50" s="2960">
        <v>2.46</v>
      </c>
      <c r="AO50" s="2960" t="s">
        <v>3216</v>
      </c>
      <c r="AP50" s="2960" t="s">
        <v>2817</v>
      </c>
      <c r="AQ50" s="2960" t="s">
        <v>2817</v>
      </c>
      <c r="AR50" s="2960" t="s">
        <v>2817</v>
      </c>
    </row>
    <row r="51" spans="1:44">
      <c r="A51" s="2960" t="s">
        <v>3575</v>
      </c>
      <c r="B51" s="2960" t="s">
        <v>3255</v>
      </c>
      <c r="C51" s="2960" t="s">
        <v>3210</v>
      </c>
      <c r="D51" s="2960" t="s">
        <v>3256</v>
      </c>
      <c r="E51" s="2960" t="s">
        <v>2817</v>
      </c>
      <c r="F51" s="2960" t="s">
        <v>3575</v>
      </c>
      <c r="G51" s="2960" t="s">
        <v>3206</v>
      </c>
      <c r="H51" s="2960" t="s">
        <v>3576</v>
      </c>
      <c r="I51" s="2960" t="s">
        <v>3258</v>
      </c>
      <c r="J51" s="2960">
        <v>885.3</v>
      </c>
      <c r="K51" s="2960">
        <v>894.15</v>
      </c>
      <c r="L51" s="2960" t="s">
        <v>3577</v>
      </c>
      <c r="M51" s="2960" t="s">
        <v>2817</v>
      </c>
      <c r="N51" s="2960" t="s">
        <v>2817</v>
      </c>
      <c r="O51" s="2960" t="s">
        <v>2817</v>
      </c>
      <c r="P51" s="2960" t="s">
        <v>2817</v>
      </c>
      <c r="Q51" s="2960" t="s">
        <v>2817</v>
      </c>
      <c r="R51" s="2960" t="s">
        <v>2817</v>
      </c>
      <c r="S51" s="2960" t="s">
        <v>2817</v>
      </c>
      <c r="T51" s="2960" t="s">
        <v>2817</v>
      </c>
      <c r="U51" s="2960" t="s">
        <v>2817</v>
      </c>
      <c r="V51" s="2960" t="s">
        <v>2817</v>
      </c>
      <c r="W51" s="2960" t="s">
        <v>3214</v>
      </c>
      <c r="X51" s="2960" t="s">
        <v>3578</v>
      </c>
      <c r="Y51" s="2960" t="s">
        <v>3579</v>
      </c>
      <c r="Z51" s="2960" t="s">
        <v>3580</v>
      </c>
      <c r="AA51" s="2960" t="s">
        <v>3580</v>
      </c>
      <c r="AB51" s="2960" t="s">
        <v>3581</v>
      </c>
      <c r="AC51" s="2960" t="s">
        <v>3209</v>
      </c>
      <c r="AD51" s="2960" t="s">
        <v>3582</v>
      </c>
      <c r="AE51" s="2960">
        <v>23</v>
      </c>
      <c r="AF51" s="2960">
        <v>115</v>
      </c>
      <c r="AG51" s="2960">
        <v>115</v>
      </c>
      <c r="AH51" s="2960">
        <v>86.6</v>
      </c>
      <c r="AI51" s="2960">
        <v>86.6</v>
      </c>
      <c r="AJ51" s="2960">
        <v>1286.1300000000001</v>
      </c>
      <c r="AK51" s="2960">
        <v>1286.1400000000001</v>
      </c>
      <c r="AL51" s="2960" t="s">
        <v>2817</v>
      </c>
      <c r="AM51" s="2960" t="s">
        <v>2817</v>
      </c>
      <c r="AN51" s="2960">
        <v>0</v>
      </c>
      <c r="AO51" s="2960" t="s">
        <v>3216</v>
      </c>
      <c r="AP51" s="2960" t="s">
        <v>2817</v>
      </c>
      <c r="AQ51" s="2960" t="s">
        <v>2817</v>
      </c>
      <c r="AR51" s="2960" t="s">
        <v>2817</v>
      </c>
    </row>
    <row r="53" spans="1:44">
      <c r="A53" s="3231"/>
      <c r="B53" s="3230" t="s">
        <v>3222</v>
      </c>
      <c r="C53" s="3230" t="s">
        <v>3223</v>
      </c>
      <c r="D53" s="3230" t="s">
        <v>3145</v>
      </c>
    </row>
    <row r="54" spans="1:44">
      <c r="A54" s="3228" t="s">
        <v>3584</v>
      </c>
      <c r="B54" s="3229" t="s">
        <v>3585</v>
      </c>
      <c r="C54" s="3229" t="s">
        <v>3586</v>
      </c>
      <c r="D54" s="3229" t="s">
        <v>3587</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18" sqref="N18"/>
    </sheetView>
  </sheetViews>
  <sheetFormatPr defaultColWidth="10" defaultRowHeight="15.6"/>
  <cols>
    <col min="1" max="1" width="15.33203125" style="1686" customWidth="1"/>
    <col min="2" max="2" width="11.33203125" style="1686" customWidth="1"/>
    <col min="3" max="3" width="12.6640625" style="1686" customWidth="1"/>
    <col min="4" max="4" width="12.777343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1936</v>
      </c>
      <c r="B1" s="3262" t="str">
        <f>IF(B10="北京市","北京市",C10)&amp;F10&amp;B16&amp;"国有建设用地使用权"&amp;B9&amp;"预评估"</f>
        <v>湖北省鄂州市花湖开发区杨叶大道与胄山大道交叉口西侧出让国有建设用地使用权抵押价格预评估</v>
      </c>
      <c r="C1" s="3263"/>
      <c r="D1" s="3263"/>
      <c r="E1" s="3263"/>
      <c r="F1" s="3263"/>
      <c r="G1" s="3263"/>
      <c r="H1" s="3263"/>
      <c r="I1" s="3264"/>
      <c r="J1" s="1689"/>
      <c r="K1" s="2475" t="str">
        <f>IF(B10="北京市","北京市",C10)&amp;F10&amp;B16&amp;"国有建设用地使用权"&amp;B9</f>
        <v>湖北省鄂州市花湖开发区杨叶大道与胄山大道交叉口西侧出让国有建设用地使用权抵押价格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湖北省鄂州市花湖开发区杨叶大道与胄山大道交叉口西侧出让国有建设用地使用权</v>
      </c>
      <c r="L2" s="1718"/>
      <c r="M2" s="1718"/>
      <c r="N2" s="1689"/>
      <c r="O2" s="1690"/>
      <c r="P2" s="1689"/>
      <c r="Q2" s="1689"/>
      <c r="R2" s="1689"/>
      <c r="S2" s="1689"/>
      <c r="T2" s="1689"/>
      <c r="U2" s="1689"/>
    </row>
    <row r="3" spans="1:21">
      <c r="A3" s="1656" t="s">
        <v>1938</v>
      </c>
      <c r="B3" s="1657">
        <v>43353</v>
      </c>
      <c r="C3" s="1658" t="s">
        <v>1994</v>
      </c>
      <c r="D3" s="1657">
        <f>B3</f>
        <v>43353</v>
      </c>
      <c r="E3" s="1689"/>
      <c r="F3" s="1689"/>
      <c r="G3" s="1689"/>
      <c r="H3" s="1655"/>
      <c r="I3" s="1690"/>
      <c r="J3" s="1689"/>
      <c r="K3" s="1769"/>
      <c r="L3" s="1718"/>
      <c r="M3" s="1718"/>
      <c r="N3" s="1689"/>
      <c r="O3" s="1690"/>
      <c r="P3" s="1689"/>
      <c r="Q3" s="1689"/>
      <c r="R3" s="1689"/>
      <c r="S3" s="1689"/>
      <c r="T3" s="1689"/>
      <c r="U3" s="1689"/>
    </row>
    <row r="4" spans="1:21" ht="16.2" thickBot="1">
      <c r="A4" s="1659" t="s">
        <v>1939</v>
      </c>
      <c r="B4" s="1838" t="s">
        <v>3171</v>
      </c>
      <c r="C4" s="1841">
        <f ca="1">SUMIF(土地估价师,B4,估价师及机构信息!E3:E24)</f>
        <v>2010110070</v>
      </c>
      <c r="D4" s="1838" t="s">
        <v>3172</v>
      </c>
      <c r="E4" s="1841">
        <f ca="1">SUMIF(土地估价师,D4,估价师及机构信息!E3:E24)</f>
        <v>2011110090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崔锴、赵雯</v>
      </c>
      <c r="L4" s="1718"/>
      <c r="M4" s="1718"/>
      <c r="N4" s="1689"/>
      <c r="O4" s="1690"/>
      <c r="P4" s="1689"/>
      <c r="Q4" s="1689"/>
      <c r="R4" s="1689"/>
      <c r="S4" s="1689"/>
      <c r="T4" s="1689"/>
      <c r="U4" s="1689"/>
    </row>
    <row r="5" spans="1:21" ht="16.2" thickTop="1">
      <c r="A5" s="1660" t="s">
        <v>1940</v>
      </c>
      <c r="B5" s="1784" t="s">
        <v>3597</v>
      </c>
      <c r="C5" s="1661"/>
      <c r="D5" s="1662"/>
      <c r="E5" s="1689"/>
      <c r="F5" s="1689"/>
      <c r="G5" s="1689"/>
      <c r="H5" s="1655"/>
      <c r="I5" s="1690"/>
      <c r="J5" s="1689"/>
      <c r="K5" s="1769"/>
      <c r="L5" s="1718"/>
      <c r="M5" s="1718"/>
      <c r="N5" s="1689"/>
      <c r="O5" s="1690"/>
      <c r="P5" s="1689"/>
      <c r="Q5" s="1689"/>
      <c r="R5" s="1689"/>
      <c r="S5" s="1689"/>
      <c r="T5" s="1689"/>
      <c r="U5" s="1689"/>
    </row>
    <row r="6" spans="1:21" ht="27.6">
      <c r="A6" s="1658" t="s">
        <v>2705</v>
      </c>
      <c r="B6" s="1784"/>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2706</v>
      </c>
      <c r="B7" s="1784" t="str">
        <f>B5</f>
        <v>湖北航宇置业发展有限公司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2977</v>
      </c>
      <c r="C8" s="1666"/>
      <c r="D8" s="3268" t="s">
        <v>1943</v>
      </c>
      <c r="E8" s="1839" t="s">
        <v>2978</v>
      </c>
      <c r="F8" s="1667"/>
      <c r="G8" s="1655"/>
      <c r="H8" s="1655"/>
      <c r="I8" s="1702"/>
      <c r="J8" s="1689"/>
      <c r="K8" s="1769"/>
      <c r="L8" s="1718"/>
      <c r="M8" s="1718"/>
      <c r="N8" s="1689"/>
      <c r="O8" s="1690"/>
      <c r="P8" s="1689"/>
      <c r="Q8" s="1689"/>
      <c r="R8" s="1689"/>
      <c r="S8" s="1689"/>
      <c r="T8" s="1689"/>
      <c r="U8" s="1689"/>
    </row>
    <row r="9" spans="1:21" ht="16.2" thickBot="1">
      <c r="A9" s="1668" t="s">
        <v>1942</v>
      </c>
      <c r="B9" s="1669" t="s">
        <v>2978</v>
      </c>
      <c r="C9" s="1670"/>
      <c r="D9" s="3269"/>
      <c r="E9" s="1669" t="s">
        <v>948</v>
      </c>
      <c r="F9" s="1742"/>
      <c r="G9" s="1737"/>
      <c r="H9" s="1737"/>
      <c r="I9" s="1738"/>
      <c r="J9" s="1689"/>
      <c r="K9" s="1769"/>
      <c r="L9" s="1718"/>
      <c r="M9" s="1718"/>
      <c r="N9" s="1689"/>
      <c r="O9" s="1690"/>
      <c r="P9" s="1689"/>
      <c r="Q9" s="1689"/>
      <c r="R9" s="1689"/>
      <c r="S9" s="1689"/>
      <c r="T9" s="1689"/>
      <c r="U9" s="1689"/>
    </row>
    <row r="10" spans="1:21" ht="16.2" thickTop="1">
      <c r="A10" s="1739" t="s">
        <v>1998</v>
      </c>
      <c r="B10" s="1714" t="s">
        <v>3166</v>
      </c>
      <c r="C10" s="1671" t="s">
        <v>3252</v>
      </c>
      <c r="D10" s="1662"/>
      <c r="E10" s="1672" t="s">
        <v>1945</v>
      </c>
      <c r="F10" s="1673" t="s">
        <v>3596</v>
      </c>
      <c r="G10" s="1740"/>
      <c r="H10" s="1741"/>
      <c r="I10" s="1662"/>
      <c r="J10" s="1689"/>
      <c r="K10" s="1769"/>
      <c r="L10" s="1718"/>
      <c r="M10" s="1718"/>
      <c r="N10" s="1689"/>
      <c r="O10" s="1690"/>
      <c r="P10" s="1689"/>
      <c r="Q10" s="1689"/>
      <c r="R10" s="1689"/>
      <c r="S10" s="1689"/>
      <c r="T10" s="1689"/>
      <c r="U10" s="1689"/>
    </row>
    <row r="11" spans="1:21" ht="46.8">
      <c r="A11" s="1692" t="s">
        <v>1999</v>
      </c>
      <c r="B11" s="1693" t="s">
        <v>2979</v>
      </c>
      <c r="C11" s="1674" t="str">
        <f>B5</f>
        <v>湖北航宇置业发展有限公司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65"/>
      <c r="C12" s="3266"/>
      <c r="D12" s="3267"/>
      <c r="E12" s="1694" t="s">
        <v>2060</v>
      </c>
      <c r="F12" s="3283" t="s">
        <v>2887</v>
      </c>
      <c r="G12" s="3284"/>
      <c r="H12" s="3284"/>
      <c r="I12" s="3285"/>
      <c r="J12" s="1689"/>
      <c r="K12" s="1769"/>
      <c r="L12" s="1718"/>
      <c r="M12" s="1718"/>
      <c r="N12" s="1689"/>
      <c r="O12" s="1690"/>
      <c r="P12" s="1689"/>
      <c r="Q12" s="1689"/>
      <c r="R12" s="1689"/>
      <c r="S12" s="1689"/>
      <c r="T12" s="1689"/>
      <c r="U12" s="1689"/>
    </row>
    <row r="13" spans="1:21">
      <c r="A13" s="1682" t="s">
        <v>2058</v>
      </c>
      <c r="B13" s="3265"/>
      <c r="C13" s="3266"/>
      <c r="D13" s="3267"/>
      <c r="E13" s="1694" t="s">
        <v>2060</v>
      </c>
      <c r="F13" s="3283" t="s">
        <v>2888</v>
      </c>
      <c r="G13" s="3284"/>
      <c r="H13" s="3284"/>
      <c r="I13" s="3285"/>
      <c r="J13" s="1689"/>
      <c r="K13" s="1769"/>
      <c r="L13" s="1718"/>
      <c r="M13" s="1718"/>
      <c r="N13" s="1689"/>
      <c r="O13" s="1690"/>
      <c r="P13" s="1689"/>
      <c r="Q13" s="1689"/>
      <c r="R13" s="1689"/>
      <c r="S13" s="1689"/>
      <c r="T13" s="1689"/>
      <c r="U13" s="1689"/>
    </row>
    <row r="14" spans="1:21">
      <c r="A14" s="1656" t="s">
        <v>2061</v>
      </c>
      <c r="B14" s="1694"/>
      <c r="C14" s="1840" t="s">
        <v>2980</v>
      </c>
      <c r="D14" s="1728" t="str">
        <f>IF(C14="不一致","是否符合证载地类范围","")</f>
        <v/>
      </c>
      <c r="E14" s="1694"/>
      <c r="F14" s="1785" t="s">
        <v>2981</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6.8">
      <c r="A16" s="1675" t="s">
        <v>1946</v>
      </c>
      <c r="B16" s="1676" t="s">
        <v>2982</v>
      </c>
      <c r="C16" s="1694" t="s">
        <v>1947</v>
      </c>
      <c r="D16" s="2666" t="s">
        <v>1948</v>
      </c>
      <c r="E16" s="1717" t="s">
        <v>2983</v>
      </c>
      <c r="F16" s="1717" t="s">
        <v>1674</v>
      </c>
      <c r="G16" s="1717" t="s">
        <v>35</v>
      </c>
      <c r="H16" s="1717" t="s">
        <v>2984</v>
      </c>
      <c r="I16" s="1681" t="s">
        <v>1953</v>
      </c>
      <c r="J16" s="1689"/>
      <c r="K16" s="2476" t="str">
        <f>IF(D17="","",D16&amp;TEXT(D17,"yyyy年m月d日;;"))</f>
        <v>住宅2082年6月26日</v>
      </c>
      <c r="L16" s="1694" t="str">
        <f>IF(OR(K16="",M16=""),"","、")</f>
        <v>、</v>
      </c>
      <c r="M16" s="2476" t="str">
        <f>IF(E17="","",E16&amp;TEXT(E17,"yyyy年m月d日;;"))</f>
        <v>商业2052年6月26日</v>
      </c>
      <c r="N16" s="1694" t="str">
        <f>IF(OR(M16="",O16=""),"","、")</f>
        <v>、</v>
      </c>
      <c r="O16" s="2476" t="str">
        <f>IF(F17="","",F16&amp;TEXT(F17,"yyyy年m月d日;;"))</f>
        <v>办公2052年6月26日</v>
      </c>
      <c r="P16" s="1694" t="str">
        <f>IF(OR(O16="",Q16=""),"","、")</f>
        <v/>
      </c>
      <c r="Q16" s="2476" t="str">
        <f>IF(G17="","",G16&amp;TEXT(G17,"yyyy年m月d日;;"))</f>
        <v/>
      </c>
      <c r="R16" s="1694" t="str">
        <f>IF(OR(Q16="",S16=""),"","、")</f>
        <v/>
      </c>
      <c r="S16" s="2476" t="str">
        <f>IF(H17="","",H16&amp;TEXT(H17,"yyyy年m月d日;;"))</f>
        <v/>
      </c>
      <c r="T16" s="1694" t="str">
        <f>IF(OR(S16="",U16=""),"","、")</f>
        <v/>
      </c>
      <c r="U16" s="2476" t="str">
        <f>IF(I17="","",I16&amp;TEXT(I17,"yyyy年m月d日;;"))</f>
        <v/>
      </c>
    </row>
    <row r="17" spans="1:21">
      <c r="A17" s="1758"/>
      <c r="B17" s="1677"/>
      <c r="C17" s="1678" t="s">
        <v>1954</v>
      </c>
      <c r="D17" s="1695">
        <v>66653</v>
      </c>
      <c r="E17" s="1695">
        <v>55696</v>
      </c>
      <c r="F17" s="1695">
        <v>55696</v>
      </c>
      <c r="G17" s="1695"/>
      <c r="H17" s="1695"/>
      <c r="I17" s="1695"/>
      <c r="J17" s="1689"/>
      <c r="K17" s="2475" t="str">
        <f>CONCATENATE(K16,L16,M16,N16,O16,P16,Q16,R16,S16,T16,,U16)</f>
        <v>住宅2082年6月26日、商业2052年6月26日、办公2052年6月26日</v>
      </c>
      <c r="L17" s="1718"/>
      <c r="M17" s="1718"/>
      <c r="N17" s="1689"/>
      <c r="O17" s="1690"/>
      <c r="P17" s="1689"/>
      <c r="Q17" s="1689"/>
      <c r="R17" s="1689"/>
      <c r="S17" s="1689"/>
      <c r="T17" s="1689"/>
      <c r="U17" s="1689"/>
    </row>
    <row r="18" spans="1:21">
      <c r="A18" s="1758"/>
      <c r="B18" s="1677"/>
      <c r="C18" s="1678" t="s">
        <v>1955</v>
      </c>
      <c r="D18" s="1679">
        <v>70</v>
      </c>
      <c r="E18" s="1679">
        <v>40</v>
      </c>
      <c r="F18" s="1679">
        <v>40</v>
      </c>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f>IF(B16="出让",IF(D17="","",ROUNDDOWN(MIN((D17-$D$3)/365,D18),2)),D18)</f>
        <v>63.83</v>
      </c>
      <c r="E19" s="1680">
        <f>IF(B16="出让",IF(E17="","",ROUNDDOWN(MIN((E17-$D$3)/365,E18),2)),E18)</f>
        <v>33.81</v>
      </c>
      <c r="F19" s="1680">
        <f>IF(B16="出让",IF(F17="","",ROUNDDOWN(MIN((F17-$D$3)/365,F18),2)),F18)</f>
        <v>33.81</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80"/>
      <c r="E20" s="3281"/>
      <c r="F20" s="3281"/>
      <c r="G20" s="3281"/>
      <c r="H20" s="3281"/>
      <c r="I20" s="3282"/>
      <c r="J20" s="1689"/>
      <c r="K20" s="1769"/>
      <c r="L20" s="1718"/>
      <c r="M20" s="1718"/>
      <c r="N20" s="1689"/>
      <c r="O20" s="1690"/>
      <c r="P20" s="1689"/>
      <c r="Q20" s="1689"/>
      <c r="R20" s="1689"/>
      <c r="S20" s="1689"/>
      <c r="T20" s="1689"/>
      <c r="U20" s="1689"/>
    </row>
    <row r="21" spans="1:21">
      <c r="A21" s="1758" t="s">
        <v>1957</v>
      </c>
      <c r="B21" s="1759" t="s">
        <v>1958</v>
      </c>
      <c r="C21" s="1754">
        <f>'数据-汇总表'!E3</f>
        <v>429582.71</v>
      </c>
      <c r="D21" s="1755" t="s">
        <v>1959</v>
      </c>
      <c r="E21" s="3270" t="s">
        <v>1997</v>
      </c>
      <c r="F21" s="3271"/>
      <c r="G21" s="3271"/>
      <c r="H21" s="3271"/>
      <c r="I21" s="3272"/>
      <c r="J21" s="1689"/>
      <c r="K21" s="1769"/>
      <c r="L21" s="1718"/>
      <c r="M21" s="1718"/>
      <c r="N21" s="1689"/>
      <c r="O21" s="1690"/>
      <c r="P21" s="1689"/>
      <c r="Q21" s="1689"/>
      <c r="R21" s="1689"/>
      <c r="S21" s="1689"/>
      <c r="T21" s="1689"/>
      <c r="U21" s="1689"/>
    </row>
    <row r="22" spans="1:21">
      <c r="A22" s="3169" t="s">
        <v>948</v>
      </c>
      <c r="B22" s="1656" t="s">
        <v>1960</v>
      </c>
      <c r="C22" s="1681">
        <f>'数据-汇总表'!D3</f>
        <v>148860.29999999999</v>
      </c>
      <c r="D22" s="1682" t="s">
        <v>1959</v>
      </c>
      <c r="E22" s="3270" t="s">
        <v>2889</v>
      </c>
      <c r="F22" s="3271"/>
      <c r="G22" s="3271"/>
      <c r="H22" s="3271"/>
      <c r="I22" s="3272"/>
      <c r="J22" s="1689"/>
      <c r="K22" s="1769"/>
      <c r="L22" s="1718"/>
      <c r="M22" s="1718"/>
      <c r="N22" s="1689"/>
      <c r="O22" s="1690"/>
      <c r="P22" s="1689"/>
      <c r="Q22" s="1689"/>
      <c r="R22" s="1689"/>
      <c r="S22" s="1689"/>
      <c r="T22" s="1689"/>
      <c r="U22" s="1689"/>
    </row>
    <row r="23" spans="1:21" ht="47.4" thickBot="1">
      <c r="A23" s="1760" t="s">
        <v>1961</v>
      </c>
      <c r="B23" s="1696" t="s">
        <v>1962</v>
      </c>
      <c r="C23" s="1697" t="s">
        <v>2985</v>
      </c>
      <c r="D23" s="1698" t="s">
        <v>1963</v>
      </c>
      <c r="E23" s="1699" t="s">
        <v>2985</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73" t="s">
        <v>1965</v>
      </c>
      <c r="C24" s="3274"/>
      <c r="D24" s="3275" t="s">
        <v>1966</v>
      </c>
      <c r="E24" s="3276"/>
      <c r="F24" s="1703" t="s">
        <v>1967</v>
      </c>
      <c r="G24" s="1689"/>
      <c r="H24" s="1689"/>
      <c r="I24" s="1702"/>
      <c r="J24" s="1689"/>
      <c r="K24" s="3261"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31.2">
      <c r="A25" s="1746"/>
      <c r="B25" s="1743" t="s">
        <v>2324</v>
      </c>
      <c r="C25" s="1704" t="s">
        <v>1969</v>
      </c>
      <c r="D25" s="1705"/>
      <c r="E25" s="1706" t="s">
        <v>948</v>
      </c>
      <c r="F25" s="1707"/>
      <c r="G25" s="1689"/>
      <c r="H25" s="1689"/>
      <c r="I25" s="1702"/>
      <c r="J25" s="1689"/>
      <c r="K25" s="3261"/>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47.4" thickBot="1">
      <c r="A26" s="1747"/>
      <c r="B26" s="1744" t="s">
        <v>1970</v>
      </c>
      <c r="C26" s="1704" t="s">
        <v>2325</v>
      </c>
      <c r="D26" s="1655"/>
      <c r="E26" s="1655"/>
      <c r="F26" s="1683"/>
      <c r="G26" s="1689"/>
      <c r="H26" s="1689"/>
      <c r="I26" s="1702"/>
      <c r="J26" s="1689"/>
      <c r="K26" s="3261"/>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6.2" thickTop="1">
      <c r="A31" s="3288" t="s">
        <v>2000</v>
      </c>
      <c r="B31" s="1759" t="s">
        <v>2001</v>
      </c>
      <c r="C31" s="3286" t="s">
        <v>2986</v>
      </c>
      <c r="D31" s="3287"/>
      <c r="E31" s="1689"/>
      <c r="F31" s="1689"/>
      <c r="G31" s="1689"/>
      <c r="H31" s="1689"/>
      <c r="I31" s="1702"/>
      <c r="J31" s="1689"/>
      <c r="K31" s="2478"/>
      <c r="L31" s="1689"/>
      <c r="M31" s="1689"/>
      <c r="N31" s="1689"/>
      <c r="O31" s="1689"/>
      <c r="P31" s="1689"/>
      <c r="Q31" s="1689"/>
      <c r="R31" s="1689"/>
      <c r="S31" s="1689"/>
      <c r="T31" s="1689"/>
      <c r="U31" s="1689"/>
    </row>
    <row r="32" spans="1:21">
      <c r="A32" s="3288"/>
      <c r="B32" s="1656" t="s">
        <v>2002</v>
      </c>
      <c r="C32" s="1714" t="s">
        <v>2987</v>
      </c>
      <c r="D32" s="1715"/>
      <c r="E32" s="1689"/>
      <c r="F32" s="1689"/>
      <c r="G32" s="1689"/>
      <c r="H32" s="1689"/>
      <c r="I32" s="1702"/>
      <c r="J32" s="1689"/>
      <c r="K32" s="2478"/>
      <c r="L32" s="1689"/>
      <c r="M32" s="1689"/>
      <c r="N32" s="1689"/>
      <c r="O32" s="1689"/>
      <c r="P32" s="1689"/>
      <c r="Q32" s="1689"/>
      <c r="R32" s="1689"/>
      <c r="S32" s="1689"/>
      <c r="T32" s="1689"/>
      <c r="U32" s="1689"/>
    </row>
    <row r="33" spans="1:21">
      <c r="A33" s="3288"/>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89"/>
      <c r="B34" s="1656" t="s">
        <v>2004</v>
      </c>
      <c r="C34" s="3290"/>
      <c r="D34" s="3291"/>
      <c r="E34" s="1689"/>
      <c r="F34" s="1689"/>
      <c r="G34" s="1689"/>
      <c r="H34" s="1689"/>
      <c r="I34" s="1702"/>
      <c r="J34" s="1689"/>
      <c r="K34" s="2478"/>
      <c r="L34" s="1689"/>
      <c r="M34" s="1689"/>
      <c r="N34" s="1689"/>
      <c r="O34" s="1689"/>
      <c r="P34" s="1689"/>
      <c r="Q34" s="1689"/>
      <c r="R34" s="1689"/>
      <c r="S34" s="1689"/>
      <c r="T34" s="1689"/>
      <c r="U34" s="1689"/>
    </row>
    <row r="35" spans="1:21" ht="31.2">
      <c r="A35" s="3292" t="s">
        <v>843</v>
      </c>
      <c r="B35" s="1717" t="s">
        <v>2988</v>
      </c>
      <c r="C35" s="1771" t="str">
        <f>IF(B35="场地平整","——","具体情况：")</f>
        <v>具体情况：</v>
      </c>
      <c r="D35" s="3294"/>
      <c r="E35" s="3295"/>
      <c r="F35" s="3295"/>
      <c r="G35" s="3295"/>
      <c r="H35" s="3295"/>
      <c r="I35" s="3296"/>
      <c r="J35" s="1689"/>
      <c r="K35" s="1770"/>
      <c r="L35" s="1718"/>
      <c r="M35" s="1718"/>
      <c r="N35" s="1689"/>
      <c r="O35" s="1690"/>
      <c r="P35" s="1689"/>
      <c r="Q35" s="1689"/>
      <c r="R35" s="1689"/>
      <c r="S35" s="1689"/>
      <c r="T35" s="1689"/>
      <c r="U35" s="1689"/>
    </row>
    <row r="36" spans="1:21">
      <c r="A36" s="3288"/>
      <c r="B36" s="3297" t="s">
        <v>2053</v>
      </c>
      <c r="C36" s="3298"/>
      <c r="D36" s="1787" t="s">
        <v>2989</v>
      </c>
      <c r="E36" s="3299"/>
      <c r="F36" s="3299"/>
      <c r="G36" s="1682" t="str">
        <f>IF(B35="场地未平整","估价结果处理","")</f>
        <v/>
      </c>
      <c r="H36" s="3300"/>
      <c r="I36" s="3300"/>
      <c r="J36" s="1689"/>
      <c r="K36" s="1770"/>
      <c r="L36" s="1718"/>
      <c r="M36" s="1718"/>
      <c r="N36" s="1689"/>
      <c r="O36" s="1690"/>
      <c r="P36" s="1689"/>
      <c r="Q36" s="1689"/>
      <c r="R36" s="1689"/>
      <c r="S36" s="1689"/>
      <c r="T36" s="1689"/>
      <c r="U36" s="1689"/>
    </row>
    <row r="37" spans="1:21" ht="31.2">
      <c r="A37" s="3288"/>
      <c r="B37" s="3277"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288"/>
      <c r="B38" s="3278"/>
      <c r="C38" s="1664" t="s">
        <v>846</v>
      </c>
      <c r="D38" s="1786">
        <f>ROUNDDOWN(MIN(('数据-取费表'!$B$2-D37)/365,D34),1)</f>
        <v>0.1</v>
      </c>
      <c r="E38" s="1722" t="s">
        <v>847</v>
      </c>
      <c r="F38" s="1689"/>
      <c r="G38" s="1689"/>
      <c r="H38" s="1689"/>
      <c r="I38" s="1702"/>
      <c r="J38" s="1689"/>
      <c r="K38" s="1770"/>
      <c r="L38" s="1689"/>
      <c r="M38" s="1689"/>
      <c r="N38" s="1689"/>
      <c r="O38" s="1689"/>
      <c r="P38" s="1689"/>
      <c r="Q38" s="1689"/>
      <c r="R38" s="1689"/>
      <c r="S38" s="1689"/>
      <c r="T38" s="1689"/>
      <c r="U38" s="1689"/>
    </row>
    <row r="39" spans="1:21">
      <c r="A39" s="3289"/>
      <c r="B39" s="3279"/>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2990</v>
      </c>
      <c r="C40" s="1685" t="s">
        <v>2991</v>
      </c>
      <c r="D40" s="1685" t="s">
        <v>2992</v>
      </c>
      <c r="E40" s="1685" t="s">
        <v>2993</v>
      </c>
      <c r="F40" s="1685" t="s">
        <v>2994</v>
      </c>
      <c r="G40" s="1685"/>
      <c r="H40" s="1685"/>
      <c r="I40" s="1702"/>
      <c r="J40" s="1689"/>
      <c r="K40" s="1725">
        <f>COUNTIF(B40:H40,"——")</f>
        <v>0</v>
      </c>
      <c r="L40" s="1694" t="s">
        <v>1977</v>
      </c>
      <c r="M40" s="1691" t="s">
        <v>1978</v>
      </c>
      <c r="N40" s="1691" t="s">
        <v>1979</v>
      </c>
      <c r="O40" s="1691" t="s">
        <v>1980</v>
      </c>
      <c r="P40" s="1691" t="s">
        <v>1981</v>
      </c>
      <c r="Q40" s="1691" t="s">
        <v>1982</v>
      </c>
      <c r="R40" s="1691" t="s">
        <v>1983</v>
      </c>
      <c r="S40" s="3260" t="s">
        <v>1984</v>
      </c>
      <c r="T40" s="1726" t="str">
        <f>NUMBERSTRING(7-K40,1)&amp;"通"</f>
        <v>七通</v>
      </c>
      <c r="U40" s="1689"/>
    </row>
    <row r="41" spans="1:21">
      <c r="A41" s="1658"/>
      <c r="B41" s="3293" t="s">
        <v>1718</v>
      </c>
      <c r="C41" s="3293"/>
      <c r="D41" s="3293"/>
      <c r="E41" s="3293"/>
      <c r="F41" s="1727" t="str">
        <f>C10</f>
        <v>湖北省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60"/>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2890</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sqref="A1:J7"/>
    </sheetView>
  </sheetViews>
  <sheetFormatPr defaultColWidth="9" defaultRowHeight="14.4"/>
  <cols>
    <col min="1" max="16384" width="9" style="3222"/>
  </cols>
  <sheetData>
    <row r="1" spans="1:10">
      <c r="A1" s="3304" t="s">
        <v>2998</v>
      </c>
      <c r="B1" s="3304" t="s">
        <v>2999</v>
      </c>
      <c r="C1" s="3304" t="s">
        <v>3000</v>
      </c>
      <c r="D1" s="3303" t="s">
        <v>2996</v>
      </c>
      <c r="E1" s="3303"/>
      <c r="F1" s="3303"/>
      <c r="G1" s="3303"/>
      <c r="H1" s="3303"/>
      <c r="I1" s="3303" t="s">
        <v>2997</v>
      </c>
      <c r="J1" s="3303"/>
    </row>
    <row r="2" spans="1:10">
      <c r="A2" s="3304"/>
      <c r="B2" s="3304"/>
      <c r="C2" s="3304"/>
      <c r="D2" s="3193" t="s">
        <v>3001</v>
      </c>
      <c r="E2" s="3195" t="s">
        <v>3131</v>
      </c>
      <c r="F2" s="3195" t="s">
        <v>3132</v>
      </c>
      <c r="G2" s="3195" t="s">
        <v>3134</v>
      </c>
      <c r="H2" s="3193" t="s">
        <v>3003</v>
      </c>
      <c r="I2" s="3193" t="s">
        <v>3004</v>
      </c>
      <c r="J2" s="3195" t="s">
        <v>3054</v>
      </c>
    </row>
    <row r="3" spans="1:10">
      <c r="A3" s="3198">
        <v>1</v>
      </c>
      <c r="B3" s="3195" t="s">
        <v>3130</v>
      </c>
      <c r="C3" s="3193">
        <v>7603.39</v>
      </c>
      <c r="D3" s="3193">
        <v>7603.39</v>
      </c>
      <c r="E3" s="3193"/>
      <c r="F3" s="3193">
        <v>7351.55</v>
      </c>
      <c r="G3" s="3193"/>
      <c r="H3" s="3193">
        <v>251.83999999999997</v>
      </c>
      <c r="I3" s="3193">
        <v>0</v>
      </c>
      <c r="J3" s="3193"/>
    </row>
    <row r="4" spans="1:10">
      <c r="A4" s="3198">
        <v>2</v>
      </c>
      <c r="B4" s="3195" t="s">
        <v>3135</v>
      </c>
      <c r="C4" s="3193">
        <v>94193.49</v>
      </c>
      <c r="D4" s="3193">
        <v>78533.740000000005</v>
      </c>
      <c r="E4" s="3193">
        <v>73584.929999999993</v>
      </c>
      <c r="F4" s="3193"/>
      <c r="G4" s="3193">
        <v>3538.21</v>
      </c>
      <c r="H4" s="3193">
        <v>1410.5999999999997</v>
      </c>
      <c r="I4" s="3193">
        <v>15659.75</v>
      </c>
      <c r="J4" s="3193">
        <v>15659.75</v>
      </c>
    </row>
    <row r="5" spans="1:10">
      <c r="A5" s="3198">
        <v>3</v>
      </c>
      <c r="B5" s="3195" t="s">
        <v>3136</v>
      </c>
      <c r="C5" s="3193">
        <v>102575.62</v>
      </c>
      <c r="D5" s="3193">
        <v>84551.719999999987</v>
      </c>
      <c r="E5" s="3193">
        <v>80219.009999999995</v>
      </c>
      <c r="F5" s="3193"/>
      <c r="G5" s="3193">
        <v>2997.59</v>
      </c>
      <c r="H5" s="3193">
        <v>1335.12</v>
      </c>
      <c r="I5" s="3193">
        <v>18023.900000000001</v>
      </c>
      <c r="J5" s="3193">
        <v>18023.900000000001</v>
      </c>
    </row>
    <row r="6" spans="1:10">
      <c r="A6" s="3198">
        <v>4</v>
      </c>
      <c r="B6" s="3195" t="s">
        <v>3137</v>
      </c>
      <c r="C6" s="3193">
        <v>7235.15</v>
      </c>
      <c r="D6" s="3193">
        <v>7235.15</v>
      </c>
      <c r="E6" s="3193"/>
      <c r="F6" s="3193">
        <v>6202.36</v>
      </c>
      <c r="G6" s="3193"/>
      <c r="H6" s="3193">
        <v>1032.79</v>
      </c>
      <c r="I6" s="3193">
        <v>0</v>
      </c>
      <c r="J6" s="3193"/>
    </row>
    <row r="7" spans="1:10">
      <c r="A7" s="3301" t="s">
        <v>3173</v>
      </c>
      <c r="B7" s="3302"/>
      <c r="C7" s="3193">
        <v>211607.65</v>
      </c>
      <c r="D7" s="3193">
        <v>177923.99999999997</v>
      </c>
      <c r="E7" s="3193">
        <v>153803.94</v>
      </c>
      <c r="F7" s="3193">
        <v>13553.91</v>
      </c>
      <c r="G7" s="3193">
        <v>6535.8</v>
      </c>
      <c r="H7" s="3193">
        <v>4030.3499999999995</v>
      </c>
      <c r="I7" s="3193">
        <v>33683.65</v>
      </c>
      <c r="J7" s="3193">
        <v>33683.65</v>
      </c>
    </row>
  </sheetData>
  <mergeCells count="6">
    <mergeCell ref="A7:B7"/>
    <mergeCell ref="D1:H1"/>
    <mergeCell ref="I1:J1"/>
    <mergeCell ref="A1:A2"/>
    <mergeCell ref="B1:B2"/>
    <mergeCell ref="C1:C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ColWidth="9" defaultRowHeight="13.8"/>
  <cols>
    <col min="1" max="1" width="9" style="3192"/>
    <col min="2" max="2" width="7.109375" style="3192" customWidth="1"/>
    <col min="3" max="3" width="16.33203125" style="3192" customWidth="1"/>
    <col min="4" max="4" width="8.21875" style="3192" customWidth="1"/>
    <col min="5" max="5" width="9.109375" style="3192" customWidth="1"/>
    <col min="6" max="16384" width="9" style="3192"/>
  </cols>
  <sheetData>
    <row r="1" spans="2:19" ht="14.4">
      <c r="B1" s="3304" t="s">
        <v>2998</v>
      </c>
      <c r="C1" s="3304" t="s">
        <v>2999</v>
      </c>
      <c r="D1" s="3304" t="s">
        <v>3000</v>
      </c>
      <c r="E1" s="3303" t="s">
        <v>2996</v>
      </c>
      <c r="F1" s="3303"/>
      <c r="G1" s="3303"/>
      <c r="H1" s="3303"/>
      <c r="I1" s="3303"/>
      <c r="J1" s="3303"/>
      <c r="K1" s="3303"/>
      <c r="L1" s="3303" t="s">
        <v>2997</v>
      </c>
      <c r="M1" s="3303"/>
      <c r="N1" s="3303"/>
      <c r="O1" s="3303"/>
      <c r="P1" s="3303"/>
      <c r="Q1" s="3197"/>
    </row>
    <row r="2" spans="2:19" ht="14.4">
      <c r="B2" s="3304"/>
      <c r="C2" s="3304"/>
      <c r="D2" s="3304"/>
      <c r="E2" s="3193" t="s">
        <v>3001</v>
      </c>
      <c r="F2" s="3193" t="s">
        <v>3002</v>
      </c>
      <c r="G2" s="3195" t="s">
        <v>3049</v>
      </c>
      <c r="H2" s="3195" t="s">
        <v>3047</v>
      </c>
      <c r="I2" s="3195" t="s">
        <v>3057</v>
      </c>
      <c r="J2" s="3195" t="s">
        <v>3019</v>
      </c>
      <c r="K2" s="3193" t="s">
        <v>3003</v>
      </c>
      <c r="L2" s="3193" t="s">
        <v>3004</v>
      </c>
      <c r="M2" s="3193" t="s">
        <v>3005</v>
      </c>
      <c r="N2" s="3195" t="s">
        <v>3054</v>
      </c>
      <c r="O2" s="3193" t="s">
        <v>3003</v>
      </c>
      <c r="P2" s="3195" t="s">
        <v>3019</v>
      </c>
      <c r="Q2" s="3195" t="s">
        <v>3020</v>
      </c>
      <c r="R2" s="3192" t="s">
        <v>3006</v>
      </c>
    </row>
    <row r="3" spans="2:19">
      <c r="B3" s="3198">
        <v>1</v>
      </c>
      <c r="C3" s="3193" t="s">
        <v>3007</v>
      </c>
      <c r="D3" s="3193">
        <f>SUM(E3,L3)</f>
        <v>7954.44</v>
      </c>
      <c r="E3" s="3193">
        <f>SUM(F3:K3)</f>
        <v>5304.99</v>
      </c>
      <c r="F3" s="3193">
        <v>5304.99</v>
      </c>
      <c r="G3" s="3193"/>
      <c r="H3" s="3193"/>
      <c r="I3" s="3193"/>
      <c r="J3" s="3193"/>
      <c r="K3" s="3193"/>
      <c r="L3" s="3193">
        <f>SUM(M3:P3)</f>
        <v>2649.45</v>
      </c>
      <c r="M3" s="3193">
        <v>1209.7</v>
      </c>
      <c r="N3" s="3193"/>
      <c r="O3" s="3193">
        <v>1439.75</v>
      </c>
      <c r="P3" s="3193"/>
      <c r="Q3" s="3193">
        <v>4418.1899999999996</v>
      </c>
      <c r="R3" s="3192">
        <v>6</v>
      </c>
    </row>
    <row r="4" spans="2:19">
      <c r="B4" s="3198">
        <v>2</v>
      </c>
      <c r="C4" s="3193" t="s">
        <v>3008</v>
      </c>
      <c r="D4" s="3193">
        <f t="shared" ref="D4:D51" si="0">SUM(E4,L4)</f>
        <v>7952.61</v>
      </c>
      <c r="E4" s="3193">
        <f t="shared" ref="E4:E51" si="1">SUM(F4:K4)</f>
        <v>5304.99</v>
      </c>
      <c r="F4" s="3193">
        <v>5304.99</v>
      </c>
      <c r="G4" s="3193"/>
      <c r="H4" s="3193"/>
      <c r="I4" s="3193"/>
      <c r="J4" s="3193"/>
      <c r="K4" s="3193"/>
      <c r="L4" s="3193">
        <f t="shared" ref="L4:L51" si="2">SUM(M4:P4)</f>
        <v>2647.62</v>
      </c>
      <c r="M4" s="3193">
        <v>1209.7</v>
      </c>
      <c r="N4" s="3193"/>
      <c r="O4" s="3193">
        <v>1437.92</v>
      </c>
      <c r="P4" s="3193"/>
      <c r="Q4" s="3193"/>
      <c r="R4" s="3192">
        <v>6</v>
      </c>
    </row>
    <row r="5" spans="2:19">
      <c r="B5" s="3198">
        <v>3</v>
      </c>
      <c r="C5" s="3193" t="s">
        <v>3009</v>
      </c>
      <c r="D5" s="3193">
        <f t="shared" si="0"/>
        <v>11166.619999999999</v>
      </c>
      <c r="E5" s="3193">
        <f t="shared" si="1"/>
        <v>7477.88</v>
      </c>
      <c r="F5" s="3193">
        <v>7417.88</v>
      </c>
      <c r="G5" s="3193"/>
      <c r="H5" s="3193"/>
      <c r="I5" s="3193"/>
      <c r="J5" s="3193"/>
      <c r="K5" s="3193">
        <v>60</v>
      </c>
      <c r="L5" s="3193">
        <f t="shared" si="2"/>
        <v>3688.74</v>
      </c>
      <c r="M5" s="3193">
        <v>1689.32</v>
      </c>
      <c r="N5" s="3193"/>
      <c r="O5" s="3193">
        <f>1999.42</f>
        <v>1999.42</v>
      </c>
      <c r="P5" s="3193"/>
      <c r="Q5" s="3193"/>
      <c r="R5" s="3192">
        <v>6</v>
      </c>
    </row>
    <row r="6" spans="2:19">
      <c r="B6" s="3198">
        <v>4</v>
      </c>
      <c r="C6" s="3193" t="s">
        <v>3010</v>
      </c>
      <c r="D6" s="3193">
        <f t="shared" si="0"/>
        <v>4812.1500000000005</v>
      </c>
      <c r="E6" s="3193">
        <f t="shared" si="1"/>
        <v>3194.26</v>
      </c>
      <c r="F6" s="3193">
        <v>3194.26</v>
      </c>
      <c r="G6" s="3193"/>
      <c r="H6" s="3193"/>
      <c r="I6" s="3193"/>
      <c r="J6" s="3193"/>
      <c r="K6" s="3193"/>
      <c r="L6" s="3193">
        <f t="shared" si="2"/>
        <v>1617.89</v>
      </c>
      <c r="M6" s="3193">
        <v>826.19</v>
      </c>
      <c r="N6" s="3193"/>
      <c r="O6" s="3193">
        <v>791.7</v>
      </c>
      <c r="P6" s="3193"/>
      <c r="Q6" s="3193"/>
      <c r="R6" s="3192">
        <v>6</v>
      </c>
    </row>
    <row r="7" spans="2:19">
      <c r="B7" s="3198">
        <v>5</v>
      </c>
      <c r="C7" s="3193" t="s">
        <v>3011</v>
      </c>
      <c r="D7" s="3193">
        <f t="shared" si="0"/>
        <v>6394.5</v>
      </c>
      <c r="E7" s="3193">
        <f t="shared" si="1"/>
        <v>4262.7299999999996</v>
      </c>
      <c r="F7" s="3193">
        <v>4262.7299999999996</v>
      </c>
      <c r="G7" s="3193"/>
      <c r="H7" s="3193"/>
      <c r="I7" s="3193"/>
      <c r="J7" s="3193"/>
      <c r="K7" s="3193"/>
      <c r="L7" s="3193">
        <f t="shared" si="2"/>
        <v>2131.77</v>
      </c>
      <c r="M7" s="3193">
        <v>1063.9100000000001</v>
      </c>
      <c r="N7" s="3193"/>
      <c r="O7" s="3193">
        <v>1067.8599999999999</v>
      </c>
      <c r="P7" s="3193"/>
      <c r="Q7" s="3193"/>
      <c r="R7" s="3192">
        <v>6</v>
      </c>
    </row>
    <row r="8" spans="2:19">
      <c r="B8" s="3198">
        <v>6</v>
      </c>
      <c r="C8" s="3193" t="s">
        <v>3012</v>
      </c>
      <c r="D8" s="3193">
        <f t="shared" si="0"/>
        <v>8152.09</v>
      </c>
      <c r="E8" s="3193">
        <f t="shared" si="1"/>
        <v>5596.41</v>
      </c>
      <c r="F8" s="3193">
        <v>5570.41</v>
      </c>
      <c r="G8" s="3193"/>
      <c r="H8" s="3193"/>
      <c r="I8" s="3193"/>
      <c r="J8" s="3193">
        <v>26</v>
      </c>
      <c r="K8" s="3193"/>
      <c r="L8" s="3193">
        <f t="shared" si="2"/>
        <v>2555.6800000000003</v>
      </c>
      <c r="M8" s="3193">
        <v>1155.48</v>
      </c>
      <c r="N8" s="3193"/>
      <c r="O8" s="3193">
        <v>1400.2</v>
      </c>
      <c r="P8" s="3193"/>
      <c r="Q8" s="3193"/>
      <c r="R8" s="3192">
        <v>6</v>
      </c>
    </row>
    <row r="9" spans="2:19" ht="14.4">
      <c r="B9" s="3198">
        <v>7</v>
      </c>
      <c r="C9" s="3193" t="s">
        <v>3013</v>
      </c>
      <c r="D9" s="3193">
        <f t="shared" si="0"/>
        <v>11406.08</v>
      </c>
      <c r="E9" s="3193">
        <f t="shared" si="1"/>
        <v>7690.47</v>
      </c>
      <c r="F9" s="3193">
        <v>7690.47</v>
      </c>
      <c r="G9" s="3193"/>
      <c r="H9" s="3193"/>
      <c r="I9" s="3193"/>
      <c r="J9" s="3193"/>
      <c r="K9" s="3193"/>
      <c r="L9" s="3193">
        <f t="shared" si="2"/>
        <v>3715.6099999999997</v>
      </c>
      <c r="M9" s="3193">
        <v>1789.87</v>
      </c>
      <c r="N9" s="3193"/>
      <c r="O9" s="3193">
        <v>1925.74</v>
      </c>
      <c r="P9" s="3193"/>
      <c r="Q9" s="3193">
        <v>6397.59</v>
      </c>
      <c r="R9" s="3192">
        <v>6</v>
      </c>
      <c r="S9" s="3194"/>
    </row>
    <row r="10" spans="2:19">
      <c r="B10" s="3198">
        <v>8</v>
      </c>
      <c r="C10" s="3193" t="s">
        <v>3014</v>
      </c>
      <c r="D10" s="3193">
        <f t="shared" si="0"/>
        <v>9657.2900000000009</v>
      </c>
      <c r="E10" s="3193">
        <f t="shared" si="1"/>
        <v>6561.51</v>
      </c>
      <c r="F10" s="3193">
        <v>6561.51</v>
      </c>
      <c r="G10" s="3193"/>
      <c r="H10" s="3193"/>
      <c r="I10" s="3193"/>
      <c r="J10" s="3193"/>
      <c r="K10" s="3193"/>
      <c r="L10" s="3193">
        <f t="shared" si="2"/>
        <v>3095.7799999999997</v>
      </c>
      <c r="M10" s="3193">
        <v>1401.08</v>
      </c>
      <c r="N10" s="3193"/>
      <c r="O10" s="3193">
        <v>1694.7</v>
      </c>
      <c r="P10" s="3193"/>
      <c r="Q10" s="3193">
        <v>5446.12</v>
      </c>
      <c r="R10" s="3192">
        <v>6</v>
      </c>
    </row>
    <row r="11" spans="2:19">
      <c r="B11" s="3198">
        <v>9</v>
      </c>
      <c r="C11" s="3193" t="s">
        <v>3015</v>
      </c>
      <c r="D11" s="3193">
        <f t="shared" si="0"/>
        <v>8170.09</v>
      </c>
      <c r="E11" s="3193">
        <f t="shared" si="1"/>
        <v>5591.71</v>
      </c>
      <c r="F11" s="3193">
        <v>5591.71</v>
      </c>
      <c r="G11" s="3193"/>
      <c r="H11" s="3193"/>
      <c r="I11" s="3193"/>
      <c r="J11" s="3193"/>
      <c r="K11" s="3193"/>
      <c r="L11" s="3193">
        <f t="shared" si="2"/>
        <v>2578.38</v>
      </c>
      <c r="M11" s="3193">
        <v>1155.48</v>
      </c>
      <c r="N11" s="3193"/>
      <c r="O11" s="3193">
        <v>1422.9</v>
      </c>
      <c r="P11" s="3193"/>
      <c r="Q11" s="3193"/>
      <c r="R11" s="3192">
        <v>6</v>
      </c>
    </row>
    <row r="12" spans="2:19">
      <c r="B12" s="3198">
        <v>10</v>
      </c>
      <c r="C12" s="3193" t="s">
        <v>3016</v>
      </c>
      <c r="D12" s="3193">
        <f t="shared" si="0"/>
        <v>4335.25</v>
      </c>
      <c r="E12" s="3193">
        <f t="shared" si="1"/>
        <v>1877.66</v>
      </c>
      <c r="F12" s="3193">
        <v>1877.66</v>
      </c>
      <c r="G12" s="3193"/>
      <c r="H12" s="3193"/>
      <c r="I12" s="3193"/>
      <c r="J12" s="3193"/>
      <c r="K12" s="3193"/>
      <c r="L12" s="3193">
        <f t="shared" si="2"/>
        <v>2457.59</v>
      </c>
      <c r="M12" s="3193">
        <v>1464.72</v>
      </c>
      <c r="N12" s="3193"/>
      <c r="O12" s="3193">
        <v>992.87</v>
      </c>
      <c r="P12" s="3193"/>
      <c r="Q12" s="3193"/>
      <c r="R12" s="3192">
        <v>4</v>
      </c>
    </row>
    <row r="13" spans="2:19">
      <c r="B13" s="3198">
        <v>11</v>
      </c>
      <c r="C13" s="3193" t="s">
        <v>3017</v>
      </c>
      <c r="D13" s="3193">
        <f t="shared" si="0"/>
        <v>3255.17</v>
      </c>
      <c r="E13" s="3193">
        <f t="shared" si="1"/>
        <v>1410.79</v>
      </c>
      <c r="F13" s="3193">
        <v>1410.79</v>
      </c>
      <c r="G13" s="3193"/>
      <c r="H13" s="3193"/>
      <c r="I13" s="3193"/>
      <c r="J13" s="3193"/>
      <c r="K13" s="3193"/>
      <c r="L13" s="3193">
        <f t="shared" si="2"/>
        <v>1844.3799999999999</v>
      </c>
      <c r="M13" s="3193">
        <v>1098.0899999999999</v>
      </c>
      <c r="N13" s="3193"/>
      <c r="O13" s="3193">
        <v>746.29</v>
      </c>
      <c r="P13" s="3193"/>
      <c r="Q13" s="3193"/>
      <c r="R13" s="3192">
        <v>4</v>
      </c>
    </row>
    <row r="14" spans="2:19">
      <c r="B14" s="3198">
        <v>12</v>
      </c>
      <c r="C14" s="3193" t="s">
        <v>3018</v>
      </c>
      <c r="D14" s="3193">
        <f t="shared" si="0"/>
        <v>4335.25</v>
      </c>
      <c r="E14" s="3193">
        <f t="shared" si="1"/>
        <v>1877.66</v>
      </c>
      <c r="F14" s="3193">
        <v>1877.66</v>
      </c>
      <c r="G14" s="3193"/>
      <c r="H14" s="3193"/>
      <c r="I14" s="3193"/>
      <c r="J14" s="3193"/>
      <c r="K14" s="3193"/>
      <c r="L14" s="3193">
        <f t="shared" si="2"/>
        <v>2457.59</v>
      </c>
      <c r="M14" s="3193">
        <v>1464.72</v>
      </c>
      <c r="N14" s="3193"/>
      <c r="O14" s="3193">
        <v>992.87</v>
      </c>
      <c r="P14" s="3193"/>
      <c r="Q14" s="3193"/>
      <c r="R14" s="3192">
        <v>4</v>
      </c>
    </row>
    <row r="15" spans="2:19">
      <c r="B15" s="3198">
        <v>13</v>
      </c>
      <c r="C15" s="3193" t="s">
        <v>3021</v>
      </c>
      <c r="D15" s="3193">
        <f t="shared" si="0"/>
        <v>8244.5299999999988</v>
      </c>
      <c r="E15" s="3193">
        <f t="shared" si="1"/>
        <v>5591.71</v>
      </c>
      <c r="F15" s="3193">
        <v>5591.71</v>
      </c>
      <c r="G15" s="3193"/>
      <c r="H15" s="3193"/>
      <c r="I15" s="3193"/>
      <c r="J15" s="3193"/>
      <c r="K15" s="3193"/>
      <c r="L15" s="3193">
        <f t="shared" si="2"/>
        <v>2652.8199999999997</v>
      </c>
      <c r="M15" s="3193">
        <v>1310.1099999999999</v>
      </c>
      <c r="N15" s="3193"/>
      <c r="O15" s="3193">
        <v>1342.71</v>
      </c>
      <c r="P15" s="3193"/>
      <c r="Q15" s="3193"/>
      <c r="R15" s="3192">
        <v>6</v>
      </c>
    </row>
    <row r="16" spans="2:19">
      <c r="B16" s="3198">
        <v>14</v>
      </c>
      <c r="C16" s="3193" t="s">
        <v>3022</v>
      </c>
      <c r="D16" s="3193">
        <f t="shared" si="0"/>
        <v>8128.57</v>
      </c>
      <c r="E16" s="3193">
        <f t="shared" si="1"/>
        <v>5461.5</v>
      </c>
      <c r="F16" s="3193">
        <v>5461.5</v>
      </c>
      <c r="G16" s="3193"/>
      <c r="H16" s="3193"/>
      <c r="I16" s="3193"/>
      <c r="J16" s="3193"/>
      <c r="K16" s="3193"/>
      <c r="L16" s="3193">
        <f t="shared" si="2"/>
        <v>2667.0699999999997</v>
      </c>
      <c r="M16" s="3193">
        <v>1288.52</v>
      </c>
      <c r="N16" s="3193"/>
      <c r="O16" s="3193">
        <v>1378.55</v>
      </c>
      <c r="P16" s="3193"/>
      <c r="Q16" s="3193">
        <v>4507.37</v>
      </c>
      <c r="R16" s="3192">
        <v>6</v>
      </c>
    </row>
    <row r="17" spans="2:18">
      <c r="B17" s="3198">
        <v>15</v>
      </c>
      <c r="C17" s="3193" t="s">
        <v>3023</v>
      </c>
      <c r="D17" s="3193">
        <f t="shared" si="0"/>
        <v>6540.0499999999993</v>
      </c>
      <c r="E17" s="3193">
        <f t="shared" si="1"/>
        <v>4401.03</v>
      </c>
      <c r="F17" s="3193">
        <v>4401.03</v>
      </c>
      <c r="G17" s="3193"/>
      <c r="H17" s="3193"/>
      <c r="I17" s="3193"/>
      <c r="J17" s="3193"/>
      <c r="K17" s="3193"/>
      <c r="L17" s="3193">
        <f t="shared" si="2"/>
        <v>2139.02</v>
      </c>
      <c r="M17" s="3193">
        <v>1064.05</v>
      </c>
      <c r="N17" s="3193"/>
      <c r="O17" s="3193">
        <v>1074.97</v>
      </c>
      <c r="P17" s="3193"/>
      <c r="Q17" s="3193">
        <v>3645.77</v>
      </c>
      <c r="R17" s="3192">
        <v>6</v>
      </c>
    </row>
    <row r="18" spans="2:18">
      <c r="B18" s="3198">
        <v>16</v>
      </c>
      <c r="C18" s="3193" t="s">
        <v>3024</v>
      </c>
      <c r="D18" s="3193">
        <f t="shared" si="0"/>
        <v>8522.1899999999987</v>
      </c>
      <c r="E18" s="3193">
        <f t="shared" si="1"/>
        <v>5816.41</v>
      </c>
      <c r="F18" s="3193">
        <v>5816.41</v>
      </c>
      <c r="G18" s="3193"/>
      <c r="H18" s="3193"/>
      <c r="I18" s="3193"/>
      <c r="J18" s="3193"/>
      <c r="K18" s="3193"/>
      <c r="L18" s="3193">
        <f t="shared" si="2"/>
        <v>2705.7799999999997</v>
      </c>
      <c r="M18" s="3193">
        <v>1410.52</v>
      </c>
      <c r="N18" s="3193"/>
      <c r="O18" s="3193">
        <v>1295.26</v>
      </c>
      <c r="P18" s="3193"/>
      <c r="Q18" s="3193"/>
      <c r="R18" s="3192">
        <v>6</v>
      </c>
    </row>
    <row r="19" spans="2:18">
      <c r="B19" s="3198">
        <v>17</v>
      </c>
      <c r="C19" s="3193" t="s">
        <v>3025</v>
      </c>
      <c r="D19" s="3193">
        <f t="shared" si="0"/>
        <v>4335.25</v>
      </c>
      <c r="E19" s="3193">
        <f t="shared" si="1"/>
        <v>1877.66</v>
      </c>
      <c r="F19" s="3193">
        <v>1877.66</v>
      </c>
      <c r="G19" s="3193"/>
      <c r="H19" s="3193"/>
      <c r="I19" s="3193"/>
      <c r="J19" s="3193"/>
      <c r="K19" s="3193"/>
      <c r="L19" s="3193">
        <f t="shared" si="2"/>
        <v>2457.59</v>
      </c>
      <c r="M19" s="3193">
        <v>1464.72</v>
      </c>
      <c r="N19" s="3193"/>
      <c r="O19" s="3193">
        <v>992.87</v>
      </c>
      <c r="P19" s="3193"/>
      <c r="Q19" s="3193"/>
      <c r="R19" s="3192">
        <v>4</v>
      </c>
    </row>
    <row r="20" spans="2:18">
      <c r="B20" s="3198">
        <v>18</v>
      </c>
      <c r="C20" s="3193" t="s">
        <v>3026</v>
      </c>
      <c r="D20" s="3193">
        <f t="shared" si="0"/>
        <v>3255.17</v>
      </c>
      <c r="E20" s="3193">
        <f t="shared" si="1"/>
        <v>1410.79</v>
      </c>
      <c r="F20" s="3193">
        <v>1410.79</v>
      </c>
      <c r="G20" s="3193"/>
      <c r="H20" s="3193"/>
      <c r="I20" s="3193"/>
      <c r="J20" s="3193"/>
      <c r="K20" s="3193"/>
      <c r="L20" s="3193">
        <f t="shared" si="2"/>
        <v>1844.3799999999999</v>
      </c>
      <c r="M20" s="3193">
        <v>1098.0899999999999</v>
      </c>
      <c r="N20" s="3193"/>
      <c r="O20" s="3193">
        <v>746.29</v>
      </c>
      <c r="P20" s="3193"/>
      <c r="Q20" s="3193"/>
      <c r="R20" s="3192">
        <v>4</v>
      </c>
    </row>
    <row r="21" spans="2:18">
      <c r="B21" s="3198">
        <v>19</v>
      </c>
      <c r="C21" s="3193" t="s">
        <v>3027</v>
      </c>
      <c r="D21" s="3193">
        <f t="shared" si="0"/>
        <v>3255.17</v>
      </c>
      <c r="E21" s="3193">
        <f t="shared" si="1"/>
        <v>1410.79</v>
      </c>
      <c r="F21" s="3193">
        <v>1410.79</v>
      </c>
      <c r="G21" s="3193"/>
      <c r="H21" s="3193"/>
      <c r="I21" s="3193"/>
      <c r="J21" s="3193"/>
      <c r="K21" s="3193"/>
      <c r="L21" s="3193">
        <f t="shared" si="2"/>
        <v>1844.3799999999999</v>
      </c>
      <c r="M21" s="3193">
        <v>1098.0899999999999</v>
      </c>
      <c r="N21" s="3193"/>
      <c r="O21" s="3193">
        <v>746.29</v>
      </c>
      <c r="P21" s="3193"/>
      <c r="Q21" s="3193"/>
      <c r="R21" s="3192">
        <v>4</v>
      </c>
    </row>
    <row r="22" spans="2:18">
      <c r="B22" s="3198">
        <v>20</v>
      </c>
      <c r="C22" s="3193" t="s">
        <v>3028</v>
      </c>
      <c r="D22" s="3193">
        <f t="shared" si="0"/>
        <v>4335.25</v>
      </c>
      <c r="E22" s="3193">
        <f t="shared" si="1"/>
        <v>1877.66</v>
      </c>
      <c r="F22" s="3193">
        <v>1877.66</v>
      </c>
      <c r="G22" s="3193"/>
      <c r="H22" s="3193"/>
      <c r="I22" s="3193"/>
      <c r="J22" s="3193"/>
      <c r="K22" s="3193"/>
      <c r="L22" s="3193">
        <f t="shared" si="2"/>
        <v>2457.59</v>
      </c>
      <c r="M22" s="3193">
        <v>1464.72</v>
      </c>
      <c r="N22" s="3193"/>
      <c r="O22" s="3193">
        <v>992.87</v>
      </c>
      <c r="P22" s="3193"/>
      <c r="Q22" s="3193"/>
      <c r="R22" s="3192">
        <v>4</v>
      </c>
    </row>
    <row r="23" spans="2:18">
      <c r="B23" s="3198">
        <v>21</v>
      </c>
      <c r="C23" s="3193" t="s">
        <v>3029</v>
      </c>
      <c r="D23" s="3193">
        <f t="shared" si="0"/>
        <v>4987.71</v>
      </c>
      <c r="E23" s="3193">
        <f t="shared" si="1"/>
        <v>3352.58</v>
      </c>
      <c r="F23" s="3193">
        <v>3352.58</v>
      </c>
      <c r="G23" s="3193"/>
      <c r="H23" s="3193"/>
      <c r="I23" s="3193"/>
      <c r="J23" s="3193"/>
      <c r="K23" s="3193"/>
      <c r="L23" s="3193">
        <f t="shared" si="2"/>
        <v>1635.13</v>
      </c>
      <c r="M23" s="3193">
        <v>826.19</v>
      </c>
      <c r="N23" s="3193"/>
      <c r="O23" s="3193">
        <v>808.94</v>
      </c>
      <c r="P23" s="3193"/>
      <c r="Q23" s="3193">
        <v>2776.12</v>
      </c>
      <c r="R23" s="3192">
        <v>6</v>
      </c>
    </row>
    <row r="24" spans="2:18">
      <c r="B24" s="3198">
        <v>22</v>
      </c>
      <c r="C24" s="3193" t="s">
        <v>3030</v>
      </c>
      <c r="D24" s="3193">
        <f t="shared" si="0"/>
        <v>8573</v>
      </c>
      <c r="E24" s="3193">
        <f t="shared" si="1"/>
        <v>5857.15</v>
      </c>
      <c r="F24" s="3193">
        <v>5857.15</v>
      </c>
      <c r="G24" s="3193"/>
      <c r="H24" s="3193"/>
      <c r="I24" s="3193"/>
      <c r="J24" s="3193"/>
      <c r="K24" s="3193"/>
      <c r="L24" s="3193">
        <f t="shared" si="2"/>
        <v>2715.85</v>
      </c>
      <c r="M24" s="3193">
        <v>1410.52</v>
      </c>
      <c r="N24" s="3193"/>
      <c r="O24" s="3193">
        <v>1305.33</v>
      </c>
      <c r="P24" s="3193"/>
      <c r="Q24" s="3193">
        <v>3233.43</v>
      </c>
      <c r="R24" s="3192">
        <v>6</v>
      </c>
    </row>
    <row r="25" spans="2:18">
      <c r="B25" s="3198">
        <v>23</v>
      </c>
      <c r="C25" s="3193" t="s">
        <v>3031</v>
      </c>
      <c r="D25" s="3193">
        <f t="shared" si="0"/>
        <v>5476.2000000000007</v>
      </c>
      <c r="E25" s="3193">
        <f t="shared" si="1"/>
        <v>2352.98</v>
      </c>
      <c r="F25" s="3193">
        <v>2352.98</v>
      </c>
      <c r="G25" s="3193"/>
      <c r="H25" s="3193"/>
      <c r="I25" s="3193"/>
      <c r="J25" s="3193"/>
      <c r="K25" s="3193"/>
      <c r="L25" s="3193">
        <f t="shared" si="2"/>
        <v>3123.2200000000003</v>
      </c>
      <c r="M25" s="3193">
        <v>1870.48</v>
      </c>
      <c r="N25" s="3193"/>
      <c r="O25" s="3193">
        <v>1252.74</v>
      </c>
      <c r="P25" s="3193"/>
      <c r="Q25" s="3193"/>
      <c r="R25" s="3192">
        <v>4</v>
      </c>
    </row>
    <row r="26" spans="2:18">
      <c r="B26" s="3198">
        <v>24</v>
      </c>
      <c r="C26" s="3193" t="s">
        <v>3046</v>
      </c>
      <c r="D26" s="3193">
        <f t="shared" si="0"/>
        <v>69.760000000000005</v>
      </c>
      <c r="E26" s="3193">
        <f t="shared" si="1"/>
        <v>69.760000000000005</v>
      </c>
      <c r="F26" s="3193"/>
      <c r="G26" s="3193"/>
      <c r="H26" s="3193">
        <v>69.760000000000005</v>
      </c>
      <c r="I26" s="3193"/>
      <c r="J26" s="3193"/>
      <c r="K26" s="3193"/>
      <c r="L26" s="3193">
        <f t="shared" si="2"/>
        <v>0</v>
      </c>
      <c r="M26" s="3193"/>
      <c r="N26" s="3193"/>
      <c r="O26" s="3193"/>
      <c r="P26" s="3193"/>
      <c r="Q26" s="3193"/>
    </row>
    <row r="27" spans="2:18">
      <c r="B27" s="3198">
        <v>25</v>
      </c>
      <c r="C27" s="3193" t="s">
        <v>3048</v>
      </c>
      <c r="D27" s="3193">
        <f t="shared" si="0"/>
        <v>1134.56</v>
      </c>
      <c r="E27" s="3193">
        <f t="shared" si="1"/>
        <v>1134.56</v>
      </c>
      <c r="F27" s="3193"/>
      <c r="G27" s="3193">
        <v>1066.56</v>
      </c>
      <c r="H27" s="3193">
        <v>8</v>
      </c>
      <c r="I27" s="3193"/>
      <c r="J27" s="3193"/>
      <c r="K27" s="3193">
        <v>60</v>
      </c>
      <c r="L27" s="3193">
        <f t="shared" si="2"/>
        <v>0</v>
      </c>
      <c r="M27" s="3193"/>
      <c r="N27" s="3193"/>
      <c r="O27" s="3193"/>
      <c r="P27" s="3193"/>
      <c r="Q27" s="3193"/>
    </row>
    <row r="28" spans="2:18">
      <c r="B28" s="3198">
        <v>26</v>
      </c>
      <c r="C28" s="3193" t="s">
        <v>3050</v>
      </c>
      <c r="D28" s="3193">
        <f t="shared" si="0"/>
        <v>153</v>
      </c>
      <c r="E28" s="3193">
        <f t="shared" si="1"/>
        <v>153</v>
      </c>
      <c r="F28" s="3193"/>
      <c r="G28" s="3193"/>
      <c r="H28" s="3193"/>
      <c r="I28" s="3193"/>
      <c r="J28" s="3193"/>
      <c r="K28" s="3193">
        <v>153</v>
      </c>
      <c r="L28" s="3193">
        <f t="shared" si="2"/>
        <v>0</v>
      </c>
      <c r="M28" s="3193"/>
      <c r="N28" s="3193"/>
      <c r="O28" s="3193"/>
      <c r="P28" s="3193"/>
      <c r="Q28" s="3193"/>
    </row>
    <row r="29" spans="2:18">
      <c r="B29" s="3198">
        <v>27</v>
      </c>
      <c r="C29" s="3193" t="s">
        <v>3051</v>
      </c>
      <c r="D29" s="3193">
        <f t="shared" si="0"/>
        <v>153</v>
      </c>
      <c r="E29" s="3193">
        <f t="shared" si="1"/>
        <v>153</v>
      </c>
      <c r="F29" s="3193"/>
      <c r="G29" s="3193"/>
      <c r="H29" s="3193"/>
      <c r="I29" s="3193"/>
      <c r="J29" s="3193"/>
      <c r="K29" s="3193">
        <v>153</v>
      </c>
      <c r="L29" s="3193">
        <f t="shared" si="2"/>
        <v>0</v>
      </c>
      <c r="M29" s="3193"/>
      <c r="N29" s="3193"/>
      <c r="O29" s="3193"/>
      <c r="P29" s="3193"/>
      <c r="Q29" s="3193"/>
    </row>
    <row r="30" spans="2:18">
      <c r="B30" s="3198">
        <v>28</v>
      </c>
      <c r="C30" s="3193" t="s">
        <v>3052</v>
      </c>
      <c r="D30" s="3193">
        <f t="shared" si="0"/>
        <v>189</v>
      </c>
      <c r="E30" s="3193">
        <f t="shared" si="1"/>
        <v>189</v>
      </c>
      <c r="F30" s="3193"/>
      <c r="G30" s="3193"/>
      <c r="H30" s="3193"/>
      <c r="I30" s="3193"/>
      <c r="J30" s="3193"/>
      <c r="K30" s="3193">
        <v>189</v>
      </c>
      <c r="L30" s="3193">
        <f t="shared" si="2"/>
        <v>0</v>
      </c>
      <c r="M30" s="3193"/>
      <c r="N30" s="3193"/>
      <c r="O30" s="3193"/>
      <c r="P30" s="3193"/>
      <c r="Q30" s="3193"/>
    </row>
    <row r="31" spans="2:18">
      <c r="B31" s="3198">
        <v>29</v>
      </c>
      <c r="C31" s="3193" t="s">
        <v>3053</v>
      </c>
      <c r="D31" s="3193">
        <f t="shared" si="0"/>
        <v>35070.69</v>
      </c>
      <c r="E31" s="3193">
        <f t="shared" si="1"/>
        <v>20</v>
      </c>
      <c r="F31" s="3193"/>
      <c r="G31" s="3193"/>
      <c r="H31" s="3193"/>
      <c r="I31" s="3193"/>
      <c r="J31" s="3193"/>
      <c r="K31" s="3193">
        <v>20</v>
      </c>
      <c r="L31" s="3193">
        <f t="shared" si="2"/>
        <v>35050.69</v>
      </c>
      <c r="M31" s="3193"/>
      <c r="N31" s="3193">
        <f>35050.69-P31</f>
        <v>27013.690000000002</v>
      </c>
      <c r="O31" s="3193"/>
      <c r="P31" s="3193">
        <f>8037</f>
        <v>8037</v>
      </c>
      <c r="Q31" s="3193"/>
    </row>
    <row r="32" spans="2:18">
      <c r="B32" s="3198">
        <v>30</v>
      </c>
      <c r="C32" s="3195" t="s">
        <v>3055</v>
      </c>
      <c r="D32" s="3193">
        <f t="shared" si="0"/>
        <v>115</v>
      </c>
      <c r="E32" s="3193">
        <f t="shared" si="1"/>
        <v>115</v>
      </c>
      <c r="F32" s="3193"/>
      <c r="G32" s="3193"/>
      <c r="H32" s="3193"/>
      <c r="I32" s="3193"/>
      <c r="J32" s="3193">
        <v>115</v>
      </c>
      <c r="K32" s="3193"/>
      <c r="L32" s="3193"/>
      <c r="M32" s="3193"/>
      <c r="N32" s="3193"/>
      <c r="O32" s="3193"/>
      <c r="P32" s="3193"/>
      <c r="Q32" s="3193"/>
    </row>
    <row r="33" spans="2:18" ht="14.25" customHeight="1">
      <c r="B33" s="3198"/>
      <c r="C33" s="3199" t="s">
        <v>3062</v>
      </c>
      <c r="D33" s="3200">
        <f>SUM(D3:D32)</f>
        <v>190129.63999999998</v>
      </c>
      <c r="E33" s="3200">
        <f t="shared" ref="E33:Q33" si="3">SUM(E3:E32)</f>
        <v>97395.64</v>
      </c>
      <c r="F33" s="3200">
        <f t="shared" si="3"/>
        <v>95475.32</v>
      </c>
      <c r="G33" s="3200">
        <f t="shared" si="3"/>
        <v>1066.56</v>
      </c>
      <c r="H33" s="3200">
        <f t="shared" si="3"/>
        <v>77.760000000000005</v>
      </c>
      <c r="I33" s="3200">
        <f t="shared" si="3"/>
        <v>0</v>
      </c>
      <c r="J33" s="3200">
        <f t="shared" si="3"/>
        <v>141</v>
      </c>
      <c r="K33" s="3200">
        <f t="shared" si="3"/>
        <v>635</v>
      </c>
      <c r="L33" s="3200">
        <f t="shared" si="3"/>
        <v>92733.999999999985</v>
      </c>
      <c r="M33" s="3200">
        <f t="shared" si="3"/>
        <v>29834.269999999997</v>
      </c>
      <c r="N33" s="3200">
        <f t="shared" si="3"/>
        <v>27013.690000000002</v>
      </c>
      <c r="O33" s="3200">
        <f t="shared" si="3"/>
        <v>27849.040000000005</v>
      </c>
      <c r="P33" s="3200">
        <f t="shared" si="3"/>
        <v>8037</v>
      </c>
      <c r="Q33" s="3200">
        <f t="shared" si="3"/>
        <v>30424.589999999997</v>
      </c>
    </row>
    <row r="34" spans="2:18">
      <c r="B34" s="3198">
        <v>1</v>
      </c>
      <c r="C34" s="3193" t="s">
        <v>3032</v>
      </c>
      <c r="D34" s="3193">
        <f>SUM(E34,L34)</f>
        <v>7899.44</v>
      </c>
      <c r="E34" s="3193">
        <f>SUM(F34:K34)</f>
        <v>5282.69</v>
      </c>
      <c r="F34" s="3193">
        <v>5282.69</v>
      </c>
      <c r="G34" s="3193"/>
      <c r="H34" s="3193"/>
      <c r="I34" s="3193"/>
      <c r="J34" s="3193"/>
      <c r="K34" s="3193"/>
      <c r="L34" s="3193">
        <f t="shared" si="2"/>
        <v>2616.75</v>
      </c>
      <c r="M34" s="3193">
        <v>1209.7</v>
      </c>
      <c r="N34" s="3193"/>
      <c r="O34" s="3193">
        <v>1407.05</v>
      </c>
      <c r="P34" s="3193"/>
      <c r="Q34" s="3193">
        <v>4398.17</v>
      </c>
      <c r="R34" s="3192">
        <v>6</v>
      </c>
    </row>
    <row r="35" spans="2:18">
      <c r="B35" s="3198">
        <v>2</v>
      </c>
      <c r="C35" s="3193" t="s">
        <v>3033</v>
      </c>
      <c r="D35" s="3193">
        <f t="shared" si="0"/>
        <v>6337.7</v>
      </c>
      <c r="E35" s="3193">
        <f t="shared" si="1"/>
        <v>4219.41</v>
      </c>
      <c r="F35" s="3193">
        <v>4219.41</v>
      </c>
      <c r="G35" s="3193"/>
      <c r="H35" s="3193"/>
      <c r="I35" s="3193"/>
      <c r="J35" s="3193"/>
      <c r="K35" s="3193"/>
      <c r="L35" s="3193">
        <f t="shared" si="2"/>
        <v>2118.29</v>
      </c>
      <c r="M35" s="3193">
        <v>963.68</v>
      </c>
      <c r="N35" s="3193"/>
      <c r="O35" s="3193">
        <v>1154.6099999999999</v>
      </c>
      <c r="P35" s="3193"/>
      <c r="Q35" s="3193">
        <v>3515.91</v>
      </c>
      <c r="R35" s="3192">
        <v>6</v>
      </c>
    </row>
    <row r="36" spans="2:18">
      <c r="B36" s="3198">
        <v>3</v>
      </c>
      <c r="C36" s="3193" t="s">
        <v>3034</v>
      </c>
      <c r="D36" s="3193">
        <f t="shared" si="0"/>
        <v>2822.45</v>
      </c>
      <c r="E36" s="3193">
        <f t="shared" si="1"/>
        <v>1720.42</v>
      </c>
      <c r="F36" s="3193">
        <v>1720.42</v>
      </c>
      <c r="G36" s="3193"/>
      <c r="H36" s="3193"/>
      <c r="I36" s="3193"/>
      <c r="J36" s="3193"/>
      <c r="K36" s="3193"/>
      <c r="L36" s="3193">
        <f t="shared" si="2"/>
        <v>1102.03</v>
      </c>
      <c r="M36" s="3193">
        <v>584.25</v>
      </c>
      <c r="N36" s="3193"/>
      <c r="O36" s="3193">
        <v>517.78</v>
      </c>
      <c r="P36" s="3193"/>
      <c r="Q36" s="3193">
        <v>1544.56</v>
      </c>
      <c r="R36" s="3192">
        <v>5</v>
      </c>
    </row>
    <row r="37" spans="2:18">
      <c r="B37" s="3198">
        <v>4</v>
      </c>
      <c r="C37" s="3193" t="s">
        <v>3035</v>
      </c>
      <c r="D37" s="3193">
        <f t="shared" si="0"/>
        <v>3227.05</v>
      </c>
      <c r="E37" s="3193">
        <f t="shared" si="1"/>
        <v>2125.02</v>
      </c>
      <c r="F37" s="3193">
        <v>2125.02</v>
      </c>
      <c r="G37" s="3193"/>
      <c r="H37" s="3193"/>
      <c r="I37" s="3193"/>
      <c r="J37" s="3193"/>
      <c r="K37" s="3193"/>
      <c r="L37" s="3193">
        <f t="shared" si="2"/>
        <v>1102.03</v>
      </c>
      <c r="M37" s="3193">
        <v>584.25</v>
      </c>
      <c r="N37" s="3193"/>
      <c r="O37" s="3193">
        <v>517.78</v>
      </c>
      <c r="P37" s="3193"/>
      <c r="Q37" s="3193">
        <v>1730.58</v>
      </c>
      <c r="R37" s="3192">
        <v>6</v>
      </c>
    </row>
    <row r="38" spans="2:18">
      <c r="B38" s="3198">
        <v>5</v>
      </c>
      <c r="C38" s="3193" t="s">
        <v>3036</v>
      </c>
      <c r="D38" s="3193">
        <f t="shared" si="0"/>
        <v>2174.2800000000002</v>
      </c>
      <c r="E38" s="3193">
        <f t="shared" si="1"/>
        <v>943.12</v>
      </c>
      <c r="F38" s="3193">
        <v>943.12</v>
      </c>
      <c r="G38" s="3193"/>
      <c r="H38" s="3193"/>
      <c r="I38" s="3193"/>
      <c r="J38" s="3193"/>
      <c r="K38" s="3193"/>
      <c r="L38" s="3193">
        <f t="shared" si="2"/>
        <v>1231.1600000000001</v>
      </c>
      <c r="M38" s="3193">
        <v>731.46</v>
      </c>
      <c r="N38" s="3193"/>
      <c r="O38" s="3193">
        <v>499.7</v>
      </c>
      <c r="P38" s="3193"/>
      <c r="Q38" s="3193"/>
      <c r="R38" s="3192">
        <v>4</v>
      </c>
    </row>
    <row r="39" spans="2:18">
      <c r="B39" s="3198">
        <v>6</v>
      </c>
      <c r="C39" s="3193" t="s">
        <v>3037</v>
      </c>
      <c r="D39" s="3193">
        <f t="shared" si="0"/>
        <v>2174.2800000000002</v>
      </c>
      <c r="E39" s="3193">
        <f t="shared" si="1"/>
        <v>943.12</v>
      </c>
      <c r="F39" s="3193">
        <v>943.12</v>
      </c>
      <c r="G39" s="3193"/>
      <c r="H39" s="3193"/>
      <c r="I39" s="3193"/>
      <c r="J39" s="3193"/>
      <c r="K39" s="3193"/>
      <c r="L39" s="3193">
        <f t="shared" si="2"/>
        <v>1231.1600000000001</v>
      </c>
      <c r="M39" s="3193">
        <v>731.46</v>
      </c>
      <c r="N39" s="3193"/>
      <c r="O39" s="3193">
        <v>499.7</v>
      </c>
      <c r="P39" s="3193"/>
      <c r="Q39" s="3193"/>
      <c r="R39" s="3192">
        <v>4</v>
      </c>
    </row>
    <row r="40" spans="2:18">
      <c r="B40" s="3198">
        <v>7</v>
      </c>
      <c r="C40" s="3193" t="s">
        <v>3038</v>
      </c>
      <c r="D40" s="3193">
        <f t="shared" si="0"/>
        <v>6909.13</v>
      </c>
      <c r="E40" s="3193">
        <f t="shared" si="1"/>
        <v>4756.68</v>
      </c>
      <c r="F40" s="3193">
        <v>4756.68</v>
      </c>
      <c r="G40" s="3193"/>
      <c r="H40" s="3193"/>
      <c r="I40" s="3193"/>
      <c r="J40" s="3193"/>
      <c r="K40" s="3193"/>
      <c r="L40" s="3193">
        <f t="shared" si="2"/>
        <v>2152.4499999999998</v>
      </c>
      <c r="M40" s="3193">
        <v>1035.24</v>
      </c>
      <c r="N40" s="3193"/>
      <c r="O40" s="3193">
        <v>1117.21</v>
      </c>
      <c r="P40" s="3193"/>
      <c r="Q40" s="3193">
        <v>3967.98</v>
      </c>
      <c r="R40" s="3192">
        <v>6</v>
      </c>
    </row>
    <row r="41" spans="2:18">
      <c r="B41" s="3198">
        <v>8</v>
      </c>
      <c r="C41" s="3193" t="s">
        <v>3039</v>
      </c>
      <c r="D41" s="3193">
        <f t="shared" si="0"/>
        <v>6890.2000000000007</v>
      </c>
      <c r="E41" s="3193">
        <f t="shared" si="1"/>
        <v>4736.3100000000004</v>
      </c>
      <c r="F41" s="3193">
        <v>4736.3100000000004</v>
      </c>
      <c r="G41" s="3193"/>
      <c r="H41" s="3193"/>
      <c r="I41" s="3193"/>
      <c r="J41" s="3193"/>
      <c r="K41" s="3193"/>
      <c r="L41" s="3193">
        <f t="shared" si="2"/>
        <v>2153.8900000000003</v>
      </c>
      <c r="M41" s="3193">
        <v>1035.24</v>
      </c>
      <c r="N41" s="3193"/>
      <c r="O41" s="3193">
        <v>1118.6500000000001</v>
      </c>
      <c r="P41" s="3193"/>
      <c r="Q41" s="3193">
        <v>3947.16</v>
      </c>
    </row>
    <row r="42" spans="2:18">
      <c r="B42" s="3198">
        <v>9</v>
      </c>
      <c r="C42" s="3193" t="s">
        <v>3040</v>
      </c>
      <c r="D42" s="3193">
        <f t="shared" si="0"/>
        <v>2174.2800000000002</v>
      </c>
      <c r="E42" s="3193">
        <f t="shared" si="1"/>
        <v>943.12</v>
      </c>
      <c r="F42" s="3193">
        <v>943.12</v>
      </c>
      <c r="G42" s="3193"/>
      <c r="H42" s="3193"/>
      <c r="I42" s="3193"/>
      <c r="J42" s="3193"/>
      <c r="K42" s="3193"/>
      <c r="L42" s="3193">
        <f t="shared" si="2"/>
        <v>1231.1600000000001</v>
      </c>
      <c r="M42" s="3193">
        <v>731.46</v>
      </c>
      <c r="N42" s="3193"/>
      <c r="O42" s="3193">
        <v>499.7</v>
      </c>
      <c r="P42" s="3193"/>
      <c r="Q42" s="3193"/>
    </row>
    <row r="43" spans="2:18">
      <c r="B43" s="3198">
        <v>10</v>
      </c>
      <c r="C43" s="3193" t="s">
        <v>3041</v>
      </c>
      <c r="D43" s="3193">
        <f t="shared" si="0"/>
        <v>2174.2800000000002</v>
      </c>
      <c r="E43" s="3193">
        <f t="shared" si="1"/>
        <v>943.12</v>
      </c>
      <c r="F43" s="3193">
        <v>943.12</v>
      </c>
      <c r="G43" s="3193"/>
      <c r="H43" s="3193"/>
      <c r="I43" s="3193"/>
      <c r="J43" s="3193"/>
      <c r="K43" s="3193"/>
      <c r="L43" s="3193">
        <f t="shared" si="2"/>
        <v>1231.1600000000001</v>
      </c>
      <c r="M43" s="3193">
        <v>731.46</v>
      </c>
      <c r="N43" s="3193"/>
      <c r="O43" s="3193">
        <v>499.7</v>
      </c>
      <c r="P43" s="3193"/>
      <c r="Q43" s="3193"/>
    </row>
    <row r="44" spans="2:18">
      <c r="B44" s="3198">
        <v>11</v>
      </c>
      <c r="C44" s="3193" t="s">
        <v>3042</v>
      </c>
      <c r="D44" s="3193">
        <f t="shared" si="0"/>
        <v>2178.12</v>
      </c>
      <c r="E44" s="3193">
        <f t="shared" si="1"/>
        <v>943.12</v>
      </c>
      <c r="F44" s="3193">
        <v>943.12</v>
      </c>
      <c r="G44" s="3193"/>
      <c r="H44" s="3193"/>
      <c r="I44" s="3193"/>
      <c r="J44" s="3193"/>
      <c r="K44" s="3193"/>
      <c r="L44" s="3193">
        <f t="shared" si="2"/>
        <v>1235</v>
      </c>
      <c r="M44" s="3193">
        <v>732.76</v>
      </c>
      <c r="N44" s="3193"/>
      <c r="O44" s="3193">
        <v>502.24</v>
      </c>
      <c r="P44" s="3193"/>
      <c r="Q44" s="3193"/>
    </row>
    <row r="45" spans="2:18">
      <c r="B45" s="3198">
        <v>12</v>
      </c>
      <c r="C45" s="3193" t="s">
        <v>3043</v>
      </c>
      <c r="D45" s="3193">
        <f t="shared" si="0"/>
        <v>2174.2800000000002</v>
      </c>
      <c r="E45" s="3193">
        <f t="shared" si="1"/>
        <v>943.12</v>
      </c>
      <c r="F45" s="3193">
        <v>943.12</v>
      </c>
      <c r="G45" s="3193"/>
      <c r="H45" s="3193"/>
      <c r="I45" s="3193"/>
      <c r="J45" s="3193"/>
      <c r="K45" s="3193"/>
      <c r="L45" s="3193">
        <f t="shared" si="2"/>
        <v>1231.1600000000001</v>
      </c>
      <c r="M45" s="3193">
        <v>731.46</v>
      </c>
      <c r="N45" s="3193"/>
      <c r="O45" s="3193">
        <v>499.7</v>
      </c>
      <c r="P45" s="3193"/>
      <c r="Q45" s="3193"/>
    </row>
    <row r="46" spans="2:18">
      <c r="B46" s="3198">
        <v>13</v>
      </c>
      <c r="C46" s="3193" t="s">
        <v>3044</v>
      </c>
      <c r="D46" s="3193">
        <f t="shared" si="0"/>
        <v>6933.77</v>
      </c>
      <c r="E46" s="3193">
        <f t="shared" si="1"/>
        <v>4736.3100000000004</v>
      </c>
      <c r="F46" s="3193">
        <v>4736.3100000000004</v>
      </c>
      <c r="G46" s="3193"/>
      <c r="H46" s="3193"/>
      <c r="I46" s="3193"/>
      <c r="J46" s="3193"/>
      <c r="K46" s="3193"/>
      <c r="L46" s="3193">
        <f t="shared" si="2"/>
        <v>2197.46</v>
      </c>
      <c r="M46" s="3193">
        <v>1164.5</v>
      </c>
      <c r="N46" s="3193"/>
      <c r="O46" s="3193">
        <v>1032.96</v>
      </c>
      <c r="P46" s="3193"/>
      <c r="Q46" s="3193">
        <v>3947.16</v>
      </c>
    </row>
    <row r="47" spans="2:18">
      <c r="B47" s="3198">
        <v>14</v>
      </c>
      <c r="C47" s="3193" t="s">
        <v>3045</v>
      </c>
      <c r="D47" s="3193">
        <f t="shared" si="0"/>
        <v>2174.2800000000002</v>
      </c>
      <c r="E47" s="3193">
        <f t="shared" si="1"/>
        <v>943.12</v>
      </c>
      <c r="F47" s="3193">
        <v>943.12</v>
      </c>
      <c r="G47" s="3193"/>
      <c r="H47" s="3193"/>
      <c r="I47" s="3193"/>
      <c r="J47" s="3193"/>
      <c r="K47" s="3193"/>
      <c r="L47" s="3193">
        <f t="shared" si="2"/>
        <v>1231.1600000000001</v>
      </c>
      <c r="M47" s="3193">
        <v>731.46</v>
      </c>
      <c r="N47" s="3193"/>
      <c r="O47" s="3193">
        <v>499.7</v>
      </c>
      <c r="P47" s="3193"/>
      <c r="Q47" s="3193"/>
    </row>
    <row r="48" spans="2:18">
      <c r="B48" s="3198">
        <v>15</v>
      </c>
      <c r="C48" s="3193" t="s">
        <v>3056</v>
      </c>
      <c r="D48" s="3193">
        <f t="shared" si="0"/>
        <v>1851.68</v>
      </c>
      <c r="E48" s="3193">
        <f t="shared" si="1"/>
        <v>1851.68</v>
      </c>
      <c r="F48" s="3193"/>
      <c r="G48" s="3193">
        <v>1218.44</v>
      </c>
      <c r="H48" s="3193">
        <f>280.24+120+8</f>
        <v>408.24</v>
      </c>
      <c r="I48" s="3193">
        <v>150</v>
      </c>
      <c r="J48" s="3193"/>
      <c r="K48" s="3193">
        <v>75</v>
      </c>
      <c r="L48" s="3193">
        <f t="shared" si="2"/>
        <v>0</v>
      </c>
      <c r="M48" s="3193"/>
      <c r="N48" s="3193"/>
      <c r="O48" s="3193"/>
      <c r="P48" s="3193"/>
      <c r="Q48" s="3193"/>
    </row>
    <row r="49" spans="2:17">
      <c r="B49" s="3198">
        <v>16</v>
      </c>
      <c r="C49" s="3193" t="s">
        <v>3058</v>
      </c>
      <c r="D49" s="3193">
        <f t="shared" si="0"/>
        <v>199</v>
      </c>
      <c r="E49" s="3193">
        <f t="shared" si="1"/>
        <v>199</v>
      </c>
      <c r="F49" s="3193"/>
      <c r="G49" s="3193"/>
      <c r="H49" s="3193"/>
      <c r="I49" s="3193"/>
      <c r="J49" s="3193"/>
      <c r="K49" s="3193">
        <v>199</v>
      </c>
      <c r="L49" s="3193">
        <f t="shared" si="2"/>
        <v>0</v>
      </c>
      <c r="M49" s="3193"/>
      <c r="N49" s="3193"/>
      <c r="O49" s="3193"/>
      <c r="P49" s="3193"/>
      <c r="Q49" s="3193"/>
    </row>
    <row r="50" spans="2:17">
      <c r="B50" s="3198">
        <v>17</v>
      </c>
      <c r="C50" s="3193" t="s">
        <v>3059</v>
      </c>
      <c r="D50" s="3193">
        <f t="shared" si="0"/>
        <v>13485.14</v>
      </c>
      <c r="E50" s="3193">
        <f t="shared" si="1"/>
        <v>0</v>
      </c>
      <c r="F50" s="3193"/>
      <c r="G50" s="3193"/>
      <c r="H50" s="3193"/>
      <c r="I50" s="3193"/>
      <c r="J50" s="3193"/>
      <c r="K50" s="3193"/>
      <c r="L50" s="3193">
        <f t="shared" si="2"/>
        <v>13485.14</v>
      </c>
      <c r="M50" s="3193"/>
      <c r="N50" s="3193">
        <f>13485.14-P50</f>
        <v>9639.14</v>
      </c>
      <c r="O50" s="3193"/>
      <c r="P50" s="3193">
        <v>3846</v>
      </c>
      <c r="Q50" s="3193"/>
    </row>
    <row r="51" spans="2:17">
      <c r="B51" s="3198">
        <v>18</v>
      </c>
      <c r="C51" s="3195" t="s">
        <v>3055</v>
      </c>
      <c r="D51" s="3193">
        <f t="shared" si="0"/>
        <v>50</v>
      </c>
      <c r="E51" s="3193">
        <f t="shared" si="1"/>
        <v>50</v>
      </c>
      <c r="F51" s="3193"/>
      <c r="G51" s="3193"/>
      <c r="H51" s="3193"/>
      <c r="I51" s="3193"/>
      <c r="J51" s="3193">
        <v>50</v>
      </c>
      <c r="K51" s="3193"/>
      <c r="L51" s="3193">
        <f t="shared" si="2"/>
        <v>0</v>
      </c>
      <c r="M51" s="3193"/>
      <c r="N51" s="3193"/>
      <c r="O51" s="3193"/>
      <c r="P51" s="3193"/>
      <c r="Q51" s="3193"/>
    </row>
    <row r="52" spans="2:17" ht="14.25" customHeight="1">
      <c r="B52" s="3198"/>
      <c r="C52" s="3199" t="s">
        <v>3061</v>
      </c>
      <c r="D52" s="3200">
        <f>SUM(D34:D51)</f>
        <v>71829.359999999986</v>
      </c>
      <c r="E52" s="3200">
        <f t="shared" ref="E52:Q52" si="4">SUM(E34:E51)</f>
        <v>36279.360000000001</v>
      </c>
      <c r="F52" s="3200">
        <f t="shared" si="4"/>
        <v>34178.68</v>
      </c>
      <c r="G52" s="3200">
        <f t="shared" si="4"/>
        <v>1218.44</v>
      </c>
      <c r="H52" s="3200">
        <f t="shared" si="4"/>
        <v>408.24</v>
      </c>
      <c r="I52" s="3200">
        <f t="shared" si="4"/>
        <v>150</v>
      </c>
      <c r="J52" s="3200">
        <f t="shared" si="4"/>
        <v>50</v>
      </c>
      <c r="K52" s="3200">
        <f t="shared" si="4"/>
        <v>274</v>
      </c>
      <c r="L52" s="3200">
        <f t="shared" si="4"/>
        <v>35550</v>
      </c>
      <c r="M52" s="3200">
        <f t="shared" si="4"/>
        <v>11698.380000000001</v>
      </c>
      <c r="N52" s="3200">
        <f t="shared" si="4"/>
        <v>9639.14</v>
      </c>
      <c r="O52" s="3200">
        <f t="shared" si="4"/>
        <v>10366.48</v>
      </c>
      <c r="P52" s="3200">
        <f t="shared" si="4"/>
        <v>3846</v>
      </c>
      <c r="Q52" s="3200">
        <f t="shared" si="4"/>
        <v>23051.52</v>
      </c>
    </row>
    <row r="53" spans="2:17" s="3196" customFormat="1" ht="14.25" customHeight="1">
      <c r="B53" s="3201"/>
      <c r="C53" s="3202" t="s">
        <v>3060</v>
      </c>
      <c r="D53" s="3203">
        <f>SUM(D52,D33)</f>
        <v>261958.99999999997</v>
      </c>
      <c r="E53" s="3203">
        <f t="shared" ref="E53:Q53" si="5">SUM(E52,E33)</f>
        <v>133675</v>
      </c>
      <c r="F53" s="3203">
        <f t="shared" si="5"/>
        <v>129654</v>
      </c>
      <c r="G53" s="3203">
        <f t="shared" si="5"/>
        <v>2285</v>
      </c>
      <c r="H53" s="3203">
        <f t="shared" si="5"/>
        <v>486</v>
      </c>
      <c r="I53" s="3203">
        <f t="shared" si="5"/>
        <v>150</v>
      </c>
      <c r="J53" s="3203">
        <f t="shared" si="5"/>
        <v>191</v>
      </c>
      <c r="K53" s="3203">
        <f t="shared" si="5"/>
        <v>909</v>
      </c>
      <c r="L53" s="3203">
        <f t="shared" si="5"/>
        <v>128283.99999999999</v>
      </c>
      <c r="M53" s="3203">
        <f t="shared" si="5"/>
        <v>41532.649999999994</v>
      </c>
      <c r="N53" s="3203">
        <f t="shared" si="5"/>
        <v>36652.83</v>
      </c>
      <c r="O53" s="3203">
        <f t="shared" si="5"/>
        <v>38215.520000000004</v>
      </c>
      <c r="P53" s="3203">
        <f t="shared" si="5"/>
        <v>11883</v>
      </c>
      <c r="Q53" s="3203">
        <f t="shared" si="5"/>
        <v>53476.11</v>
      </c>
    </row>
    <row r="54" spans="2:17">
      <c r="D54" s="3192">
        <v>261959</v>
      </c>
      <c r="Q54" s="3192">
        <f>Q53/F53</f>
        <v>0.41245245036790229</v>
      </c>
    </row>
    <row r="55" spans="2:17">
      <c r="D55" s="3192">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R28" sqref="AR2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77734375" style="15" customWidth="1"/>
    <col min="10" max="10" width="9.44140625" style="15" customWidth="1"/>
    <col min="11" max="11" width="11" style="15" customWidth="1"/>
    <col min="12" max="12" width="9.44140625" style="15" customWidth="1"/>
    <col min="13" max="13" width="12.3320312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7" width="9.44140625" style="15" customWidth="1"/>
    <col min="38" max="38" width="11.109375" style="15" customWidth="1"/>
    <col min="39" max="39" width="9.44140625" style="15" customWidth="1"/>
    <col min="40" max="40" width="10.441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f>B18</f>
        <v>148860.29999999999</v>
      </c>
      <c r="B3" s="22">
        <f>IF(C3="否",G5-AT5,G5)</f>
        <v>429582.71</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164</v>
      </c>
      <c r="B5" s="987"/>
      <c r="C5" s="987"/>
      <c r="D5" s="994"/>
      <c r="E5" s="27" t="s">
        <v>1</v>
      </c>
      <c r="F5" s="27">
        <f>SUM(F13:F572)</f>
        <v>0</v>
      </c>
      <c r="G5" s="27">
        <f>SUM(G13:G572)</f>
        <v>429582.71</v>
      </c>
      <c r="H5" s="27">
        <f t="shared" ref="H5:AT5" si="0">SUM(H13:H641)</f>
        <v>388765.69</v>
      </c>
      <c r="I5" s="27">
        <f t="shared" si="0"/>
        <v>15204.960000000001</v>
      </c>
      <c r="J5" s="27">
        <f t="shared" si="0"/>
        <v>0</v>
      </c>
      <c r="K5" s="27">
        <f t="shared" si="0"/>
        <v>361153.70999999996</v>
      </c>
      <c r="L5" s="27">
        <f t="shared" si="0"/>
        <v>0</v>
      </c>
      <c r="M5" s="27">
        <f t="shared" si="0"/>
        <v>12407.02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40817.020000000004</v>
      </c>
      <c r="AD5" s="27">
        <f t="shared" si="0"/>
        <v>3684.81</v>
      </c>
      <c r="AE5" s="27">
        <f t="shared" si="0"/>
        <v>0</v>
      </c>
      <c r="AF5" s="27">
        <f t="shared" si="0"/>
        <v>798.63</v>
      </c>
      <c r="AG5" s="27">
        <f t="shared" si="0"/>
        <v>0</v>
      </c>
      <c r="AH5" s="27">
        <f t="shared" si="0"/>
        <v>0</v>
      </c>
      <c r="AI5" s="27">
        <f t="shared" si="0"/>
        <v>0</v>
      </c>
      <c r="AJ5" s="27">
        <f t="shared" si="0"/>
        <v>0</v>
      </c>
      <c r="AK5" s="27">
        <f t="shared" si="0"/>
        <v>0</v>
      </c>
      <c r="AL5" s="27">
        <f t="shared" si="0"/>
        <v>0</v>
      </c>
      <c r="AM5" s="27">
        <f t="shared" si="0"/>
        <v>0</v>
      </c>
      <c r="AN5" s="27">
        <f t="shared" si="0"/>
        <v>36333.58</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429582.71</v>
      </c>
      <c r="BA5" s="29">
        <f t="shared" si="1"/>
        <v>388765.69</v>
      </c>
      <c r="BB5" s="29">
        <f t="shared" si="1"/>
        <v>15204.960000000001</v>
      </c>
      <c r="BC5" s="29">
        <f t="shared" si="1"/>
        <v>361153.70999999996</v>
      </c>
      <c r="BD5" s="29">
        <f t="shared" si="1"/>
        <v>12407.02</v>
      </c>
      <c r="BE5" s="29">
        <f t="shared" si="1"/>
        <v>0</v>
      </c>
      <c r="BF5" s="29">
        <f t="shared" si="1"/>
        <v>0</v>
      </c>
      <c r="BG5" s="29">
        <f t="shared" si="1"/>
        <v>0</v>
      </c>
      <c r="BH5" s="29">
        <f t="shared" si="1"/>
        <v>0</v>
      </c>
      <c r="BI5" s="29">
        <f t="shared" si="1"/>
        <v>0</v>
      </c>
      <c r="BJ5" s="29">
        <f t="shared" si="1"/>
        <v>0</v>
      </c>
      <c r="BK5" s="29">
        <f t="shared" si="1"/>
        <v>0</v>
      </c>
      <c r="BL5" s="29">
        <f t="shared" si="1"/>
        <v>40817.020000000004</v>
      </c>
      <c r="BM5" s="29">
        <f t="shared" si="1"/>
        <v>3684.81</v>
      </c>
      <c r="BN5" s="29">
        <f t="shared" si="1"/>
        <v>798.63</v>
      </c>
      <c r="BO5" s="29">
        <f t="shared" si="1"/>
        <v>0</v>
      </c>
      <c r="BP5" s="29">
        <f t="shared" si="1"/>
        <v>0</v>
      </c>
      <c r="BQ5" s="29">
        <f t="shared" si="1"/>
        <v>0</v>
      </c>
      <c r="BR5" s="29">
        <f t="shared" si="1"/>
        <v>36333.58</v>
      </c>
      <c r="BS5" s="29">
        <f t="shared" si="1"/>
        <v>0</v>
      </c>
      <c r="BT5" s="30">
        <f t="shared" si="1"/>
        <v>0</v>
      </c>
    </row>
    <row r="6" spans="1:72" s="37" customFormat="1" ht="13.2">
      <c r="A6" s="26" t="s">
        <v>165</v>
      </c>
      <c r="B6" s="31"/>
      <c r="C6" s="31"/>
      <c r="D6" s="32"/>
      <c r="E6" s="27">
        <f>H6+AC6+AT6</f>
        <v>148860.29999999999</v>
      </c>
      <c r="F6" s="27" t="s">
        <v>1</v>
      </c>
      <c r="G6" s="27" t="s">
        <v>2</v>
      </c>
      <c r="H6" s="33">
        <f>SUMIF(I$12:AB$12,"总值",I6:AB6)</f>
        <v>134716.26999999999</v>
      </c>
      <c r="I6" s="27">
        <f t="shared" ref="I6:AB6" si="2">ROUND($A$3*I5/$B$3,2)</f>
        <v>5268.87</v>
      </c>
      <c r="J6" s="27">
        <f t="shared" si="2"/>
        <v>0</v>
      </c>
      <c r="K6" s="27">
        <f t="shared" si="2"/>
        <v>125148.08</v>
      </c>
      <c r="L6" s="27">
        <f t="shared" si="2"/>
        <v>0</v>
      </c>
      <c r="M6" s="27">
        <f t="shared" si="2"/>
        <v>4299.32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14144.03</v>
      </c>
      <c r="AD6" s="27">
        <f t="shared" ref="AD6:AS6" si="3">ROUND($A$3*AD5/$B$3,2)</f>
        <v>1276.8699999999999</v>
      </c>
      <c r="AE6" s="27">
        <f t="shared" si="3"/>
        <v>0</v>
      </c>
      <c r="AF6" s="27">
        <f t="shared" si="3"/>
        <v>276.74</v>
      </c>
      <c r="AG6" s="27">
        <f t="shared" si="3"/>
        <v>0</v>
      </c>
      <c r="AH6" s="27">
        <f t="shared" si="3"/>
        <v>0</v>
      </c>
      <c r="AI6" s="27">
        <f t="shared" si="3"/>
        <v>0</v>
      </c>
      <c r="AJ6" s="27">
        <f t="shared" si="3"/>
        <v>0</v>
      </c>
      <c r="AK6" s="27">
        <f t="shared" si="3"/>
        <v>0</v>
      </c>
      <c r="AL6" s="27">
        <f t="shared" si="3"/>
        <v>0</v>
      </c>
      <c r="AM6" s="27">
        <f t="shared" si="3"/>
        <v>0</v>
      </c>
      <c r="AN6" s="27">
        <f t="shared" si="3"/>
        <v>12590.42</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148860.29999999999</v>
      </c>
      <c r="AZ6" s="27" t="s">
        <v>3</v>
      </c>
      <c r="BA6" s="27">
        <f>ROUND($AY$6*BA5/$AZ$5,2)</f>
        <v>134716.26</v>
      </c>
      <c r="BB6" s="27">
        <f>ROUND($AY$6*BB5/$AZ$5,2)</f>
        <v>5268.87</v>
      </c>
      <c r="BC6" s="27">
        <f t="shared" ref="BC6:BH6" si="4">ROUND($AY$6*BC5/$AZ$5,2)</f>
        <v>125148.08</v>
      </c>
      <c r="BD6" s="27">
        <f t="shared" si="4"/>
        <v>4299.32</v>
      </c>
      <c r="BE6" s="27">
        <f t="shared" si="4"/>
        <v>0</v>
      </c>
      <c r="BF6" s="27">
        <f t="shared" si="4"/>
        <v>0</v>
      </c>
      <c r="BG6" s="27">
        <f t="shared" si="4"/>
        <v>0</v>
      </c>
      <c r="BH6" s="27">
        <f t="shared" si="4"/>
        <v>0</v>
      </c>
      <c r="BI6" s="27">
        <f t="shared" ref="BI6:BT6" si="5">ROUND($AY$6*BI5/$AZ$5,2)</f>
        <v>0</v>
      </c>
      <c r="BJ6" s="27">
        <f t="shared" si="5"/>
        <v>0</v>
      </c>
      <c r="BK6" s="27">
        <f t="shared" si="5"/>
        <v>0</v>
      </c>
      <c r="BL6" s="27">
        <f t="shared" si="5"/>
        <v>14144.04</v>
      </c>
      <c r="BM6" s="27">
        <f t="shared" si="5"/>
        <v>1276.8699999999999</v>
      </c>
      <c r="BN6" s="27">
        <f t="shared" si="5"/>
        <v>276.74</v>
      </c>
      <c r="BO6" s="27">
        <f t="shared" si="5"/>
        <v>0</v>
      </c>
      <c r="BP6" s="27">
        <f t="shared" si="5"/>
        <v>0</v>
      </c>
      <c r="BQ6" s="27">
        <f t="shared" si="5"/>
        <v>0</v>
      </c>
      <c r="BR6" s="27">
        <f t="shared" si="5"/>
        <v>12590.42</v>
      </c>
      <c r="BS6" s="27">
        <f t="shared" si="5"/>
        <v>0</v>
      </c>
      <c r="BT6" s="36">
        <f t="shared" si="5"/>
        <v>0</v>
      </c>
    </row>
    <row r="7" spans="1:72" s="18" customFormat="1" ht="25.2">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184</v>
      </c>
      <c r="I9" s="3037" t="s">
        <v>2995</v>
      </c>
      <c r="J9" s="51"/>
      <c r="K9" s="3037" t="s">
        <v>2995</v>
      </c>
      <c r="L9" s="51"/>
      <c r="M9" s="3037" t="s">
        <v>2995</v>
      </c>
      <c r="N9" s="51"/>
      <c r="O9" s="59"/>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3.2">
      <c r="A10" s="45"/>
      <c r="B10" s="45"/>
      <c r="C10" s="45"/>
      <c r="D10" s="45"/>
      <c r="E10" s="45"/>
      <c r="F10" s="45"/>
      <c r="G10" s="55"/>
      <c r="H10" s="62"/>
      <c r="I10" s="3037" t="s">
        <v>919</v>
      </c>
      <c r="J10" s="51"/>
      <c r="K10" s="3039" t="s">
        <v>919</v>
      </c>
      <c r="L10" s="51"/>
      <c r="M10" s="3039" t="s">
        <v>2983</v>
      </c>
      <c r="N10" s="51"/>
      <c r="O10" s="66"/>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38" t="s">
        <v>3590</v>
      </c>
      <c r="J11" s="71"/>
      <c r="K11" s="3038" t="s">
        <v>3220</v>
      </c>
      <c r="L11" s="71"/>
      <c r="M11" s="70" t="s">
        <v>3133</v>
      </c>
      <c r="N11" s="71"/>
      <c r="O11" s="70"/>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洋房</v>
      </c>
      <c r="BC12" s="79" t="str">
        <f>K11</f>
        <v>平层住宅</v>
      </c>
      <c r="BD12" s="79" t="str">
        <f>M11</f>
        <v>底商</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34" t="s">
        <v>3588</v>
      </c>
      <c r="B13" s="3034">
        <v>36575.9</v>
      </c>
      <c r="C13" s="3034"/>
      <c r="D13" s="3035" t="s">
        <v>1675</v>
      </c>
      <c r="E13" s="27">
        <f t="shared" ref="E13:E20" si="6">IF($C$3="是",ROUND($A$3*G13/$B$3,2),ROUND($A$3*(G13-AT13)/$B$3,2))</f>
        <v>148860.29999999999</v>
      </c>
      <c r="F13" s="81"/>
      <c r="G13" s="82">
        <f t="shared" ref="G13:G20" si="7">H13+AC13+AT13</f>
        <v>429582.71</v>
      </c>
      <c r="H13" s="33">
        <f t="shared" ref="H13:H20" si="8">SUMIF(I$12:AB$12,"总值",I13:AB13)</f>
        <v>388765.69</v>
      </c>
      <c r="I13" s="3036">
        <f>[1]Sheet1!$F$6+[1]Sheet1!$M$6</f>
        <v>15204.960000000001</v>
      </c>
      <c r="J13" s="3036"/>
      <c r="K13" s="3036">
        <f>[1]Sheet1!$F$7+[1]Sheet1!$M$7</f>
        <v>361153.70999999996</v>
      </c>
      <c r="L13" s="3036"/>
      <c r="M13" s="3036">
        <f>[1]Sheet1!$F$8+[1]Sheet1!$M$8</f>
        <v>12407.02</v>
      </c>
      <c r="N13" s="83"/>
      <c r="O13" s="83"/>
      <c r="P13" s="83"/>
      <c r="Q13" s="83"/>
      <c r="R13" s="83"/>
      <c r="S13" s="83"/>
      <c r="T13" s="83"/>
      <c r="U13" s="83"/>
      <c r="V13" s="83"/>
      <c r="W13" s="83"/>
      <c r="X13" s="83"/>
      <c r="Y13" s="83"/>
      <c r="Z13" s="83"/>
      <c r="AA13" s="83"/>
      <c r="AB13" s="83"/>
      <c r="AC13" s="27">
        <f t="shared" ref="AC13:AC20" si="9">SUMIF(AD$12:AS$12,"总值",AD13:AS13)</f>
        <v>40817.020000000004</v>
      </c>
      <c r="AD13" s="3040">
        <f>[1]Sheet1!$M$9</f>
        <v>3684.81</v>
      </c>
      <c r="AE13" s="3040"/>
      <c r="AF13" s="3040">
        <f>[1]Sheet1!$F$9</f>
        <v>798.63</v>
      </c>
      <c r="AG13" s="3040"/>
      <c r="AH13" s="3040"/>
      <c r="AI13" s="3040"/>
      <c r="AJ13" s="3040"/>
      <c r="AK13" s="3040"/>
      <c r="AL13" s="3040"/>
      <c r="AM13" s="3040"/>
      <c r="AN13" s="3040">
        <f>[1]Sheet1!$F$10+[1]Sheet1!$M$10</f>
        <v>36333.58</v>
      </c>
      <c r="AO13" s="3040"/>
      <c r="AP13" s="3040"/>
      <c r="AQ13" s="3040"/>
      <c r="AR13" s="3040"/>
      <c r="AS13" s="3040"/>
      <c r="AT13" s="3041"/>
      <c r="AU13" s="3042"/>
      <c r="AV13" s="17" t="str">
        <f t="shared" ref="AV13:AX20" si="10">A13</f>
        <v>1-81</v>
      </c>
      <c r="AW13" s="17">
        <f t="shared" si="10"/>
        <v>36575.9</v>
      </c>
      <c r="AX13" s="17">
        <f t="shared" si="10"/>
        <v>0</v>
      </c>
      <c r="AY13" s="994">
        <f t="shared" ref="AY13:AY20" si="11">ROUND($AY$6*AZ13/$AZ$5,2)</f>
        <v>148860.29999999999</v>
      </c>
      <c r="AZ13" s="27">
        <f t="shared" ref="AZ13:AZ20" si="12">BA13+BL13</f>
        <v>429582.71</v>
      </c>
      <c r="BA13" s="27">
        <f t="shared" ref="BA13:BA20" si="13">SUM(BB13:BK13)</f>
        <v>388765.69</v>
      </c>
      <c r="BB13" s="27">
        <f t="shared" ref="BB13:BB20" si="14">IF($D13="是",I13-J13,0)</f>
        <v>15204.960000000001</v>
      </c>
      <c r="BC13" s="27">
        <f t="shared" ref="BC13:BC20" si="15">IF($D13="是",K13-L13,0)</f>
        <v>361153.70999999996</v>
      </c>
      <c r="BD13" s="27">
        <f t="shared" ref="BD13:BD20" si="16">IF($D13="是",M13-N13,0)</f>
        <v>12407.02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40817.020000000004</v>
      </c>
      <c r="BM13" s="27">
        <f t="shared" ref="BM13:BM20" si="25">IF($D13="是",AD13-AE13,0)</f>
        <v>3684.81</v>
      </c>
      <c r="BN13" s="27">
        <f t="shared" ref="BN13:BN20" si="26">IF($D13="是",AF13-AG13,0)</f>
        <v>798.63</v>
      </c>
      <c r="BO13" s="27">
        <f t="shared" ref="BO13:BO20" si="27">IF($D13="是",AH13-AI13,0)</f>
        <v>0</v>
      </c>
      <c r="BP13" s="27">
        <f t="shared" ref="BP13:BP20" si="28">IF($D13="是",AJ13-AK13,0)</f>
        <v>0</v>
      </c>
      <c r="BQ13" s="27">
        <f t="shared" ref="BQ13:BQ20" si="29">IF($D13="是",AL13-AM13,0)</f>
        <v>0</v>
      </c>
      <c r="BR13" s="27">
        <f t="shared" ref="BR13:BR20" si="30">IF($D13="是",AN13-AO13,0)</f>
        <v>36333.58</v>
      </c>
      <c r="BS13" s="27">
        <f t="shared" ref="BS13:BS20" si="31">IF($D13="是",AP13-AQ13,0)</f>
        <v>0</v>
      </c>
      <c r="BT13" s="36">
        <f t="shared" ref="BT13:BT20" si="32">IF($D13="是",AR13-AS13,0)</f>
        <v>0</v>
      </c>
    </row>
    <row r="14" spans="1:72" s="18" customFormat="1" ht="13.2">
      <c r="A14" s="3034">
        <v>10606</v>
      </c>
      <c r="B14" s="3034">
        <v>53844.5</v>
      </c>
      <c r="C14" s="3034"/>
      <c r="D14" s="3035"/>
      <c r="E14" s="27">
        <f t="shared" si="6"/>
        <v>0</v>
      </c>
      <c r="F14" s="81"/>
      <c r="G14" s="82">
        <f t="shared" si="7"/>
        <v>0</v>
      </c>
      <c r="H14" s="33">
        <f t="shared" si="8"/>
        <v>0</v>
      </c>
      <c r="I14" s="3036"/>
      <c r="J14" s="3036"/>
      <c r="K14" s="3036"/>
      <c r="L14" s="3036"/>
      <c r="M14" s="3036"/>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10606</v>
      </c>
      <c r="AW14" s="17">
        <f t="shared" si="10"/>
        <v>53844.5</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t="s">
        <v>3589</v>
      </c>
      <c r="B15" s="3034">
        <v>58439.9</v>
      </c>
      <c r="C15" s="3034"/>
      <c r="D15" s="3035"/>
      <c r="E15" s="27">
        <f t="shared" si="6"/>
        <v>0</v>
      </c>
      <c r="F15" s="81"/>
      <c r="G15" s="82">
        <f t="shared" si="7"/>
        <v>0</v>
      </c>
      <c r="H15" s="33">
        <f t="shared" si="8"/>
        <v>0</v>
      </c>
      <c r="I15" s="3036"/>
      <c r="J15" s="3036"/>
      <c r="K15" s="3036"/>
      <c r="L15" s="3036"/>
      <c r="M15" s="3036"/>
      <c r="N15" s="83"/>
      <c r="O15" s="83"/>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t="str">
        <f t="shared" si="10"/>
        <v>1-82</v>
      </c>
      <c r="AW15" s="17">
        <f t="shared" si="10"/>
        <v>58439.9</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c r="B16" s="3034"/>
      <c r="C16" s="3034"/>
      <c r="D16" s="3035"/>
      <c r="E16" s="27">
        <f t="shared" si="6"/>
        <v>0</v>
      </c>
      <c r="F16" s="81"/>
      <c r="G16" s="82">
        <f t="shared" si="7"/>
        <v>0</v>
      </c>
      <c r="H16" s="33">
        <f t="shared" si="8"/>
        <v>0</v>
      </c>
      <c r="I16" s="3036"/>
      <c r="J16" s="3036"/>
      <c r="K16" s="3036"/>
      <c r="L16" s="3036"/>
      <c r="M16" s="3036"/>
      <c r="N16" s="83"/>
      <c r="O16" s="83"/>
      <c r="P16" s="83"/>
      <c r="Q16" s="83"/>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c r="B17" s="3034"/>
      <c r="C17" s="3034"/>
      <c r="D17" s="3035"/>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3223" t="s">
        <v>3221</v>
      </c>
      <c r="B18" s="85">
        <f>SUM(B13:B17)</f>
        <v>148860.29999999999</v>
      </c>
      <c r="C18" s="3034"/>
      <c r="D18" s="3035"/>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t="str">
        <f t="shared" si="10"/>
        <v>合计</v>
      </c>
      <c r="AW18" s="990">
        <f t="shared" si="10"/>
        <v>148860.29999999999</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46.8">
      <c r="A3" s="3305"/>
      <c r="B3" s="3305"/>
      <c r="C3" s="3305"/>
      <c r="D3" s="3306"/>
      <c r="E3" s="330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24" sqref="G24"/>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4" t="s">
        <v>198</v>
      </c>
      <c r="B1" s="1980"/>
      <c r="C1" s="1980"/>
      <c r="D1" s="1980"/>
      <c r="E1" s="1980"/>
      <c r="F1" s="1980"/>
      <c r="G1" s="1980"/>
      <c r="H1" s="1980"/>
      <c r="I1" s="1980"/>
      <c r="J1" s="1980"/>
      <c r="K1" s="1980"/>
      <c r="L1" s="1980"/>
    </row>
    <row r="2" spans="1:16" ht="14.4">
      <c r="A2" s="3316" t="s">
        <v>199</v>
      </c>
      <c r="B2" s="3316"/>
      <c r="C2" s="3316"/>
      <c r="D2" s="1971" t="s">
        <v>200</v>
      </c>
      <c r="E2" s="106" t="s">
        <v>201</v>
      </c>
      <c r="F2" s="1980"/>
      <c r="G2" s="1196"/>
      <c r="H2" s="1197"/>
      <c r="I2" s="1198" t="s">
        <v>853</v>
      </c>
      <c r="J2" s="1980"/>
      <c r="K2" s="1980"/>
      <c r="L2" s="1980"/>
    </row>
    <row r="3" spans="1:16" ht="15" thickBot="1">
      <c r="A3" s="3317" t="s">
        <v>202</v>
      </c>
      <c r="B3" s="3317"/>
      <c r="C3" s="3317"/>
      <c r="D3" s="107">
        <f>'数据-基础表'!AY6</f>
        <v>148860.29999999999</v>
      </c>
      <c r="E3" s="107">
        <f>'数据-基础表'!AZ5</f>
        <v>429582.71</v>
      </c>
      <c r="F3" s="1980"/>
      <c r="G3" s="279" t="s">
        <v>854</v>
      </c>
      <c r="H3" s="274" t="s">
        <v>855</v>
      </c>
      <c r="I3" s="1972">
        <f>ROUND('数据-基础表'!B3/'数据-基础表'!A3,2)</f>
        <v>2.89</v>
      </c>
      <c r="J3" s="1980"/>
      <c r="K3" s="1980"/>
      <c r="L3" s="1980"/>
    </row>
    <row r="4" spans="1:16" ht="14.4">
      <c r="A4" s="3318"/>
      <c r="B4" s="3319"/>
      <c r="C4" s="3320"/>
      <c r="D4" s="108" t="s">
        <v>200</v>
      </c>
      <c r="E4" s="109" t="s">
        <v>201</v>
      </c>
      <c r="F4" s="1980"/>
      <c r="G4" s="1199"/>
      <c r="H4" s="274" t="s">
        <v>856</v>
      </c>
      <c r="I4" s="1972">
        <f>ROUND(SUMIF('数据-基础表'!I9:AS9,"地上",'数据-基础表'!I5:AS5)/'数据-基础表'!A3,2)</f>
        <v>2.64</v>
      </c>
      <c r="J4" s="1980"/>
      <c r="K4" s="1980"/>
      <c r="L4" s="1980"/>
    </row>
    <row r="5" spans="1:16" ht="14.4">
      <c r="A5" s="110" t="s">
        <v>203</v>
      </c>
      <c r="B5" s="3321" t="s">
        <v>226</v>
      </c>
      <c r="C5" s="3321"/>
      <c r="D5" s="111">
        <f>ROUND($D$3*E5/$E$3,2)</f>
        <v>130416.94</v>
      </c>
      <c r="E5" s="112">
        <f>SUMIF('数据-基础表'!$11:$11,"住宅",'数据-基础表'!$5:$5)</f>
        <v>376358.67</v>
      </c>
      <c r="F5" s="1980"/>
      <c r="G5" s="279" t="s">
        <v>857</v>
      </c>
      <c r="H5" s="274" t="s">
        <v>855</v>
      </c>
      <c r="I5" s="1972">
        <f>ROUND(E31/D31,2)</f>
        <v>2.89</v>
      </c>
      <c r="J5" s="1980"/>
      <c r="K5" s="1980"/>
      <c r="L5" s="1980"/>
    </row>
    <row r="6" spans="1:16" ht="15" thickBot="1">
      <c r="A6" s="113"/>
      <c r="B6" s="3321" t="s">
        <v>204</v>
      </c>
      <c r="C6" s="3321"/>
      <c r="D6" s="111">
        <f>ROUND($D$3*E6/$E$3,2)</f>
        <v>18443.36</v>
      </c>
      <c r="E6" s="112">
        <f>E3-E5</f>
        <v>53224.040000000037</v>
      </c>
      <c r="F6" s="1980"/>
      <c r="G6" s="1199"/>
      <c r="H6" s="274" t="s">
        <v>856</v>
      </c>
      <c r="I6" s="1972">
        <f>ROUND(F31/D31,2)</f>
        <v>2.64</v>
      </c>
      <c r="J6" s="1980"/>
      <c r="K6" s="1980"/>
      <c r="L6" s="1980"/>
    </row>
    <row r="7" spans="1:16" ht="14.4">
      <c r="A7" s="3313"/>
      <c r="B7" s="3314"/>
      <c r="C7" s="3315"/>
      <c r="D7" s="108" t="s">
        <v>200</v>
      </c>
      <c r="E7" s="114" t="s">
        <v>227</v>
      </c>
      <c r="F7" s="1980"/>
      <c r="G7" s="1154" t="s">
        <v>1642</v>
      </c>
      <c r="H7" s="1155"/>
      <c r="I7" s="1842">
        <f>I6</f>
        <v>2.64</v>
      </c>
      <c r="J7" s="1980"/>
      <c r="K7" s="1980"/>
      <c r="L7" s="1980"/>
    </row>
    <row r="8" spans="1:16" ht="14.4">
      <c r="A8" s="110" t="s">
        <v>205</v>
      </c>
      <c r="B8" s="115" t="s">
        <v>206</v>
      </c>
      <c r="C8" s="111" t="s">
        <v>207</v>
      </c>
      <c r="D8" s="111">
        <f t="shared" ref="D8:D15" si="0">ROUND($D$3*E8/$E$3,2)</f>
        <v>134716.26</v>
      </c>
      <c r="E8" s="116">
        <f>SUMIF('数据-基础表'!BB10:BK10,"地上",'数据-基础表'!BB5:BK5)</f>
        <v>388765.69</v>
      </c>
      <c r="F8" s="1980"/>
      <c r="G8" s="1982"/>
      <c r="H8" s="1982"/>
      <c r="I8" s="1980"/>
      <c r="J8" s="1980"/>
      <c r="K8" s="1980"/>
      <c r="L8" s="1980"/>
    </row>
    <row r="9" spans="1:16" ht="14.4">
      <c r="A9" s="117"/>
      <c r="B9" s="118"/>
      <c r="C9" s="111" t="s">
        <v>208</v>
      </c>
      <c r="D9" s="111">
        <f t="shared" si="0"/>
        <v>0</v>
      </c>
      <c r="E9" s="119">
        <v>0</v>
      </c>
      <c r="F9" s="1980"/>
      <c r="G9" s="1982"/>
      <c r="H9" s="1982"/>
      <c r="I9" s="1980"/>
      <c r="J9" s="1980"/>
      <c r="K9" s="1980"/>
      <c r="L9" s="1980"/>
    </row>
    <row r="10" spans="1:16" ht="14.4">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2333</v>
      </c>
      <c r="D13" s="111">
        <f t="shared" si="0"/>
        <v>0</v>
      </c>
      <c r="E13" s="116">
        <f>SUMPRODUCT(('数据-基础表'!BB10:BK10="地下")*('数据-基础表'!BB11:BK11="车库")*('数据-基础表'!BB5:BK5))</f>
        <v>0</v>
      </c>
      <c r="F13" s="1980"/>
      <c r="G13" s="1982"/>
      <c r="H13" s="1982"/>
      <c r="I13" s="1980"/>
      <c r="J13" s="1980"/>
      <c r="K13" s="1980"/>
      <c r="L13" s="1980"/>
    </row>
    <row r="14" spans="1:16" ht="14.4">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211</v>
      </c>
      <c r="D16" s="115">
        <f>SUM(D8:D15)</f>
        <v>134716.26</v>
      </c>
      <c r="E16" s="120">
        <f>SUM(E8:E15)</f>
        <v>388765.69</v>
      </c>
      <c r="F16" s="1980"/>
      <c r="G16" s="1982"/>
      <c r="H16" s="966" t="s">
        <v>215</v>
      </c>
      <c r="I16" s="967"/>
      <c r="J16" s="1980"/>
      <c r="K16" s="3307" t="s">
        <v>2565</v>
      </c>
      <c r="L16" s="3308"/>
      <c r="M16" s="3308"/>
      <c r="N16" s="3308"/>
      <c r="O16" s="3308"/>
      <c r="P16" s="3309"/>
    </row>
    <row r="17" spans="1:19" ht="14.4">
      <c r="A17" s="121" t="s">
        <v>212</v>
      </c>
      <c r="B17" s="122" t="s">
        <v>213</v>
      </c>
      <c r="C17" s="2294" t="s">
        <v>2312</v>
      </c>
      <c r="D17" s="108" t="s">
        <v>200</v>
      </c>
      <c r="E17" s="124" t="s">
        <v>201</v>
      </c>
      <c r="F17" s="125"/>
      <c r="G17" s="1363"/>
      <c r="H17" s="968" t="s">
        <v>214</v>
      </c>
      <c r="I17" s="969" t="s">
        <v>2311</v>
      </c>
      <c r="J17" s="1980"/>
      <c r="K17" s="3310" t="s">
        <v>2566</v>
      </c>
      <c r="L17" s="3311"/>
      <c r="M17" s="3312"/>
      <c r="N17" s="3310" t="s">
        <v>2567</v>
      </c>
      <c r="O17" s="3311"/>
      <c r="P17" s="3312"/>
      <c r="R17" s="2295" t="s">
        <v>2310</v>
      </c>
      <c r="S17" s="144"/>
    </row>
    <row r="18" spans="1:19" ht="14.4">
      <c r="A18" s="117"/>
      <c r="B18" s="128"/>
      <c r="C18" s="129"/>
      <c r="D18" s="2662"/>
      <c r="E18" s="130" t="s">
        <v>216</v>
      </c>
      <c r="F18" s="131" t="s">
        <v>217</v>
      </c>
      <c r="G18" s="1364" t="s">
        <v>218</v>
      </c>
      <c r="H18" s="970" t="s">
        <v>219</v>
      </c>
      <c r="I18" s="971" t="s">
        <v>220</v>
      </c>
      <c r="J18" s="1980"/>
      <c r="K18" s="2625" t="s">
        <v>2568</v>
      </c>
      <c r="L18" s="2626" t="s">
        <v>2569</v>
      </c>
      <c r="M18" s="2627" t="s">
        <v>2570</v>
      </c>
      <c r="N18" s="2625" t="s">
        <v>2568</v>
      </c>
      <c r="O18" s="2626" t="s">
        <v>2569</v>
      </c>
      <c r="P18" s="2627" t="s">
        <v>2570</v>
      </c>
      <c r="R18" s="2296" t="s">
        <v>2308</v>
      </c>
      <c r="S18" s="2296" t="s">
        <v>2309</v>
      </c>
    </row>
    <row r="19" spans="1:19" ht="14.4">
      <c r="A19" s="133"/>
      <c r="B19" s="115" t="s">
        <v>221</v>
      </c>
      <c r="C19" s="3043" t="s">
        <v>3591</v>
      </c>
      <c r="D19" s="111">
        <f t="shared" ref="D19:D26" si="1">ROUND($D$3*E19/$E$3,2)</f>
        <v>5268.87</v>
      </c>
      <c r="E19" s="134">
        <f t="shared" ref="E19:E26" si="2">SUM(F19:G19)</f>
        <v>15204.960000000001</v>
      </c>
      <c r="F19" s="135">
        <f>'数据-基础表'!I5</f>
        <v>15204.960000000001</v>
      </c>
      <c r="G19" s="1365"/>
      <c r="H19" s="972">
        <f>ROUND($D$3*I19/$E$3,2)</f>
        <v>492.42</v>
      </c>
      <c r="I19" s="116">
        <f>IF($I$17="自定义",P19,M19)</f>
        <v>1421.04</v>
      </c>
      <c r="J19" s="1980"/>
      <c r="K19" s="2628">
        <f t="shared" ref="K19:K26" si="3">ROUND(E$28*E19/E$27,2)</f>
        <v>1421.04</v>
      </c>
      <c r="L19" s="274">
        <f t="shared" ref="L19:L26" si="4">ROUND(IF(COUNTIF(C19,"*住宅*")&gt;0,E$29*E19/E$32,0),2)</f>
        <v>0</v>
      </c>
      <c r="M19" s="2629">
        <f>K19+L19</f>
        <v>1421.04</v>
      </c>
      <c r="N19" s="2630"/>
      <c r="O19" s="2631"/>
      <c r="P19" s="2632">
        <f>N19+O19</f>
        <v>0</v>
      </c>
      <c r="R19" s="274">
        <f t="shared" ref="R19:S26" si="5">D19+H19</f>
        <v>5761.29</v>
      </c>
      <c r="S19" s="2297">
        <f t="shared" si="5"/>
        <v>16626</v>
      </c>
    </row>
    <row r="20" spans="1:19" ht="14.4">
      <c r="A20" s="138"/>
      <c r="B20" s="115" t="s">
        <v>222</v>
      </c>
      <c r="C20" s="3043" t="s">
        <v>3593</v>
      </c>
      <c r="D20" s="111">
        <f t="shared" si="1"/>
        <v>125148.08</v>
      </c>
      <c r="E20" s="134">
        <f t="shared" si="2"/>
        <v>361153.70999999996</v>
      </c>
      <c r="F20" s="135">
        <f>'数据-基础表'!K5</f>
        <v>361153.70999999996</v>
      </c>
      <c r="G20" s="1365"/>
      <c r="H20" s="972">
        <f t="shared" ref="H20:H26" si="6">ROUND($D$3*I20/$E$3,2)</f>
        <v>13249.81</v>
      </c>
      <c r="I20" s="116">
        <f t="shared" ref="I20:I26" si="7">IF($I$17="自定义",P20,M20)</f>
        <v>38236.44</v>
      </c>
      <c r="J20" s="1980"/>
      <c r="K20" s="2628">
        <f t="shared" si="3"/>
        <v>33753</v>
      </c>
      <c r="L20" s="274">
        <f t="shared" si="4"/>
        <v>4483.4399999999996</v>
      </c>
      <c r="M20" s="2629">
        <f t="shared" ref="M20:M26" si="8">K20+L20</f>
        <v>38236.44</v>
      </c>
      <c r="N20" s="2630"/>
      <c r="O20" s="2631"/>
      <c r="P20" s="2632">
        <f t="shared" ref="P20:P26" si="9">N20+O20</f>
        <v>0</v>
      </c>
      <c r="R20" s="274">
        <f t="shared" si="5"/>
        <v>138397.89000000001</v>
      </c>
      <c r="S20" s="2297">
        <f t="shared" si="5"/>
        <v>399390.14999999997</v>
      </c>
    </row>
    <row r="21" spans="1:19" ht="14.4">
      <c r="A21" s="138"/>
      <c r="B21" s="115" t="s">
        <v>222</v>
      </c>
      <c r="C21" s="3043" t="s">
        <v>3594</v>
      </c>
      <c r="D21" s="111">
        <f t="shared" si="1"/>
        <v>4299.32</v>
      </c>
      <c r="E21" s="134">
        <f t="shared" si="2"/>
        <v>12407.02</v>
      </c>
      <c r="F21" s="135">
        <f>'数据-基础表'!M5</f>
        <v>12407.02</v>
      </c>
      <c r="G21" s="1365"/>
      <c r="H21" s="972">
        <f t="shared" si="6"/>
        <v>401.81</v>
      </c>
      <c r="I21" s="116">
        <f t="shared" si="7"/>
        <v>1159.55</v>
      </c>
      <c r="J21" s="1980"/>
      <c r="K21" s="2628">
        <f t="shared" si="3"/>
        <v>1159.55</v>
      </c>
      <c r="L21" s="274">
        <f t="shared" si="4"/>
        <v>0</v>
      </c>
      <c r="M21" s="2629">
        <f t="shared" si="8"/>
        <v>1159.55</v>
      </c>
      <c r="N21" s="2630"/>
      <c r="O21" s="2631"/>
      <c r="P21" s="2632">
        <f t="shared" si="9"/>
        <v>0</v>
      </c>
      <c r="R21" s="274">
        <f t="shared" si="5"/>
        <v>4701.13</v>
      </c>
      <c r="S21" s="2297">
        <f t="shared" si="5"/>
        <v>13566.57</v>
      </c>
    </row>
    <row r="22" spans="1:19" ht="14.4">
      <c r="A22" s="138"/>
      <c r="B22" s="115" t="s">
        <v>222</v>
      </c>
      <c r="C22" s="3043"/>
      <c r="D22" s="111">
        <f t="shared" si="1"/>
        <v>0</v>
      </c>
      <c r="E22" s="134">
        <f t="shared" si="2"/>
        <v>0</v>
      </c>
      <c r="F22" s="140"/>
      <c r="G22" s="1366"/>
      <c r="H22" s="972">
        <f t="shared" si="6"/>
        <v>0</v>
      </c>
      <c r="I22" s="116">
        <f t="shared" si="7"/>
        <v>0</v>
      </c>
      <c r="J22" s="1980"/>
      <c r="K22" s="2628">
        <f t="shared" si="3"/>
        <v>0</v>
      </c>
      <c r="L22" s="274">
        <f t="shared" si="4"/>
        <v>0</v>
      </c>
      <c r="M22" s="2629">
        <f t="shared" si="8"/>
        <v>0</v>
      </c>
      <c r="N22" s="2630"/>
      <c r="O22" s="2631"/>
      <c r="P22" s="2632">
        <f t="shared" si="9"/>
        <v>0</v>
      </c>
      <c r="R22" s="274">
        <f t="shared" si="5"/>
        <v>0</v>
      </c>
      <c r="S22" s="2297">
        <f t="shared" si="5"/>
        <v>0</v>
      </c>
    </row>
    <row r="23" spans="1:19" ht="14.4">
      <c r="A23" s="138"/>
      <c r="B23" s="115" t="s">
        <v>222</v>
      </c>
      <c r="C23" s="3043"/>
      <c r="D23" s="111">
        <f>ROUND($D$3*E23/$E$3,2)</f>
        <v>0</v>
      </c>
      <c r="E23" s="134">
        <f>SUM(F23:G23)</f>
        <v>0</v>
      </c>
      <c r="F23" s="140"/>
      <c r="G23" s="1366"/>
      <c r="H23" s="972">
        <f>ROUND($D$3*I23/$E$3,2)</f>
        <v>0</v>
      </c>
      <c r="I23" s="116">
        <f t="shared" si="7"/>
        <v>0</v>
      </c>
      <c r="J23" s="1980"/>
      <c r="K23" s="2628">
        <f t="shared" si="3"/>
        <v>0</v>
      </c>
      <c r="L23" s="274">
        <f t="shared" si="4"/>
        <v>0</v>
      </c>
      <c r="M23" s="2629">
        <f t="shared" si="8"/>
        <v>0</v>
      </c>
      <c r="N23" s="2630"/>
      <c r="O23" s="2631"/>
      <c r="P23" s="2632">
        <f t="shared" si="9"/>
        <v>0</v>
      </c>
      <c r="R23" s="274">
        <f t="shared" si="5"/>
        <v>0</v>
      </c>
      <c r="S23" s="2297">
        <f t="shared" si="5"/>
        <v>0</v>
      </c>
    </row>
    <row r="24" spans="1:19" ht="14.4">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ht="14.4">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ht="14.4">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42" thickBot="1">
      <c r="A27" s="138"/>
      <c r="B27" s="111"/>
      <c r="C27" s="127" t="s">
        <v>211</v>
      </c>
      <c r="D27" s="134">
        <f>SUM(D19:D26)</f>
        <v>134716.26999999999</v>
      </c>
      <c r="E27" s="143">
        <f>IF(SUM(E19:E26)='数据-基础表'!BA5,SUM(E19:E26),IF(F27="地上面积有误","面积有误","地下面积有误"))</f>
        <v>388765.69</v>
      </c>
      <c r="F27" s="134">
        <f>IF(SUM(F19:F26)=E8,SUM(F19:F26),"地上面积有误")</f>
        <v>388765.69</v>
      </c>
      <c r="G27" s="112">
        <f>SUM(G19:G26)</f>
        <v>0</v>
      </c>
      <c r="H27" s="973">
        <f>SUM(H19:H26)</f>
        <v>14144.039999999999</v>
      </c>
      <c r="I27" s="974">
        <f>SUM(I19:I26)</f>
        <v>40817.030000000006</v>
      </c>
      <c r="J27" s="1980"/>
      <c r="K27" s="2637">
        <f>SUM(K19:K26)</f>
        <v>36333.590000000004</v>
      </c>
      <c r="L27" s="2638">
        <f>SUM(L19:L26)</f>
        <v>4483.4399999999996</v>
      </c>
      <c r="M27" s="2639">
        <f>SUM(M19:M26)</f>
        <v>40817.030000000006</v>
      </c>
      <c r="N27" s="2637">
        <f t="shared" ref="N27:O27" si="10">SUM(N19:N26)</f>
        <v>0</v>
      </c>
      <c r="O27" s="2638">
        <f t="shared" si="10"/>
        <v>0</v>
      </c>
      <c r="P27" s="2640">
        <f>SUM(P19:P26)</f>
        <v>0</v>
      </c>
      <c r="R27" s="2301" t="str">
        <f>IF(SUM(R19:R26)=$D$3,SUM(R19:R26),SUM(R19:R26)&amp;"误差"&amp;ROUND(SUM(R19:R26)-$D$3,2))</f>
        <v>148860.31误差0.01</v>
      </c>
      <c r="S27" s="274" t="str">
        <f>IF(SUM(S19:S26)=$E$3,SUM(S19:S26),SUM(S19:S26)&amp;"误差"&amp;ROUND(SUM(S19:S26)-E3,2))</f>
        <v>429582.72误差0.01</v>
      </c>
    </row>
    <row r="28" spans="1:19" ht="14.4">
      <c r="A28" s="138"/>
      <c r="B28" s="115" t="s">
        <v>223</v>
      </c>
      <c r="C28" s="136" t="s">
        <v>224</v>
      </c>
      <c r="D28" s="111">
        <f>ROUND($D$3*E28/$E$3,2)</f>
        <v>12590.42</v>
      </c>
      <c r="E28" s="134">
        <f>SUM(F28:G28)</f>
        <v>36333.58</v>
      </c>
      <c r="F28" s="144">
        <f>'数据-基础表'!BQ5+'数据-基础表'!BS5</f>
        <v>0</v>
      </c>
      <c r="G28" s="145">
        <f>'数据-基础表'!BR5+'数据-基础表'!BT5</f>
        <v>36333.58</v>
      </c>
      <c r="H28" s="1980"/>
      <c r="I28" s="1980"/>
      <c r="J28" s="1980"/>
      <c r="K28" s="1980"/>
      <c r="L28" s="1980"/>
    </row>
    <row r="29" spans="1:19" ht="14.4">
      <c r="A29" s="138"/>
      <c r="B29" s="115" t="s">
        <v>223</v>
      </c>
      <c r="C29" s="2309" t="s">
        <v>2319</v>
      </c>
      <c r="D29" s="111">
        <f>ROUND($D$3*E29/$E$3,2)</f>
        <v>1553.62</v>
      </c>
      <c r="E29" s="134">
        <f>SUM(F29:G29)</f>
        <v>4483.4399999999996</v>
      </c>
      <c r="F29" s="144">
        <f>'数据-基础表'!BM5+'数据-基础表'!BO5</f>
        <v>3684.81</v>
      </c>
      <c r="G29" s="146">
        <f>'数据-基础表'!BN5+'数据-基础表'!BP5</f>
        <v>798.63</v>
      </c>
      <c r="H29" s="1980"/>
      <c r="I29" s="1980"/>
      <c r="J29" s="1980"/>
      <c r="K29" s="1980"/>
      <c r="L29" s="1980"/>
    </row>
    <row r="30" spans="1:19" ht="14.4">
      <c r="A30" s="138"/>
      <c r="B30" s="111"/>
      <c r="C30" s="147" t="s">
        <v>211</v>
      </c>
      <c r="D30" s="134">
        <f>SUM(D28:D29)</f>
        <v>14144.04</v>
      </c>
      <c r="E30" s="134">
        <f>SUM(E28:E29)</f>
        <v>40817.020000000004</v>
      </c>
      <c r="F30" s="134">
        <f>SUM(F28:F29)</f>
        <v>3684.81</v>
      </c>
      <c r="G30" s="112">
        <f>SUM(G28:G29)</f>
        <v>37132.21</v>
      </c>
      <c r="H30" s="1980"/>
      <c r="I30" s="1980"/>
      <c r="J30" s="1980"/>
      <c r="K30" s="1980"/>
      <c r="L30" s="1980"/>
    </row>
    <row r="31" spans="1:19" ht="32.25" customHeight="1" thickBot="1">
      <c r="A31" s="1367"/>
      <c r="B31" s="1368" t="s">
        <v>225</v>
      </c>
      <c r="C31" s="2326" t="s">
        <v>2321</v>
      </c>
      <c r="D31" s="1369">
        <f>D27+D30</f>
        <v>148860.31</v>
      </c>
      <c r="E31" s="1369">
        <f>E27+E30</f>
        <v>429582.71</v>
      </c>
      <c r="F31" s="1370">
        <f>F27+F30</f>
        <v>392450.5</v>
      </c>
      <c r="G31" s="1371">
        <f>G27+G30</f>
        <v>37132.21</v>
      </c>
      <c r="H31" s="1980"/>
      <c r="I31" s="1980"/>
      <c r="J31" s="1980"/>
      <c r="K31" s="1980"/>
      <c r="L31" s="1980"/>
    </row>
    <row r="32" spans="1:19" ht="14.4">
      <c r="A32" s="1980"/>
      <c r="B32" s="2359" t="s">
        <v>2320</v>
      </c>
      <c r="C32" s="2667"/>
      <c r="D32" s="1199"/>
      <c r="E32" s="1199">
        <f>SUMIF(C19:C26,"*住宅*",E19:E26)</f>
        <v>361153.70999999996</v>
      </c>
      <c r="F32" s="1199"/>
      <c r="G32" s="1199"/>
    </row>
    <row r="33" spans="4:9">
      <c r="D33" s="1984"/>
    </row>
    <row r="34" spans="4:9">
      <c r="D34" s="1981">
        <f>D3+'[2]数据-汇总表'!$D$3</f>
        <v>171770.46</v>
      </c>
    </row>
    <row r="35" spans="4:9">
      <c r="D35" s="1981">
        <f>E3+'[2]数据-汇总表'!$E$3</f>
        <v>497516.07</v>
      </c>
      <c r="E35" s="1981">
        <f>D35+12074</f>
        <v>509590.07</v>
      </c>
      <c r="F35" s="3205"/>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J24" sqref="J24"/>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4"/>
    <col min="42" max="42" width="0" style="1994" hidden="1" customWidth="1"/>
    <col min="43" max="83" width="13.77734375" style="1994"/>
    <col min="84" max="16384" width="13.77734375" style="1201"/>
  </cols>
  <sheetData>
    <row r="1" spans="1:83" ht="18"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 thickBot="1">
      <c r="A2" s="149" t="s">
        <v>231</v>
      </c>
      <c r="B2" s="2334">
        <f>项目基本情况!D3</f>
        <v>43353</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4.4"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7.6">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2827</v>
      </c>
      <c r="O5" s="163" t="s">
        <v>242</v>
      </c>
      <c r="P5" s="165" t="s">
        <v>243</v>
      </c>
      <c r="Q5" s="166" t="s">
        <v>244</v>
      </c>
      <c r="R5" s="167" t="s">
        <v>245</v>
      </c>
      <c r="S5" s="2641" t="s">
        <v>2571</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4">
      <c r="A6" s="2298" t="str">
        <f>'数据-汇总表'!C19</f>
        <v>洋房</v>
      </c>
      <c r="B6" s="2333" t="str">
        <f>IF(A6=0,"","经营性")</f>
        <v>经营性</v>
      </c>
      <c r="C6" s="173" t="s">
        <v>919</v>
      </c>
      <c r="D6" s="2304">
        <f>SUMIF(项目基本情况!D$15:I$15,C6,项目基本情况!D$18:I$18)</f>
        <v>70</v>
      </c>
      <c r="E6" s="2305">
        <f>IF(B6="","",SUMIF(项目基本情况!D$15:I$15,C6,项目基本情况!D$17:I$17))</f>
        <v>66653</v>
      </c>
      <c r="F6" s="174">
        <f>SUMIF(项目基本情况!D$15:I$15,C6,项目基本情况!D$19:I$19)</f>
        <v>63.83</v>
      </c>
      <c r="G6" s="175">
        <f>IF(ISERROR(ROUND(POWER(1+H6,D6-F6)*(POWER(1+H6,F6)-1)/(POWER(1+H6,D6)-1),3)),0,ROUND(POWER(1+H6,D6-F6)*(POWER(1+H6,F6)-1)/(POWER(1+H6,D6)-1),3))</f>
        <v>0.98099999999999998</v>
      </c>
      <c r="H6" s="176">
        <v>0.04</v>
      </c>
      <c r="I6" s="176">
        <v>4.4999999999999998E-2</v>
      </c>
      <c r="J6" s="176">
        <v>0.08</v>
      </c>
      <c r="K6" s="179">
        <f>SUMIF('数据-汇总表'!C$19:C$33,'数据-取费表'!A6,'数据-汇总表'!E$19:E$33)</f>
        <v>15204.960000000001</v>
      </c>
      <c r="L6" s="3209">
        <v>1200</v>
      </c>
      <c r="M6" s="177">
        <f t="shared" ref="M6:M14" si="0">ROUND(K6*L6/10000,0)</f>
        <v>1825</v>
      </c>
      <c r="N6" s="3045">
        <v>0</v>
      </c>
      <c r="O6" s="177">
        <f>IF($N$5="成新度","——",ROUND(M6*N6,0))</f>
        <v>0</v>
      </c>
      <c r="P6" s="178">
        <f>IF($N$5="成新度","——",M6-O6)</f>
        <v>1825</v>
      </c>
      <c r="Q6" s="3045">
        <v>0.05</v>
      </c>
      <c r="R6" s="179">
        <f>SUMIF('数据-汇总表'!C$19:C$33,A6,'数据-汇总表'!R$19:R$33)</f>
        <v>5761.29</v>
      </c>
      <c r="S6" s="132">
        <f>IF('数据-汇总表'!$I$17="按面积比例",SUMIF('数据-汇总表'!C$19:C$33,A6,'数据-汇总表'!K$19:K$33),SUMIF('数据-汇总表'!C$19:C$33,A6,'数据-汇总表'!N$19:N$33))</f>
        <v>1421.04</v>
      </c>
      <c r="T6" s="2230">
        <f>IF($T$4="按面积比例",IF(ISERROR(ROUND($M$14*S6/S$16,0)),"0",ROUND($M$14*S6/S$16,0)),"需自行计算录入")</f>
        <v>213</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0.91800000000000004</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4">
      <c r="A7" s="2298" t="str">
        <f>'数据-汇总表'!C20</f>
        <v>高层住宅</v>
      </c>
      <c r="B7" s="2333" t="str">
        <f t="shared" ref="B7:B13" si="1">IF(A7=0,"","经营性")</f>
        <v>经营性</v>
      </c>
      <c r="C7" s="173" t="s">
        <v>919</v>
      </c>
      <c r="D7" s="2304">
        <f>SUMIF(项目基本情况!D$15:I$15,C7,项目基本情况!D$18:I$18)</f>
        <v>70</v>
      </c>
      <c r="E7" s="2305">
        <f>IF(B7="","",SUMIF(项目基本情况!D$15:I$15,C7,项目基本情况!D$17:I$17))</f>
        <v>66653</v>
      </c>
      <c r="F7" s="174">
        <f>SUMIF(项目基本情况!D$15:I$15,C7,项目基本情况!D$19:I$19)</f>
        <v>63.83</v>
      </c>
      <c r="G7" s="175">
        <f t="shared" ref="G7:G11" si="2">IF(ISERROR(ROUND(POWER(1+H7,D7-F7)*(POWER(1+H7,F7)-1)/(POWER(1+H7,D7)-1),3)),0,ROUND(POWER(1+H7,D7-F7)*(POWER(1+H7,F7)-1)/(POWER(1+H7,D7)-1),3))</f>
        <v>0.98099999999999998</v>
      </c>
      <c r="H7" s="176">
        <v>0.04</v>
      </c>
      <c r="I7" s="176">
        <v>4.4999999999999998E-2</v>
      </c>
      <c r="J7" s="176">
        <v>0.08</v>
      </c>
      <c r="K7" s="179">
        <f>SUMIF('数据-汇总表'!C$19:C$33,'数据-取费表'!A7,'数据-汇总表'!E$19:E$33)</f>
        <v>361153.70999999996</v>
      </c>
      <c r="L7" s="3209">
        <v>1500</v>
      </c>
      <c r="M7" s="177">
        <f t="shared" si="0"/>
        <v>54173</v>
      </c>
      <c r="N7" s="3045">
        <v>0</v>
      </c>
      <c r="O7" s="177">
        <f t="shared" ref="O7:O14" si="3">IF($N$5="成新度","——",ROUND(M7*N7,0))</f>
        <v>0</v>
      </c>
      <c r="P7" s="178">
        <f t="shared" ref="P7:P14" si="4">IF($N$5="成新度","——",M7-O7)</f>
        <v>54173</v>
      </c>
      <c r="Q7" s="3045">
        <v>0.05</v>
      </c>
      <c r="R7" s="179">
        <f>SUMIF('数据-汇总表'!C$19:C$33,A7,'数据-汇总表'!R$19:R$33)</f>
        <v>138397.89000000001</v>
      </c>
      <c r="S7" s="132">
        <f>IF('数据-汇总表'!$I$17="按面积比例",SUMIF('数据-汇总表'!C$19:C$33,A7,'数据-汇总表'!K$19:K$33),SUMIF('数据-汇总表'!C$19:C$33,A7,'数据-汇总表'!N$19:N$33))</f>
        <v>33753</v>
      </c>
      <c r="T7" s="2230">
        <f t="shared" ref="T7:T13" si="5">IF($T$4="按面积比例",IF(ISERROR(ROUND($M$14*S7/S$16,0)),"0",ROUND($M$14*S7/S$16,0)),"需自行计算录入")</f>
        <v>5063</v>
      </c>
      <c r="U7" s="183"/>
      <c r="V7" s="176"/>
      <c r="W7" s="176"/>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v>365</v>
      </c>
      <c r="AJ7" s="188"/>
      <c r="AK7" s="189"/>
      <c r="AL7" s="190"/>
      <c r="AM7" s="3056"/>
      <c r="AN7" s="2412"/>
      <c r="AO7" s="1996"/>
      <c r="AP7" s="1202">
        <f t="shared" ref="AP7:AP13" si="8">ROUND(1-1/(1+H7)^F7,3)</f>
        <v>0.91800000000000004</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4">
      <c r="A8" s="2298" t="str">
        <f>'数据-汇总表'!C21</f>
        <v>商业</v>
      </c>
      <c r="B8" s="2333" t="str">
        <f t="shared" si="1"/>
        <v>经营性</v>
      </c>
      <c r="C8" s="173" t="s">
        <v>2983</v>
      </c>
      <c r="D8" s="2304">
        <f>SUMIF(项目基本情况!D$15:I$15,C8,项目基本情况!D$18:I$18)</f>
        <v>40</v>
      </c>
      <c r="E8" s="2305">
        <f>IF(B8="","",SUMIF(项目基本情况!D$15:I$15,C8,项目基本情况!D$17:I$17))</f>
        <v>55696</v>
      </c>
      <c r="F8" s="174">
        <f>SUMIF(项目基本情况!D$15:I$15,C8,项目基本情况!D$19:I$19)</f>
        <v>33.81</v>
      </c>
      <c r="G8" s="175">
        <f t="shared" si="2"/>
        <v>0.94199999999999995</v>
      </c>
      <c r="H8" s="176">
        <v>0.05</v>
      </c>
      <c r="I8" s="176">
        <v>0.06</v>
      </c>
      <c r="J8" s="176">
        <v>0.08</v>
      </c>
      <c r="K8" s="179">
        <f>SUMIF('数据-汇总表'!C$19:C$33,'数据-取费表'!A8,'数据-汇总表'!E$19:E$33)</f>
        <v>12407.02</v>
      </c>
      <c r="L8" s="3209">
        <v>1500</v>
      </c>
      <c r="M8" s="177">
        <f>ROUND(K8*L8/10000,0)</f>
        <v>1861</v>
      </c>
      <c r="N8" s="3045">
        <v>0</v>
      </c>
      <c r="O8" s="177">
        <f t="shared" si="3"/>
        <v>0</v>
      </c>
      <c r="P8" s="178">
        <f t="shared" si="4"/>
        <v>1861</v>
      </c>
      <c r="Q8" s="3045">
        <v>0.08</v>
      </c>
      <c r="R8" s="179">
        <f>SUMIF('数据-汇总表'!C$19:C$33,A8,'数据-汇总表'!R$19:R$33)</f>
        <v>4701.13</v>
      </c>
      <c r="S8" s="132">
        <f>IF('数据-汇总表'!$I$17="按面积比例",SUMIF('数据-汇总表'!C$19:C$33,A8,'数据-汇总表'!K$19:K$33),SUMIF('数据-汇总表'!C$19:C$33,A8,'数据-汇总表'!N$19:N$33))</f>
        <v>1159.55</v>
      </c>
      <c r="T8" s="2230">
        <f t="shared" si="5"/>
        <v>174</v>
      </c>
      <c r="U8" s="183">
        <v>1.2</v>
      </c>
      <c r="V8" s="176">
        <v>2.5000000000000001E-2</v>
      </c>
      <c r="W8" s="176">
        <v>0.1</v>
      </c>
      <c r="X8" s="2317"/>
      <c r="Y8" s="182">
        <v>1</v>
      </c>
      <c r="Z8" s="183"/>
      <c r="AA8" s="176"/>
      <c r="AB8" s="176"/>
      <c r="AC8" s="2320"/>
      <c r="AD8" s="184"/>
      <c r="AE8" s="970">
        <f t="shared" ca="1" si="6"/>
        <v>31.810000000000002</v>
      </c>
      <c r="AF8" s="141"/>
      <c r="AG8" s="1211">
        <f t="shared" si="7"/>
        <v>0</v>
      </c>
      <c r="AH8" s="141"/>
      <c r="AI8" s="187">
        <v>365</v>
      </c>
      <c r="AJ8" s="188"/>
      <c r="AK8" s="189">
        <v>1.4999999999999999E-2</v>
      </c>
      <c r="AL8" s="190">
        <v>1.5E-3</v>
      </c>
      <c r="AM8" s="3056">
        <v>0.02</v>
      </c>
      <c r="AN8" s="2412" t="s">
        <v>3595</v>
      </c>
      <c r="AO8" s="1996"/>
      <c r="AP8" s="1202">
        <f t="shared" si="8"/>
        <v>0.80800000000000005</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4">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3044"/>
      <c r="I9" s="3044"/>
      <c r="J9" s="176"/>
      <c r="K9" s="179">
        <f>SUMIF('数据-汇总表'!C$19:C$33,'数据-取费表'!A9,'数据-汇总表'!E$19:E$33)</f>
        <v>0</v>
      </c>
      <c r="L9" s="3210"/>
      <c r="M9" s="177">
        <f t="shared" si="0"/>
        <v>0</v>
      </c>
      <c r="N9" s="193"/>
      <c r="O9" s="177">
        <f t="shared" si="3"/>
        <v>0</v>
      </c>
      <c r="P9" s="178">
        <f t="shared" si="4"/>
        <v>0</v>
      </c>
      <c r="Q9" s="193"/>
      <c r="R9" s="179">
        <f>SUMIF('数据-汇总表'!C$19:C$33,A9,'数据-汇总表'!R$19:R$33)</f>
        <v>0</v>
      </c>
      <c r="S9" s="132">
        <f>IF('数据-汇总表'!$I$17="按面积比例",SUMIF('数据-汇总表'!C$19:C$33,A9,'数据-汇总表'!K$19:K$33),SUMIF('数据-汇总表'!C$19:C$33,A9,'数据-汇总表'!N$19:N$33))</f>
        <v>0</v>
      </c>
      <c r="T9" s="2230">
        <f t="shared" si="5"/>
        <v>0</v>
      </c>
      <c r="U9" s="183"/>
      <c r="V9" s="176"/>
      <c r="W9" s="176"/>
      <c r="X9" s="2317"/>
      <c r="Y9" s="182"/>
      <c r="Z9" s="183"/>
      <c r="AA9" s="176"/>
      <c r="AB9" s="176"/>
      <c r="AC9" s="2320"/>
      <c r="AD9" s="184"/>
      <c r="AE9" s="970">
        <f t="shared" ca="1" si="6"/>
        <v>0</v>
      </c>
      <c r="AF9" s="141"/>
      <c r="AG9" s="1211">
        <f t="shared" si="7"/>
        <v>0</v>
      </c>
      <c r="AH9" s="3220"/>
      <c r="AI9" s="187"/>
      <c r="AJ9" s="188"/>
      <c r="AK9" s="189"/>
      <c r="AL9" s="190"/>
      <c r="AM9" s="3056"/>
      <c r="AN9" s="2412"/>
      <c r="AO9" s="1996"/>
      <c r="AP9" s="1202">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10"/>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10"/>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10"/>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10"/>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3.8">
      <c r="A14" s="2299" t="s">
        <v>2313</v>
      </c>
      <c r="B14" s="2302" t="s">
        <v>1676</v>
      </c>
      <c r="C14" s="2303" t="s">
        <v>2313</v>
      </c>
      <c r="D14" s="2304"/>
      <c r="E14" s="2305"/>
      <c r="F14" s="174"/>
      <c r="G14" s="175"/>
      <c r="H14" s="2306"/>
      <c r="I14" s="2306"/>
      <c r="J14" s="2306"/>
      <c r="K14" s="179">
        <f>SUMIF('数据-汇总表'!C$19:C$33,'数据-取费表'!A14,'数据-汇总表'!E$19:E$33)</f>
        <v>36333.58</v>
      </c>
      <c r="L14" s="3210">
        <v>1500</v>
      </c>
      <c r="M14" s="177">
        <f t="shared" si="0"/>
        <v>5450</v>
      </c>
      <c r="N14" s="193">
        <v>0</v>
      </c>
      <c r="O14" s="177">
        <f t="shared" si="3"/>
        <v>0</v>
      </c>
      <c r="P14" s="178">
        <f t="shared" si="4"/>
        <v>5450</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8.8">
      <c r="A15" s="2308" t="s">
        <v>2315</v>
      </c>
      <c r="B15" s="2302" t="s">
        <v>1676</v>
      </c>
      <c r="C15" s="2303" t="s">
        <v>2314</v>
      </c>
      <c r="D15" s="2304"/>
      <c r="E15" s="2305"/>
      <c r="F15" s="174"/>
      <c r="G15" s="175"/>
      <c r="H15" s="2306"/>
      <c r="I15" s="2306"/>
      <c r="J15" s="2306"/>
      <c r="K15" s="179">
        <f>SUMIF('数据-汇总表'!C$19:C$33,'数据-取费表'!A15,'数据-汇总表'!E$19:E$33)</f>
        <v>4483.4399999999996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 thickBot="1">
      <c r="A16" s="197" t="s">
        <v>258</v>
      </c>
      <c r="B16" s="198"/>
      <c r="C16" s="199"/>
      <c r="D16" s="200"/>
      <c r="E16" s="198"/>
      <c r="F16" s="198"/>
      <c r="G16" s="201">
        <f>ROUND(SUMPRODUCT(G6:G13,K6:K13)/SUMPRODUCT((G6:G13&gt;0)*(K6:K13)),3)</f>
        <v>0.98</v>
      </c>
      <c r="H16" s="202">
        <f>ROUND(SUMPRODUCT(H6:H13,K6:K13)/SUMPRODUCT((H6:H13&gt;0)*(K6:K13)),3)</f>
        <v>0.04</v>
      </c>
      <c r="I16" s="203"/>
      <c r="J16" s="203"/>
      <c r="K16" s="204">
        <f>SUM(K6:K15)</f>
        <v>429582.71</v>
      </c>
      <c r="L16" s="205">
        <f>ROUND(M16*10000/SUM(K6:K14),0)</f>
        <v>1489</v>
      </c>
      <c r="M16" s="205">
        <f>SUM(M6:M14)</f>
        <v>63309</v>
      </c>
      <c r="N16" s="206">
        <f>ROUND(SUMPRODUCT(M6:M14,N6:N14)/M16,3)</f>
        <v>0</v>
      </c>
      <c r="O16" s="205">
        <f>SUM(O6:O14)</f>
        <v>0</v>
      </c>
      <c r="P16" s="205">
        <f>SUM(P6:P14)</f>
        <v>63309</v>
      </c>
      <c r="Q16" s="207">
        <f>ROUND(SUMPRODUCT(Q6:Q13,K6:K13)/SUMPRODUCT((Q6:Q13&gt;0)*(K6:K13)),2)</f>
        <v>0.05</v>
      </c>
      <c r="R16" s="2307">
        <f>SUM(R6:R13)</f>
        <v>148860.31000000003</v>
      </c>
      <c r="S16" s="208">
        <f>SUM(S6:S13)</f>
        <v>36333.590000000004</v>
      </c>
      <c r="T16" s="209">
        <f>IF(SUMIF(T6:T13,"&lt;9E307")=M14,SUMIF(T6:T13,"&lt;9E307"),"有误，请检查")</f>
        <v>5450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0.91400000000000003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8.8">
      <c r="A27" s="225" t="s">
        <v>2337</v>
      </c>
      <c r="B27" s="226">
        <v>30</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8.8">
      <c r="A28" s="227" t="s">
        <v>2338</v>
      </c>
      <c r="B28" s="228">
        <v>30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9.4" thickBot="1">
      <c r="A29" s="230" t="s">
        <v>2336</v>
      </c>
      <c r="B29" s="231">
        <f>ROUND(K16*B27/10000,0)</f>
        <v>1289</v>
      </c>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8.8">
      <c r="A30" s="234" t="s">
        <v>269</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8.8">
      <c r="A31" s="227" t="s">
        <v>270</v>
      </c>
      <c r="B31" s="229">
        <f>B30-B32</f>
        <v>150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9.4" thickBot="1">
      <c r="A32" s="236" t="s">
        <v>271</v>
      </c>
      <c r="B32" s="3221">
        <v>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4">
      <c r="A33" s="225" t="s">
        <v>274</v>
      </c>
      <c r="B33" s="1374">
        <v>0.05</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275</v>
      </c>
      <c r="B34" s="232">
        <v>0.05</v>
      </c>
      <c r="C34" s="2361" t="s">
        <v>2892</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272</v>
      </c>
      <c r="B35" s="228">
        <f>B30</f>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2894</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276</v>
      </c>
      <c r="B37" s="235">
        <v>2.5000000000000001E-2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277</v>
      </c>
      <c r="B38" s="232">
        <v>2.5000000000000001E-2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281</v>
      </c>
      <c r="B44" s="241">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282</v>
      </c>
      <c r="B45" s="239">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283</v>
      </c>
      <c r="B46" s="239">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285</v>
      </c>
      <c r="B48" s="245">
        <v>0.03</v>
      </c>
      <c r="C48" s="3092"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289</v>
      </c>
      <c r="B52" s="249">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290</v>
      </c>
      <c r="B53" s="250" t="s">
        <v>1406</v>
      </c>
      <c r="C53" s="3093" t="s">
        <v>2902</v>
      </c>
      <c r="D53" s="3094"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96" t="s">
        <v>2904</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96" t="s">
        <v>2905</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96" t="s">
        <v>2906</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96" t="s">
        <v>2907</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96" t="s">
        <v>2908</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96" t="s">
        <v>2909</v>
      </c>
      <c r="B59" s="186">
        <v>6</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96"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96"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96"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22" t="s">
        <v>1660</v>
      </c>
      <c r="B1" s="3323"/>
      <c r="C1" s="3323"/>
      <c r="D1" s="3323"/>
      <c r="E1" s="3323"/>
      <c r="F1" s="3323"/>
      <c r="G1" s="3323"/>
      <c r="H1" s="1998"/>
      <c r="I1" s="1999"/>
      <c r="J1" s="2000"/>
      <c r="K1" s="1998"/>
      <c r="L1" s="1999"/>
      <c r="M1" s="2000"/>
      <c r="N1" s="1998"/>
      <c r="O1" s="1999"/>
      <c r="P1" s="2000"/>
      <c r="Q1" s="2001"/>
      <c r="R1" s="2002"/>
    </row>
    <row r="2" spans="1:18" ht="15" thickBot="1">
      <c r="A2" s="1219"/>
      <c r="B2" s="1220"/>
      <c r="C2" s="1221" t="s">
        <v>1661</v>
      </c>
      <c r="D2" s="1222"/>
      <c r="E2" s="1223"/>
      <c r="F2" s="1224"/>
      <c r="G2" s="1221" t="s">
        <v>1662</v>
      </c>
      <c r="H2" s="2004"/>
      <c r="I2" s="2004"/>
      <c r="J2" s="2004"/>
      <c r="K2" s="2004"/>
      <c r="L2" s="2004"/>
      <c r="M2" s="2004"/>
      <c r="N2" s="2004"/>
      <c r="O2" s="2004"/>
      <c r="P2" s="2004"/>
      <c r="Q2" s="2004"/>
      <c r="R2" s="2004"/>
    </row>
    <row r="3" spans="1:18" ht="86.4">
      <c r="A3" s="1225" t="s">
        <v>1663</v>
      </c>
      <c r="B3" s="1226" t="s">
        <v>1650</v>
      </c>
      <c r="C3" s="3183" t="s">
        <v>3237</v>
      </c>
      <c r="D3" s="2005"/>
      <c r="E3" s="1227" t="s">
        <v>1663</v>
      </c>
      <c r="F3" s="1228" t="s">
        <v>1651</v>
      </c>
      <c r="G3" s="3100" t="s">
        <v>2918</v>
      </c>
      <c r="H3" s="2004"/>
      <c r="I3" s="2004"/>
      <c r="J3" s="2004"/>
      <c r="K3" s="2004"/>
      <c r="L3" s="2004"/>
      <c r="M3" s="2004"/>
      <c r="N3" s="2004"/>
      <c r="O3" s="2004"/>
      <c r="P3" s="2004"/>
      <c r="Q3" s="2004"/>
      <c r="R3" s="2004"/>
    </row>
    <row r="4" spans="1:18" ht="57.6">
      <c r="A4" s="1227"/>
      <c r="B4" s="1229" t="s">
        <v>1664</v>
      </c>
      <c r="C4" s="3188" t="s">
        <v>3238</v>
      </c>
      <c r="D4" s="2005"/>
      <c r="E4" s="1230"/>
      <c r="F4" s="1231" t="s">
        <v>1665</v>
      </c>
      <c r="G4" s="3098" t="s">
        <v>2915</v>
      </c>
      <c r="H4" s="2004"/>
      <c r="I4" s="2004"/>
      <c r="J4" s="2004"/>
      <c r="K4" s="2004"/>
      <c r="L4" s="2004"/>
      <c r="M4" s="2004"/>
      <c r="N4" s="2004"/>
      <c r="O4" s="2004"/>
      <c r="P4" s="2004"/>
      <c r="Q4" s="2004"/>
      <c r="R4" s="2004"/>
    </row>
    <row r="5" spans="1:18" ht="28.8">
      <c r="A5" s="1227"/>
      <c r="B5" s="1229" t="s">
        <v>1666</v>
      </c>
      <c r="C5" s="3188"/>
      <c r="D5" s="2005"/>
      <c r="E5" s="1230"/>
      <c r="F5" s="1229" t="s">
        <v>2545</v>
      </c>
      <c r="G5" s="3098" t="s">
        <v>2916</v>
      </c>
      <c r="H5" s="2004"/>
      <c r="I5" s="2004"/>
      <c r="J5" s="2004"/>
      <c r="K5" s="2004"/>
      <c r="L5" s="2004"/>
      <c r="M5" s="2004"/>
      <c r="N5" s="2004"/>
      <c r="O5" s="2004"/>
      <c r="P5" s="2004"/>
      <c r="Q5" s="2004"/>
      <c r="R5" s="2004"/>
    </row>
    <row r="6" spans="1:18" ht="72">
      <c r="A6" s="1227"/>
      <c r="B6" s="1229" t="s">
        <v>1652</v>
      </c>
      <c r="C6" s="3185" t="s">
        <v>3235</v>
      </c>
      <c r="D6" s="2005"/>
      <c r="E6" s="1230"/>
      <c r="F6" s="1229" t="s">
        <v>2546</v>
      </c>
      <c r="G6" s="3098" t="s">
        <v>2914</v>
      </c>
      <c r="H6" s="2004"/>
      <c r="I6" s="2004"/>
      <c r="J6" s="2004"/>
      <c r="K6" s="2004"/>
      <c r="L6" s="2004"/>
      <c r="M6" s="2004"/>
      <c r="N6" s="2004"/>
      <c r="O6" s="2004"/>
      <c r="P6" s="2004"/>
      <c r="Q6" s="2004"/>
      <c r="R6" s="2004"/>
    </row>
    <row r="7" spans="1:18" ht="43.8" thickBot="1">
      <c r="A7" s="1227"/>
      <c r="B7" s="1229" t="s">
        <v>2545</v>
      </c>
      <c r="C7" s="3185" t="s">
        <v>3236</v>
      </c>
      <c r="D7" s="2006"/>
      <c r="E7" s="1232"/>
      <c r="F7" s="1233" t="s">
        <v>1667</v>
      </c>
      <c r="G7" s="3101" t="s">
        <v>2917</v>
      </c>
      <c r="H7" s="2004"/>
      <c r="I7" s="2004"/>
      <c r="J7" s="2004"/>
      <c r="K7" s="2004"/>
      <c r="L7" s="2004"/>
      <c r="M7" s="2004"/>
      <c r="N7" s="2004"/>
      <c r="O7" s="2004"/>
      <c r="P7" s="2004"/>
      <c r="Q7" s="2004"/>
      <c r="R7" s="2004"/>
    </row>
    <row r="8" spans="1:18" ht="28.8">
      <c r="A8" s="1227"/>
      <c r="B8" s="1229" t="s">
        <v>2546</v>
      </c>
      <c r="C8" s="3185" t="s">
        <v>3138</v>
      </c>
      <c r="D8" s="2006"/>
      <c r="E8" s="2006"/>
      <c r="F8" s="1549"/>
      <c r="G8" s="1549"/>
      <c r="H8" s="2004"/>
      <c r="I8" s="2004"/>
      <c r="J8" s="2004"/>
      <c r="K8" s="2004"/>
      <c r="L8" s="2004"/>
      <c r="M8" s="2004"/>
      <c r="N8" s="2004"/>
      <c r="O8" s="2004"/>
      <c r="P8" s="2004"/>
      <c r="Q8" s="2004"/>
      <c r="R8" s="2004"/>
    </row>
    <row r="9" spans="1:18" ht="43.2">
      <c r="A9" s="1227"/>
      <c r="B9" s="1229" t="s">
        <v>1653</v>
      </c>
      <c r="C9" s="3188" t="s">
        <v>3239</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3240</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1669</v>
      </c>
      <c r="B13" s="2598"/>
      <c r="C13" s="2598"/>
      <c r="D13" s="1222"/>
      <c r="E13" s="2598"/>
      <c r="F13" s="2598"/>
      <c r="G13" s="2598"/>
    </row>
    <row r="14" spans="1:18" ht="15" thickBot="1">
      <c r="A14" s="1236"/>
      <c r="B14" s="1237"/>
      <c r="C14" s="1238" t="s">
        <v>1661</v>
      </c>
      <c r="D14" s="2005"/>
      <c r="E14" s="1239"/>
      <c r="F14" s="1239"/>
      <c r="G14" s="1221" t="s">
        <v>1662</v>
      </c>
    </row>
    <row r="15" spans="1:18" ht="86.4">
      <c r="A15" s="2608" t="s">
        <v>1654</v>
      </c>
      <c r="B15" s="1240" t="s">
        <v>1650</v>
      </c>
      <c r="C15" s="1241" t="str">
        <f>C3</f>
        <v>估价对象周边居住用地比例高、居住小区规模和社区发展完善程度较好，周边有尚城、聚豪园等多个住宅项目，综合评价居住社区成熟度较好</v>
      </c>
      <c r="D15" s="2005"/>
      <c r="E15" s="2605" t="s">
        <v>1655</v>
      </c>
      <c r="F15" s="1240" t="s">
        <v>1670</v>
      </c>
      <c r="G15" s="1242" t="str">
        <f>G3</f>
        <v>估价对象位于XX开发区，园区建设成熟度XX，产业集聚程度XX</v>
      </c>
    </row>
    <row r="16" spans="1:18" ht="57.6">
      <c r="A16" s="2609"/>
      <c r="B16" s="1243" t="s">
        <v>1664</v>
      </c>
      <c r="C16" s="1244" t="str">
        <f>C4</f>
        <v>估价对象周边商业氛围较成熟，人流量较一般，有丽港城商业广场，商业繁华度一般</v>
      </c>
      <c r="D16" s="2005"/>
      <c r="E16" s="2606"/>
      <c r="F16" s="1245" t="s">
        <v>1665</v>
      </c>
      <c r="G16" s="1003" t="str">
        <f>G4</f>
        <v>估价对象周边道路状况、公共交通通达情况、停车便捷程度，综合评价交通便捷度较好</v>
      </c>
    </row>
    <row r="17" spans="1:7">
      <c r="A17" s="2609"/>
      <c r="B17" s="1243" t="s">
        <v>1666</v>
      </c>
      <c r="C17" s="1244">
        <f>C5</f>
        <v>0</v>
      </c>
      <c r="D17" s="2006"/>
      <c r="E17" s="2606"/>
      <c r="F17" s="1245" t="s">
        <v>1671</v>
      </c>
      <c r="G17" s="2814"/>
    </row>
    <row r="18" spans="1:7" ht="72">
      <c r="A18" s="2609"/>
      <c r="B18" s="1245" t="s">
        <v>1652</v>
      </c>
      <c r="C18" s="1003" t="str">
        <f>C6</f>
        <v>估价对象周边道路状况、公共交通通达情况：有071、003、030、36等多路公交车，停车便捷程度，综合评价交通便捷度较好</v>
      </c>
      <c r="D18" s="2006"/>
      <c r="E18" s="2606"/>
      <c r="F18" s="1245" t="s">
        <v>1667</v>
      </c>
      <c r="G18" s="1003" t="str">
        <f>G7</f>
        <v>该园区内是否有污染型企业，绿化情况，卫生条件，整体环境状况判断</v>
      </c>
    </row>
    <row r="19" spans="1:7" ht="28.8">
      <c r="A19" s="2609"/>
      <c r="B19" s="1245" t="s">
        <v>1656</v>
      </c>
      <c r="C19" s="2814"/>
      <c r="D19" s="2005"/>
      <c r="E19" s="2606"/>
      <c r="F19" s="1229" t="s">
        <v>2545</v>
      </c>
      <c r="G19" s="1003" t="str">
        <f>G5</f>
        <v>估价对象所在区域公共配套设施齐备情况</v>
      </c>
    </row>
    <row r="20" spans="1:7" ht="43.2">
      <c r="A20" s="2609"/>
      <c r="B20" s="1245" t="s">
        <v>1657</v>
      </c>
      <c r="C20" s="1244" t="str">
        <f>C9</f>
        <v>周边2公里区域自然环境：；人文环境：；综合评价环境状况较好</v>
      </c>
      <c r="D20" s="2006"/>
      <c r="E20" s="2606"/>
      <c r="F20" s="1229" t="s">
        <v>2546</v>
      </c>
      <c r="G20" s="1003" t="str">
        <f>G6</f>
        <v>估价对象所在区域基础设施水平</v>
      </c>
    </row>
    <row r="21" spans="1:7" ht="43.2">
      <c r="A21" s="2609"/>
      <c r="B21" s="1229" t="s">
        <v>2545</v>
      </c>
      <c r="C21" s="1003" t="str">
        <f>C7</f>
        <v>估价对象所在区域公共配套设施齐备情况较好：中山市实验中学</v>
      </c>
      <c r="D21" s="2005"/>
      <c r="E21" s="2606"/>
      <c r="F21" s="1245" t="s">
        <v>1658</v>
      </c>
      <c r="G21" s="3102"/>
    </row>
    <row r="22" spans="1:7" ht="28.8">
      <c r="A22" s="2609"/>
      <c r="B22" s="1229" t="s">
        <v>2546</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5" thickBot="1">
      <c r="A24" s="2610"/>
      <c r="B24" s="1246" t="s">
        <v>1659</v>
      </c>
      <c r="C24" s="1247" t="str">
        <f>C10</f>
        <v>支路-未命名道路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5"/>
    </sheetView>
  </sheetViews>
  <sheetFormatPr defaultColWidth="14.6640625" defaultRowHeight="14.4"/>
  <cols>
    <col min="1" max="1" width="24.33203125" customWidth="1"/>
  </cols>
  <sheetData>
    <row r="1" spans="1:9" ht="15.6">
      <c r="A1" s="3062" t="s">
        <v>2843</v>
      </c>
      <c r="B1" s="3062">
        <f>SUM(B14:B23)</f>
        <v>429582.71</v>
      </c>
      <c r="C1" s="3063"/>
      <c r="D1" s="3063"/>
      <c r="E1" s="3063"/>
      <c r="F1" s="3063"/>
    </row>
    <row r="2" spans="1:9" ht="15.6">
      <c r="A2" s="3062" t="s">
        <v>2844</v>
      </c>
      <c r="B2" s="3062">
        <f>SUM(C14:C23)</f>
        <v>148860.29999999999</v>
      </c>
      <c r="C2" s="3063"/>
      <c r="D2" s="3063"/>
      <c r="E2" s="3063"/>
      <c r="F2" s="3063"/>
    </row>
    <row r="3" spans="1:9" ht="15.6">
      <c r="A3" s="3062" t="s">
        <v>2845</v>
      </c>
      <c r="B3" s="3064">
        <f>项目基本情况!D3</f>
        <v>43353</v>
      </c>
      <c r="C3" s="3063"/>
      <c r="D3" s="3063"/>
      <c r="E3" s="3063"/>
      <c r="F3" s="3063"/>
    </row>
    <row r="4" spans="1:9" ht="31.2">
      <c r="A4" s="3062" t="s">
        <v>2846</v>
      </c>
      <c r="B4" s="3062" t="s">
        <v>2847</v>
      </c>
      <c r="C4" s="3062" t="s">
        <v>2848</v>
      </c>
      <c r="D4" s="3062" t="s">
        <v>2849</v>
      </c>
      <c r="E4" s="3063"/>
      <c r="F4" s="3063"/>
    </row>
    <row r="5" spans="1:9" ht="15.6">
      <c r="A5" s="3062" t="s">
        <v>2850</v>
      </c>
      <c r="B5" s="3062">
        <f ca="1">SUM(D14:D23)</f>
        <v>22680</v>
      </c>
      <c r="C5" s="3062">
        <f ca="1">ROUND(B5*10000/$B$1,0)</f>
        <v>528</v>
      </c>
      <c r="D5" s="3062">
        <f ca="1">ROUND(B5*10000/$B$2,0)</f>
        <v>1524</v>
      </c>
      <c r="E5" s="3063"/>
      <c r="F5" s="3063"/>
    </row>
    <row r="6" spans="1:9" ht="15.6">
      <c r="A6" s="3062" t="s">
        <v>2851</v>
      </c>
      <c r="B6" s="3062">
        <f ca="1">SUM(G14:G23)</f>
        <v>22680</v>
      </c>
      <c r="C6" s="3062">
        <f t="shared" ref="C6:C8" ca="1" si="0">ROUND(B6*10000/$B$1,0)</f>
        <v>528</v>
      </c>
      <c r="D6" s="3062">
        <f t="shared" ref="D6:D8" ca="1" si="1">ROUND(B6*10000/$B$2,0)</f>
        <v>1524</v>
      </c>
      <c r="E6" s="3063"/>
      <c r="F6" s="3063"/>
    </row>
    <row r="7" spans="1:9" ht="15.6">
      <c r="A7" s="3062" t="s">
        <v>2852</v>
      </c>
      <c r="B7" s="3062">
        <f>SUM(H14:H23)</f>
        <v>0</v>
      </c>
      <c r="C7" s="3062">
        <f t="shared" si="0"/>
        <v>0</v>
      </c>
      <c r="D7" s="3062">
        <f t="shared" si="1"/>
        <v>0</v>
      </c>
      <c r="E7" s="3063"/>
      <c r="F7" s="3063"/>
    </row>
    <row r="8" spans="1:9" ht="15.6">
      <c r="A8" s="3062" t="s">
        <v>2853</v>
      </c>
      <c r="B8" s="3062">
        <f>SUM(I14:I23)</f>
        <v>0</v>
      </c>
      <c r="C8" s="3062">
        <f t="shared" si="0"/>
        <v>0</v>
      </c>
      <c r="D8" s="3062">
        <f t="shared" si="1"/>
        <v>0</v>
      </c>
      <c r="E8" s="3063"/>
      <c r="F8" s="3063"/>
    </row>
    <row r="9" spans="1:9" ht="15.6">
      <c r="A9" s="3062" t="s">
        <v>2854</v>
      </c>
      <c r="B9" s="3065"/>
      <c r="C9" s="3063"/>
      <c r="D9" s="3063"/>
      <c r="E9" s="3063"/>
      <c r="F9" s="3063"/>
    </row>
    <row r="10" spans="1:9" ht="15.6">
      <c r="A10" s="3062" t="s">
        <v>2855</v>
      </c>
      <c r="B10" s="3065"/>
      <c r="C10" s="3063"/>
      <c r="D10" s="3063"/>
      <c r="E10" s="3063"/>
      <c r="F10" s="3063"/>
    </row>
    <row r="11" spans="1:9" ht="15.6">
      <c r="A11" s="3062" t="s">
        <v>2872</v>
      </c>
      <c r="B11" s="3065"/>
      <c r="C11" s="3063"/>
      <c r="D11" s="3063"/>
      <c r="E11" s="3063"/>
      <c r="F11" s="3063"/>
    </row>
    <row r="12" spans="1:9" ht="15.6">
      <c r="A12" s="3063"/>
      <c r="B12" s="3063"/>
      <c r="C12" s="3063"/>
      <c r="D12" s="3063"/>
      <c r="E12" s="3063"/>
      <c r="F12" s="3063"/>
    </row>
    <row r="13" spans="1:9" ht="31.2">
      <c r="A13" s="3068" t="s">
        <v>2871</v>
      </c>
      <c r="B13" s="3066" t="s">
        <v>2843</v>
      </c>
      <c r="C13" s="3066" t="s">
        <v>2844</v>
      </c>
      <c r="D13" s="3066" t="s">
        <v>2856</v>
      </c>
      <c r="E13" s="3062" t="s">
        <v>2870</v>
      </c>
      <c r="F13" s="3062" t="s">
        <v>2849</v>
      </c>
      <c r="G13" s="3066" t="s">
        <v>2857</v>
      </c>
      <c r="H13" s="3066" t="s">
        <v>2858</v>
      </c>
      <c r="I13" s="3066" t="s">
        <v>2859</v>
      </c>
    </row>
    <row r="14" spans="1:9" ht="15.6">
      <c r="A14" s="3069" t="s">
        <v>2869</v>
      </c>
      <c r="B14" s="3066">
        <f>结果表!L38</f>
        <v>429582.71</v>
      </c>
      <c r="C14" s="3066">
        <f>结果表!K38</f>
        <v>148860.29999999999</v>
      </c>
      <c r="D14" s="3066">
        <f ca="1">结果表!C42</f>
        <v>22680</v>
      </c>
      <c r="E14" s="3066">
        <f ca="1">ROUND(D14*10000/B14,0)</f>
        <v>528</v>
      </c>
      <c r="F14" s="3066">
        <f ca="1">ROUND(D14*10000/C14,0)</f>
        <v>1524</v>
      </c>
      <c r="G14" s="3066">
        <f ca="1">结果表!C44</f>
        <v>22680</v>
      </c>
      <c r="H14" s="3066" t="str">
        <f>结果表!C45</f>
        <v>——</v>
      </c>
      <c r="I14" s="3066" t="str">
        <f>结果表!C46</f>
        <v>——</v>
      </c>
    </row>
    <row r="15" spans="1:9" ht="15.6">
      <c r="A15" s="3069" t="s">
        <v>2860</v>
      </c>
      <c r="B15" s="3070"/>
      <c r="C15" s="3070"/>
      <c r="D15" s="3070"/>
      <c r="E15" s="3066" t="e">
        <f t="shared" ref="E15:E23" si="2">ROUND(D15*10000/B15,0)</f>
        <v>#DIV/0!</v>
      </c>
      <c r="F15" s="3066" t="e">
        <f t="shared" ref="F15:F23" si="3">ROUND(D15*10000/C15,0)</f>
        <v>#DIV/0!</v>
      </c>
      <c r="G15" s="3067"/>
      <c r="H15" s="3067"/>
      <c r="I15" s="3070"/>
    </row>
    <row r="16" spans="1:9" ht="15.6">
      <c r="A16" s="3069" t="s">
        <v>2861</v>
      </c>
      <c r="B16" s="3070"/>
      <c r="C16" s="3070"/>
      <c r="D16" s="3070"/>
      <c r="E16" s="3066" t="e">
        <f t="shared" si="2"/>
        <v>#DIV/0!</v>
      </c>
      <c r="F16" s="3066" t="e">
        <f t="shared" si="3"/>
        <v>#DIV/0!</v>
      </c>
      <c r="G16" s="3067"/>
      <c r="H16" s="3067"/>
      <c r="I16" s="3070"/>
    </row>
    <row r="17" spans="1:9" ht="15.6">
      <c r="A17" s="3069" t="s">
        <v>2862</v>
      </c>
      <c r="B17" s="3070"/>
      <c r="C17" s="3070"/>
      <c r="D17" s="3070"/>
      <c r="E17" s="3066" t="e">
        <f t="shared" si="2"/>
        <v>#DIV/0!</v>
      </c>
      <c r="F17" s="3066" t="e">
        <f t="shared" si="3"/>
        <v>#DIV/0!</v>
      </c>
      <c r="G17" s="3067"/>
      <c r="H17" s="3067"/>
      <c r="I17" s="3070"/>
    </row>
    <row r="18" spans="1:9" ht="15.6">
      <c r="A18" s="3069" t="s">
        <v>2863</v>
      </c>
      <c r="B18" s="3070"/>
      <c r="C18" s="3070"/>
      <c r="D18" s="3070"/>
      <c r="E18" s="3066" t="e">
        <f t="shared" si="2"/>
        <v>#DIV/0!</v>
      </c>
      <c r="F18" s="3066" t="e">
        <f t="shared" si="3"/>
        <v>#DIV/0!</v>
      </c>
      <c r="G18" s="3070"/>
      <c r="H18" s="3070"/>
      <c r="I18" s="3070"/>
    </row>
    <row r="19" spans="1:9" ht="15.6">
      <c r="A19" s="3069" t="s">
        <v>2864</v>
      </c>
      <c r="B19" s="3070"/>
      <c r="C19" s="3070"/>
      <c r="D19" s="3070"/>
      <c r="E19" s="3066" t="e">
        <f t="shared" si="2"/>
        <v>#DIV/0!</v>
      </c>
      <c r="F19" s="3066" t="e">
        <f t="shared" si="3"/>
        <v>#DIV/0!</v>
      </c>
      <c r="G19" s="3070"/>
      <c r="H19" s="3070"/>
      <c r="I19" s="3070"/>
    </row>
    <row r="20" spans="1:9" ht="15.6">
      <c r="A20" s="3069" t="s">
        <v>2865</v>
      </c>
      <c r="B20" s="3070"/>
      <c r="C20" s="3070"/>
      <c r="D20" s="3070"/>
      <c r="E20" s="3066" t="e">
        <f t="shared" si="2"/>
        <v>#DIV/0!</v>
      </c>
      <c r="F20" s="3066" t="e">
        <f t="shared" si="3"/>
        <v>#DIV/0!</v>
      </c>
      <c r="G20" s="3070"/>
      <c r="H20" s="3070"/>
      <c r="I20" s="3070"/>
    </row>
    <row r="21" spans="1:9" ht="15.6">
      <c r="A21" s="3069" t="s">
        <v>2866</v>
      </c>
      <c r="B21" s="3070"/>
      <c r="C21" s="3070"/>
      <c r="D21" s="3070"/>
      <c r="E21" s="3066" t="e">
        <f t="shared" si="2"/>
        <v>#DIV/0!</v>
      </c>
      <c r="F21" s="3066" t="e">
        <f t="shared" si="3"/>
        <v>#DIV/0!</v>
      </c>
      <c r="G21" s="3070"/>
      <c r="H21" s="3070"/>
      <c r="I21" s="3070"/>
    </row>
    <row r="22" spans="1:9" ht="15.6">
      <c r="A22" s="3069" t="s">
        <v>2867</v>
      </c>
      <c r="B22" s="3070"/>
      <c r="C22" s="3070"/>
      <c r="D22" s="3070"/>
      <c r="E22" s="3066" t="e">
        <f t="shared" si="2"/>
        <v>#DIV/0!</v>
      </c>
      <c r="F22" s="3066" t="e">
        <f t="shared" si="3"/>
        <v>#DIV/0!</v>
      </c>
      <c r="G22" s="3070"/>
      <c r="H22" s="3070"/>
      <c r="I22" s="3070"/>
    </row>
    <row r="23" spans="1:9" ht="15.6">
      <c r="A23" s="3069" t="s">
        <v>2868</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1898</v>
      </c>
      <c r="B36" s="1650" t="s">
        <v>1899</v>
      </c>
    </row>
    <row r="37" spans="1:9" ht="28.5" customHeight="1">
      <c r="A37" s="1650"/>
      <c r="B37" s="3232" t="str">
        <f>项目基本情况!B1</f>
        <v>湖北省鄂州市花湖开发区杨叶大道与胄山大道交叉口西侧出让国有建设用地使用权抵押价格预评估</v>
      </c>
      <c r="C37" s="3232"/>
      <c r="D37" s="3232"/>
      <c r="E37" s="3232"/>
      <c r="F37" s="3232"/>
      <c r="G37" s="3232"/>
      <c r="H37" s="3232"/>
      <c r="I37" s="3232"/>
    </row>
    <row r="38" spans="1:9">
      <c r="A38" s="1652"/>
      <c r="B38" s="1652"/>
    </row>
    <row r="39" spans="1:9">
      <c r="A39" s="1650" t="s">
        <v>1898</v>
      </c>
      <c r="B39" s="1650" t="s">
        <v>2045</v>
      </c>
    </row>
    <row r="40" spans="1:9">
      <c r="A40" s="1650"/>
      <c r="B40" s="1650" t="str">
        <f>项目基本情况!B5</f>
        <v>湖北航宇置业发展有限公司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c r="B46" s="1650" t="str">
        <f>项目基本情况!K4</f>
        <v>崔锴、赵雯</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2" zoomScaleNormal="100" zoomScaleSheetLayoutView="100" zoomScalePageLayoutView="80" workbookViewId="0">
      <selection activeCell="I19" sqref="I19"/>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2" t="s">
        <v>2054</v>
      </c>
      <c r="B1" s="1773"/>
      <c r="C1" s="1801" t="s">
        <v>2055</v>
      </c>
      <c r="D1" s="1802" t="s">
        <v>3169</v>
      </c>
      <c r="E1" s="1801" t="s">
        <v>2056</v>
      </c>
      <c r="F1" s="1803" t="s">
        <v>3170</v>
      </c>
      <c r="G1" s="310"/>
      <c r="H1" s="310"/>
      <c r="I1" s="310"/>
      <c r="J1" s="2025"/>
      <c r="K1" s="2025"/>
      <c r="L1" s="2025"/>
      <c r="M1" s="2025"/>
      <c r="N1" s="2025"/>
      <c r="O1" s="2025"/>
      <c r="P1" s="2025"/>
      <c r="Q1" s="2025"/>
      <c r="R1" s="2025"/>
      <c r="S1" s="2025"/>
      <c r="T1" s="2025"/>
      <c r="U1" s="2025"/>
      <c r="V1" s="2025"/>
    </row>
    <row r="2" spans="1:22" ht="21.75" customHeight="1" thickBot="1">
      <c r="A2" s="3369" t="str">
        <f>项目基本情况!K2</f>
        <v>湖北省鄂州市花湖开发区杨叶大道与胄山大道交叉口西侧出让国有建设用地使用权</v>
      </c>
      <c r="B2" s="3370"/>
      <c r="C2" s="3371"/>
      <c r="D2" s="3371"/>
      <c r="E2" s="3371"/>
      <c r="F2" s="3371"/>
      <c r="G2" s="3370"/>
      <c r="H2" s="3370"/>
      <c r="I2" s="3372"/>
      <c r="J2" s="2026"/>
      <c r="K2" s="2025"/>
      <c r="L2" s="2025"/>
      <c r="M2" s="2025"/>
      <c r="N2" s="2025"/>
      <c r="O2" s="2025"/>
      <c r="P2" s="2025"/>
      <c r="Q2" s="2025"/>
      <c r="R2" s="2025"/>
      <c r="S2" s="2025"/>
      <c r="T2" s="2025"/>
      <c r="U2" s="2025"/>
      <c r="V2" s="2025"/>
    </row>
    <row r="3" spans="1:22" ht="13.8">
      <c r="A3" s="3380" t="s">
        <v>294</v>
      </c>
      <c r="B3" s="3381"/>
      <c r="C3" s="3381"/>
      <c r="D3" s="3381"/>
      <c r="E3" s="3381"/>
      <c r="F3" s="3381"/>
      <c r="G3" s="3381"/>
      <c r="H3" s="3381"/>
      <c r="I3" s="3381"/>
      <c r="J3" s="2026"/>
      <c r="K3" s="2025"/>
      <c r="L3" s="2025"/>
      <c r="M3" s="2025"/>
      <c r="N3" s="2025"/>
      <c r="O3" s="2025"/>
      <c r="P3" s="2025"/>
      <c r="Q3" s="2025"/>
      <c r="R3" s="2025"/>
      <c r="S3" s="2025"/>
      <c r="T3" s="2025"/>
      <c r="U3" s="2025"/>
      <c r="V3" s="2025"/>
    </row>
    <row r="4" spans="1:22" ht="14.4">
      <c r="A4" s="257" t="s">
        <v>295</v>
      </c>
      <c r="B4" s="258" t="s">
        <v>296</v>
      </c>
      <c r="C4" s="259" t="s">
        <v>3107</v>
      </c>
      <c r="D4" s="259" t="s">
        <v>3108</v>
      </c>
      <c r="E4" s="3344" t="s">
        <v>297</v>
      </c>
      <c r="F4" s="3386"/>
      <c r="G4" s="3386"/>
      <c r="H4" s="3386"/>
      <c r="I4" s="3345"/>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73" t="s">
        <v>298</v>
      </c>
      <c r="B5" s="3374">
        <v>25</v>
      </c>
      <c r="C5" s="3382"/>
      <c r="D5" s="3385"/>
      <c r="E5" s="260" t="s">
        <v>299</v>
      </c>
      <c r="F5" s="261"/>
      <c r="G5" s="261"/>
      <c r="H5" s="261"/>
      <c r="I5" s="262"/>
      <c r="J5" s="2026"/>
      <c r="K5" s="2025"/>
      <c r="L5" s="2025"/>
      <c r="M5" s="2025"/>
      <c r="N5" s="2025"/>
      <c r="O5" s="2025"/>
      <c r="P5" s="2025"/>
      <c r="Q5" s="2025"/>
      <c r="R5" s="2025"/>
      <c r="S5" s="2025"/>
      <c r="T5" s="2025"/>
      <c r="U5" s="2025"/>
      <c r="V5" s="2025"/>
    </row>
    <row r="6" spans="1:22" ht="13.8">
      <c r="A6" s="3373"/>
      <c r="B6" s="3374"/>
      <c r="C6" s="3383"/>
      <c r="D6" s="3385"/>
      <c r="E6" s="260" t="s">
        <v>300</v>
      </c>
      <c r="F6" s="261"/>
      <c r="G6" s="261"/>
      <c r="H6" s="261"/>
      <c r="I6" s="262"/>
      <c r="J6" s="2026"/>
      <c r="K6" s="2025"/>
      <c r="L6" s="2025"/>
      <c r="M6" s="2025"/>
      <c r="N6" s="2025"/>
      <c r="O6" s="2025"/>
      <c r="P6" s="2025"/>
      <c r="Q6" s="2025"/>
      <c r="R6" s="2025"/>
      <c r="S6" s="2025"/>
      <c r="T6" s="2025"/>
      <c r="U6" s="2025"/>
      <c r="V6" s="2025"/>
    </row>
    <row r="7" spans="1:22" ht="13.8">
      <c r="A7" s="3373"/>
      <c r="B7" s="3374"/>
      <c r="C7" s="3384"/>
      <c r="D7" s="3385"/>
      <c r="E7" s="260" t="s">
        <v>301</v>
      </c>
      <c r="F7" s="261"/>
      <c r="G7" s="261"/>
      <c r="H7" s="261"/>
      <c r="I7" s="262"/>
      <c r="J7" s="2026"/>
      <c r="K7" s="2025"/>
      <c r="L7" s="2025"/>
      <c r="M7" s="2025"/>
      <c r="N7" s="2025"/>
      <c r="O7" s="2025"/>
      <c r="P7" s="2025"/>
      <c r="Q7" s="2025"/>
      <c r="R7" s="2025"/>
      <c r="S7" s="2025"/>
      <c r="T7" s="2025"/>
      <c r="U7" s="2025"/>
      <c r="V7" s="2025"/>
    </row>
    <row r="8" spans="1:22" ht="13.8">
      <c r="A8" s="3373" t="s">
        <v>302</v>
      </c>
      <c r="B8" s="3374">
        <v>15</v>
      </c>
      <c r="C8" s="3382"/>
      <c r="D8" s="3385"/>
      <c r="E8" s="260" t="s">
        <v>303</v>
      </c>
      <c r="F8" s="261"/>
      <c r="G8" s="261"/>
      <c r="H8" s="261"/>
      <c r="I8" s="262"/>
      <c r="J8" s="2026"/>
      <c r="K8" s="2025"/>
      <c r="L8" s="2025"/>
      <c r="M8" s="2025"/>
      <c r="N8" s="2025"/>
      <c r="O8" s="2025"/>
      <c r="P8" s="2025"/>
      <c r="Q8" s="2025"/>
      <c r="R8" s="2025"/>
      <c r="S8" s="2025"/>
      <c r="T8" s="2025"/>
      <c r="U8" s="2025"/>
      <c r="V8" s="2025"/>
    </row>
    <row r="9" spans="1:22" ht="13.8">
      <c r="A9" s="3373"/>
      <c r="B9" s="3374"/>
      <c r="C9" s="3384"/>
      <c r="D9" s="3385"/>
      <c r="E9" s="260" t="s">
        <v>304</v>
      </c>
      <c r="F9" s="261"/>
      <c r="G9" s="261"/>
      <c r="H9" s="261"/>
      <c r="I9" s="262"/>
      <c r="J9" s="2026"/>
      <c r="K9" s="2025"/>
      <c r="L9" s="2025"/>
      <c r="M9" s="2025"/>
      <c r="N9" s="2025"/>
      <c r="O9" s="2025"/>
      <c r="P9" s="2025"/>
      <c r="Q9" s="2025"/>
      <c r="R9" s="2025"/>
      <c r="S9" s="2025"/>
      <c r="T9" s="2025"/>
      <c r="U9" s="2025"/>
      <c r="V9" s="2025"/>
    </row>
    <row r="10" spans="1:22" ht="13.8">
      <c r="A10" s="3373" t="s">
        <v>305</v>
      </c>
      <c r="B10" s="3374">
        <v>15</v>
      </c>
      <c r="C10" s="3382"/>
      <c r="D10" s="3385"/>
      <c r="E10" s="260" t="s">
        <v>306</v>
      </c>
      <c r="F10" s="261"/>
      <c r="G10" s="261"/>
      <c r="H10" s="261"/>
      <c r="I10" s="262"/>
      <c r="J10" s="2026"/>
      <c r="K10" s="2025"/>
      <c r="L10" s="2025"/>
      <c r="M10" s="2025"/>
      <c r="N10" s="2025"/>
      <c r="O10" s="2025"/>
      <c r="P10" s="2025"/>
      <c r="Q10" s="2025"/>
      <c r="R10" s="2025"/>
      <c r="S10" s="2025"/>
      <c r="T10" s="2025"/>
      <c r="U10" s="2025"/>
      <c r="V10" s="2025"/>
    </row>
    <row r="11" spans="1:22" ht="13.8">
      <c r="A11" s="3373"/>
      <c r="B11" s="3374"/>
      <c r="C11" s="3384"/>
      <c r="D11" s="3385"/>
      <c r="E11" s="260" t="s">
        <v>307</v>
      </c>
      <c r="F11" s="261"/>
      <c r="G11" s="261"/>
      <c r="H11" s="261"/>
      <c r="I11" s="262"/>
      <c r="J11" s="2026"/>
      <c r="K11" s="2025"/>
      <c r="L11" s="2025"/>
      <c r="M11" s="2025"/>
      <c r="N11" s="2025"/>
      <c r="O11" s="2025"/>
      <c r="P11" s="2025"/>
      <c r="Q11" s="2025"/>
      <c r="R11" s="2025"/>
      <c r="S11" s="2025"/>
      <c r="T11" s="2025"/>
      <c r="U11" s="2025"/>
      <c r="V11" s="2025"/>
    </row>
    <row r="12" spans="1:22" ht="13.8">
      <c r="A12" s="3373" t="s">
        <v>308</v>
      </c>
      <c r="B12" s="3374">
        <v>15</v>
      </c>
      <c r="C12" s="3382"/>
      <c r="D12" s="3385"/>
      <c r="E12" s="260" t="s">
        <v>309</v>
      </c>
      <c r="F12" s="261"/>
      <c r="G12" s="261"/>
      <c r="H12" s="261"/>
      <c r="I12" s="262"/>
      <c r="J12" s="2026"/>
      <c r="K12" s="2025"/>
      <c r="L12" s="2025"/>
      <c r="M12" s="2025"/>
      <c r="N12" s="2025"/>
      <c r="O12" s="2025"/>
      <c r="P12" s="2025"/>
      <c r="Q12" s="2025"/>
      <c r="R12" s="2025"/>
      <c r="S12" s="2025"/>
      <c r="T12" s="2025"/>
      <c r="U12" s="2025"/>
      <c r="V12" s="2025"/>
    </row>
    <row r="13" spans="1:22" ht="13.8">
      <c r="A13" s="3373"/>
      <c r="B13" s="3374"/>
      <c r="C13" s="3384"/>
      <c r="D13" s="3385"/>
      <c r="E13" s="260" t="s">
        <v>310</v>
      </c>
      <c r="F13" s="261"/>
      <c r="G13" s="261"/>
      <c r="H13" s="261"/>
      <c r="I13" s="262"/>
      <c r="J13" s="2026"/>
      <c r="K13" s="2025"/>
      <c r="L13" s="2025"/>
      <c r="M13" s="2025"/>
      <c r="N13" s="2025"/>
      <c r="O13" s="2025"/>
      <c r="P13" s="2025"/>
      <c r="Q13" s="2025"/>
      <c r="R13" s="2025"/>
      <c r="S13" s="2025"/>
      <c r="T13" s="2025"/>
      <c r="U13" s="2025"/>
      <c r="V13" s="2025"/>
    </row>
    <row r="14" spans="1:22" ht="13.8">
      <c r="A14" s="3373" t="s">
        <v>311</v>
      </c>
      <c r="B14" s="3374">
        <v>30</v>
      </c>
      <c r="C14" s="3382">
        <v>5</v>
      </c>
      <c r="D14" s="3385">
        <v>5</v>
      </c>
      <c r="E14" s="260" t="s">
        <v>312</v>
      </c>
      <c r="F14" s="261"/>
      <c r="G14" s="261"/>
      <c r="H14" s="261"/>
      <c r="I14" s="262"/>
      <c r="J14" s="2026"/>
      <c r="K14" s="2025"/>
      <c r="L14" s="2025"/>
      <c r="M14" s="2025"/>
      <c r="N14" s="2025"/>
      <c r="O14" s="2025"/>
      <c r="P14" s="2025"/>
      <c r="Q14" s="2025"/>
      <c r="R14" s="2025"/>
      <c r="S14" s="2025"/>
      <c r="T14" s="2025"/>
      <c r="U14" s="2025"/>
      <c r="V14" s="2025"/>
    </row>
    <row r="15" spans="1:22" ht="13.8">
      <c r="A15" s="3373"/>
      <c r="B15" s="3374"/>
      <c r="C15" s="3383"/>
      <c r="D15" s="3385"/>
      <c r="E15" s="260" t="s">
        <v>313</v>
      </c>
      <c r="F15" s="261"/>
      <c r="G15" s="261"/>
      <c r="H15" s="261"/>
      <c r="I15" s="262"/>
      <c r="J15" s="2026"/>
      <c r="K15" s="2025"/>
      <c r="L15" s="2025"/>
      <c r="M15" s="2025"/>
      <c r="N15" s="2025"/>
      <c r="O15" s="2025"/>
      <c r="P15" s="2025"/>
      <c r="Q15" s="2025"/>
      <c r="R15" s="2025"/>
      <c r="S15" s="2025"/>
      <c r="T15" s="2025"/>
      <c r="U15" s="2025"/>
      <c r="V15" s="2025"/>
    </row>
    <row r="16" spans="1:22" ht="13.8">
      <c r="A16" s="3373"/>
      <c r="B16" s="3374"/>
      <c r="C16" s="3384"/>
      <c r="D16" s="3385"/>
      <c r="E16" s="260" t="s">
        <v>314</v>
      </c>
      <c r="F16" s="261"/>
      <c r="G16" s="261"/>
      <c r="H16" s="261"/>
      <c r="I16" s="262"/>
      <c r="J16" s="2026"/>
      <c r="K16" s="2025"/>
      <c r="L16" s="2025"/>
      <c r="M16" s="2025"/>
      <c r="N16" s="2025"/>
      <c r="O16" s="2025"/>
      <c r="P16" s="2025"/>
      <c r="Q16" s="2025"/>
      <c r="R16" s="2025"/>
      <c r="S16" s="2025"/>
      <c r="T16" s="2025"/>
      <c r="U16" s="2025"/>
      <c r="V16" s="2025"/>
    </row>
    <row r="17" spans="1:26" ht="14.4">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317</v>
      </c>
      <c r="B19" s="268" t="s">
        <v>318</v>
      </c>
      <c r="C19" s="269">
        <f ca="1">SUMIF(INDIRECT("'"&amp;C4&amp;"'"&amp;"!A:A"),结果表!B19,INDIRECT("'"&amp;C4&amp;"'"&amp;"!B:B"))</f>
        <v>24259</v>
      </c>
      <c r="D19" s="270">
        <f ca="1">SUMIF(INDIRECT("'"&amp;D4&amp;"'"&amp;"!A:A"),结果表!B19,INDIRECT("'"&amp;D4&amp;"'"&amp;"!B:B"))</f>
        <v>21101</v>
      </c>
      <c r="E19" s="267" t="s">
        <v>319</v>
      </c>
      <c r="F19" s="268" t="s">
        <v>318</v>
      </c>
      <c r="G19" s="271">
        <f ca="1">ROUND(C19*$C$18+D19*$D$18,0)</f>
        <v>22680</v>
      </c>
      <c r="H19" s="272" t="s">
        <v>320</v>
      </c>
      <c r="I19" s="310"/>
      <c r="J19" s="2025"/>
      <c r="K19" s="2025"/>
      <c r="L19" s="2025"/>
      <c r="M19" s="2025"/>
      <c r="N19" s="2025"/>
      <c r="O19" s="2025"/>
      <c r="P19" s="2025"/>
      <c r="Q19" s="2025"/>
      <c r="R19" s="2025"/>
      <c r="S19" s="2025"/>
      <c r="T19" s="2025"/>
      <c r="U19" s="2025"/>
      <c r="V19" s="2025"/>
    </row>
    <row r="20" spans="1:26" ht="14.4">
      <c r="A20" s="273"/>
      <c r="B20" s="274" t="s">
        <v>321</v>
      </c>
      <c r="C20" s="275">
        <f ca="1">SUMIF(INDIRECT("'"&amp;C4&amp;"'"&amp;"!A:A"),结果表!B20,INDIRECT("'"&amp;C4&amp;"'"&amp;"!B:B"))</f>
        <v>565</v>
      </c>
      <c r="D20" s="276">
        <f ca="1">SUMIF(INDIRECT("'"&amp;D4&amp;"'"&amp;"!A:A"),结果表!B20,INDIRECT("'"&amp;D4&amp;"'"&amp;"!B:B"))</f>
        <v>491</v>
      </c>
      <c r="E20" s="273"/>
      <c r="F20" s="274" t="s">
        <v>321</v>
      </c>
      <c r="G20" s="277">
        <f ca="1">ROUND(C20*$C$18+D20*$D$18,0)</f>
        <v>528</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1630</v>
      </c>
      <c r="D21" s="151">
        <f ca="1">SUMIF(INDIRECT("'"&amp;D4&amp;"'"&amp;"!A:A"),结果表!B21,INDIRECT("'"&amp;D4&amp;"'"&amp;"!B:B"))</f>
        <v>1418</v>
      </c>
      <c r="E21" s="273"/>
      <c r="F21" s="279" t="s">
        <v>323</v>
      </c>
      <c r="G21" s="281">
        <f ca="1">ROUND(C21*$C$18+D21*$D$18,0)</f>
        <v>1524</v>
      </c>
      <c r="H21" s="1249" t="s">
        <v>322</v>
      </c>
      <c r="I21" s="310"/>
      <c r="J21" s="2025"/>
      <c r="K21" s="2025"/>
      <c r="L21" s="2025"/>
      <c r="M21" s="2025"/>
      <c r="N21" s="2025"/>
      <c r="O21" s="2025"/>
      <c r="P21" s="2025"/>
      <c r="Q21" s="2025"/>
      <c r="R21" s="2025"/>
      <c r="S21" s="2025"/>
      <c r="T21" s="2025"/>
      <c r="U21" s="2025"/>
      <c r="V21" s="2025"/>
    </row>
    <row r="22" spans="1:26" ht="15" thickBot="1">
      <c r="A22" s="126" t="s">
        <v>324</v>
      </c>
      <c r="B22" s="1250"/>
      <c r="C22" s="1251"/>
      <c r="D22" s="282">
        <f ca="1">IF(C19&lt;D19,D19/C19-1,C19/D19-1)</f>
        <v>0.14966115349983422</v>
      </c>
      <c r="E22" s="283"/>
      <c r="F22" s="284"/>
      <c r="G22" s="285">
        <f ca="1">ROUND(G19/('数据-汇总表'!D3/666.67),0)</f>
        <v>102</v>
      </c>
      <c r="H22" s="286" t="s">
        <v>325</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46"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88"/>
      <c r="B25" s="1319" t="s">
        <v>327</v>
      </c>
      <c r="C25" s="289">
        <f>IF(B30=0,0,C30)</f>
        <v>0</v>
      </c>
      <c r="D25" s="290"/>
      <c r="E25" s="310"/>
      <c r="F25" s="310"/>
      <c r="G25" s="310"/>
      <c r="H25" s="310"/>
      <c r="I25" s="310"/>
      <c r="J25" s="2025"/>
      <c r="K25" s="1253" t="str">
        <f ca="1">项目基本情况!B16&amp;"国有建设用地使用权价格："&amp;O38&amp;"万元"</f>
        <v>出让国有建设用地使用权价格：22680万元</v>
      </c>
      <c r="L25" s="1254"/>
      <c r="M25" s="1254"/>
      <c r="N25" s="1254"/>
      <c r="O25" s="1255"/>
      <c r="P25" s="2025"/>
      <c r="Q25" s="2025"/>
      <c r="R25" s="2025"/>
      <c r="S25" s="2025"/>
      <c r="T25" s="2025"/>
      <c r="U25" s="2025"/>
      <c r="V25" s="2025"/>
    </row>
    <row r="26" spans="1:26" s="1252" customFormat="1" ht="17.399999999999999">
      <c r="A26" s="292" t="s">
        <v>328</v>
      </c>
      <c r="B26" s="293" t="s">
        <v>329</v>
      </c>
      <c r="C26" s="293" t="s">
        <v>330</v>
      </c>
      <c r="D26" s="294" t="s">
        <v>331</v>
      </c>
      <c r="E26" s="310"/>
      <c r="F26" s="310"/>
      <c r="G26" s="310"/>
      <c r="H26" s="310"/>
      <c r="I26" s="310"/>
      <c r="J26" s="2025"/>
      <c r="K26" s="1256" t="str">
        <f ca="1">"大写金额：人民币"&amp;NUMBERSTRING(INT(O38*10000),2)&amp;"元整"</f>
        <v>大写金额：人民币贰亿贰仟陆佰捌拾万元整</v>
      </c>
      <c r="L26" s="1250"/>
      <c r="M26" s="1250"/>
      <c r="N26" s="1250"/>
      <c r="O26" s="1249"/>
      <c r="P26" s="2025"/>
      <c r="Q26" s="2025"/>
      <c r="R26" s="2025"/>
      <c r="S26" s="2025"/>
      <c r="T26" s="2025"/>
      <c r="U26" s="2025"/>
      <c r="V26" s="2025"/>
      <c r="W26" s="291"/>
      <c r="X26" s="291"/>
      <c r="Y26" s="291"/>
      <c r="Z26" s="291"/>
    </row>
    <row r="27" spans="1:26" ht="17.399999999999999">
      <c r="A27" s="3224"/>
      <c r="B27" s="293"/>
      <c r="C27" s="293"/>
      <c r="D27" s="294"/>
      <c r="E27" s="310"/>
      <c r="F27" s="310"/>
      <c r="G27" s="310"/>
      <c r="H27" s="310"/>
      <c r="I27" s="310"/>
      <c r="J27" s="2025"/>
      <c r="K27" s="1256" t="str">
        <f ca="1">"单位面积地价："&amp;M38&amp;"元/平方米"</f>
        <v>单位面积地价：1524元/平方米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楼面地价：528元/平方米</v>
      </c>
      <c r="L28" s="1250"/>
      <c r="M28" s="1250"/>
      <c r="N28" s="1250"/>
      <c r="O28" s="1249"/>
      <c r="P28" s="2025"/>
      <c r="V28" s="2025"/>
    </row>
    <row r="29" spans="1:26" ht="17.399999999999999">
      <c r="A29" s="292"/>
      <c r="B29" s="293"/>
      <c r="C29" s="293"/>
      <c r="D29" s="294"/>
      <c r="E29" s="310"/>
      <c r="F29" s="310"/>
      <c r="G29" s="310"/>
      <c r="H29" s="310"/>
      <c r="I29" s="310"/>
      <c r="J29" s="2025"/>
      <c r="K29" s="1256" t="str">
        <f ca="1">IF(OR(项目基本情况!E8="抵押价格",项目基本情况!E8="已注销及未注销"),"抵押价格："&amp;O39&amp;"万元","——")</f>
        <v>抵押价格：22680万元</v>
      </c>
      <c r="L29" s="1250"/>
      <c r="M29" s="1250"/>
      <c r="N29" s="1250"/>
      <c r="O29" s="1249"/>
      <c r="P29" s="2025"/>
      <c r="V29" s="2025"/>
    </row>
    <row r="30" spans="1:26" ht="18" thickBot="1">
      <c r="A30" s="3151" t="s">
        <v>332</v>
      </c>
      <c r="B30" s="308">
        <f>B27</f>
        <v>0</v>
      </c>
      <c r="C30" s="308"/>
      <c r="D30" s="309">
        <f>D27</f>
        <v>0</v>
      </c>
      <c r="E30" s="3152" t="s">
        <v>2966</v>
      </c>
      <c r="F30" s="310"/>
      <c r="G30" s="310"/>
      <c r="H30" s="310"/>
      <c r="I30" s="310"/>
      <c r="J30" s="2025"/>
      <c r="K30" s="1256" t="str">
        <f ca="1">IF(K29="——","——","大写金额：人民币"&amp;NUMBERSTRING(INT(O39*10000),2)&amp;"元整")</f>
        <v>大写金额：人民币贰亿贰仟陆佰捌拾万元整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 thickBot="1">
      <c r="A32" s="267" t="s">
        <v>333</v>
      </c>
      <c r="B32" s="1377" t="s">
        <v>1685</v>
      </c>
      <c r="C32" s="1378">
        <f ca="1">G19-C24</f>
        <v>22680</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 thickBot="1">
      <c r="A33" s="297" t="s">
        <v>336</v>
      </c>
      <c r="B33" s="1380" t="s">
        <v>1687</v>
      </c>
      <c r="C33" s="263">
        <f ca="1">ROUND(C32*10000/'数据-汇总表'!E3,0)</f>
        <v>528</v>
      </c>
      <c r="D33" s="1381" t="s">
        <v>1688</v>
      </c>
      <c r="E33" s="3346" t="s">
        <v>334</v>
      </c>
      <c r="F33" s="295" t="s">
        <v>335</v>
      </c>
      <c r="G33" s="296"/>
      <c r="H33" s="978"/>
      <c r="I33" s="1257"/>
      <c r="J33" s="2025"/>
      <c r="K33" s="1256" t="str">
        <f>IF(项目基本情况!E9="——","——","抵押净值："&amp;C46&amp;"万元")</f>
        <v>——</v>
      </c>
      <c r="L33" s="1250"/>
      <c r="M33" s="1250"/>
      <c r="N33" s="1250"/>
      <c r="O33" s="1249"/>
      <c r="P33" s="2025"/>
      <c r="V33" s="2025"/>
    </row>
    <row r="34" spans="1:26" s="1252" customFormat="1" ht="18" thickBot="1">
      <c r="A34" s="299"/>
      <c r="B34" s="1382" t="s">
        <v>1689</v>
      </c>
      <c r="C34" s="263">
        <f ca="1">ROUND(C32*10000/'数据-汇总表'!D3,0)</f>
        <v>1524</v>
      </c>
      <c r="D34" s="1383" t="s">
        <v>1688</v>
      </c>
      <c r="E34" s="3347"/>
      <c r="F34" s="127" t="s">
        <v>337</v>
      </c>
      <c r="G34" s="298"/>
      <c r="H34" s="105"/>
      <c r="I34" s="310"/>
      <c r="J34" s="2025"/>
      <c r="K34" s="1259" t="str">
        <f>IF(K33="——","——","大写金额：人民币"&amp;NUMBERSTRING(INT(O41*10000),2)&amp;"元整")</f>
        <v>——</v>
      </c>
      <c r="L34" s="1260"/>
      <c r="M34" s="1260"/>
      <c r="N34" s="1260"/>
      <c r="O34" s="1261"/>
      <c r="P34" s="2025"/>
      <c r="Q34" s="291"/>
      <c r="R34" s="291"/>
      <c r="S34" s="291"/>
      <c r="T34" s="291"/>
      <c r="U34" s="291"/>
      <c r="V34" s="2025"/>
      <c r="W34" s="291"/>
      <c r="X34" s="291"/>
      <c r="Y34" s="291"/>
      <c r="Z34" s="291"/>
    </row>
    <row r="35" spans="1:26" ht="15" thickBot="1">
      <c r="A35" s="283"/>
      <c r="B35" s="1384"/>
      <c r="C35" s="1385">
        <f ca="1">ROUND(C32/('数据-汇总表'!D3/666.67),0)</f>
        <v>102</v>
      </c>
      <c r="D35" s="1386" t="s">
        <v>1690</v>
      </c>
      <c r="E35" s="3348"/>
      <c r="F35" s="300" t="s">
        <v>338</v>
      </c>
      <c r="G35" s="980"/>
      <c r="H35" s="979" t="s">
        <v>339</v>
      </c>
      <c r="I35" s="310"/>
      <c r="J35" s="2025"/>
      <c r="K35" s="3352" t="s">
        <v>346</v>
      </c>
      <c r="L35" s="3352" t="s">
        <v>347</v>
      </c>
      <c r="M35" s="1262" t="s">
        <v>348</v>
      </c>
      <c r="N35" s="3352" t="s">
        <v>349</v>
      </c>
      <c r="O35" s="3352" t="s">
        <v>350</v>
      </c>
      <c r="P35" s="2025"/>
      <c r="V35" s="2025"/>
    </row>
    <row r="36" spans="1:26" ht="16.5" customHeight="1">
      <c r="A36" s="302" t="s">
        <v>340</v>
      </c>
      <c r="B36" s="303" t="s">
        <v>329</v>
      </c>
      <c r="C36" s="304" t="s">
        <v>341</v>
      </c>
      <c r="D36" s="304" t="s">
        <v>342</v>
      </c>
      <c r="E36" s="305" t="s">
        <v>343</v>
      </c>
      <c r="F36" s="310"/>
      <c r="G36" s="310"/>
      <c r="H36" s="310"/>
      <c r="I36" s="310"/>
      <c r="J36" s="2027"/>
      <c r="K36" s="3353"/>
      <c r="L36" s="3353"/>
      <c r="M36" s="1264" t="s">
        <v>351</v>
      </c>
      <c r="N36" s="3353"/>
      <c r="O36" s="3353"/>
      <c r="P36" s="2025"/>
      <c r="V36" s="2025"/>
    </row>
    <row r="37" spans="1:26" ht="16.5" customHeight="1" thickBot="1">
      <c r="A37" s="1258" t="s">
        <v>344</v>
      </c>
      <c r="B37" s="306"/>
      <c r="C37" s="293"/>
      <c r="D37" s="3191"/>
      <c r="E37" s="294"/>
      <c r="F37" s="310"/>
      <c r="G37" s="310"/>
      <c r="H37" s="310"/>
      <c r="I37" s="310"/>
      <c r="J37" s="2027"/>
      <c r="K37" s="3354"/>
      <c r="L37" s="3354"/>
      <c r="M37" s="1265"/>
      <c r="N37" s="3354"/>
      <c r="O37" s="3354"/>
      <c r="P37" s="2025"/>
      <c r="V37" s="2025"/>
    </row>
    <row r="38" spans="1:26" ht="16.5" customHeight="1" thickBot="1">
      <c r="A38" s="1258" t="s">
        <v>345</v>
      </c>
      <c r="B38" s="306"/>
      <c r="C38" s="293"/>
      <c r="D38" s="3191"/>
      <c r="E38" s="294"/>
      <c r="F38" s="310"/>
      <c r="G38" s="310"/>
      <c r="H38" s="310"/>
      <c r="I38" s="310"/>
      <c r="J38" s="2027"/>
      <c r="K38" s="1266">
        <f>'数据-汇总表'!D3</f>
        <v>148860.29999999999</v>
      </c>
      <c r="L38" s="1267">
        <f>'数据-汇总表'!E3</f>
        <v>429582.71</v>
      </c>
      <c r="M38" s="1267">
        <f ca="1">C34</f>
        <v>1524</v>
      </c>
      <c r="N38" s="1267">
        <f ca="1">C33</f>
        <v>528</v>
      </c>
      <c r="O38" s="1268">
        <f ca="1">C32</f>
        <v>22680</v>
      </c>
      <c r="P38" s="2025"/>
      <c r="V38" s="2025"/>
    </row>
    <row r="39" spans="1:26" ht="16.5" customHeight="1" thickBot="1">
      <c r="A39" s="1263"/>
      <c r="B39" s="307"/>
      <c r="C39" s="308"/>
      <c r="D39" s="308"/>
      <c r="E39" s="309"/>
      <c r="F39" s="310"/>
      <c r="G39" s="310"/>
      <c r="H39" s="310"/>
      <c r="I39" s="310"/>
      <c r="J39" s="2027"/>
      <c r="K39" s="3329" t="str">
        <f>MID(A44,3,LEN(A44)-2)</f>
        <v>抵押价格</v>
      </c>
      <c r="L39" s="3330"/>
      <c r="M39" s="3330"/>
      <c r="N39" s="3331"/>
      <c r="O39" s="1388">
        <f ca="1">C44</f>
        <v>22680</v>
      </c>
      <c r="P39" s="2025"/>
      <c r="V39" s="2025"/>
    </row>
    <row r="40" spans="1:26" ht="18" thickBot="1">
      <c r="A40" s="104" t="s">
        <v>869</v>
      </c>
      <c r="B40" s="310"/>
      <c r="C40" s="310"/>
      <c r="D40" s="310"/>
      <c r="E40" s="310"/>
      <c r="F40" s="310"/>
      <c r="G40" s="310"/>
      <c r="H40" s="310"/>
      <c r="I40" s="310"/>
      <c r="J40" s="2027"/>
      <c r="K40" s="3329" t="str">
        <f t="shared" ref="K40:K41" si="0">MID(A45,3,LEN(A45)-2)</f>
        <v/>
      </c>
      <c r="L40" s="3330"/>
      <c r="M40" s="3330"/>
      <c r="N40" s="3331"/>
      <c r="O40" s="1388" t="str">
        <f>C45</f>
        <v>——</v>
      </c>
      <c r="P40" s="2025"/>
      <c r="V40" s="2025"/>
    </row>
    <row r="41" spans="1:26" ht="16.2" thickBot="1">
      <c r="A41" s="311" t="s">
        <v>352</v>
      </c>
      <c r="B41" s="312"/>
      <c r="C41" s="313" t="s">
        <v>353</v>
      </c>
      <c r="D41" s="314" t="s">
        <v>354</v>
      </c>
      <c r="E41" s="314" t="s">
        <v>355</v>
      </c>
      <c r="F41" s="315" t="s">
        <v>356</v>
      </c>
      <c r="G41" s="310"/>
      <c r="H41" s="310"/>
      <c r="I41" s="310"/>
      <c r="J41" s="2027"/>
      <c r="K41" s="3329" t="str">
        <f t="shared" si="0"/>
        <v/>
      </c>
      <c r="L41" s="3330"/>
      <c r="M41" s="3330"/>
      <c r="N41" s="3331"/>
      <c r="O41" s="1388" t="str">
        <f>C46</f>
        <v>——</v>
      </c>
      <c r="P41" s="2025"/>
      <c r="V41" s="2025"/>
    </row>
    <row r="42" spans="1:26" ht="31.2">
      <c r="A42" s="3389" t="s">
        <v>2066</v>
      </c>
      <c r="B42" s="3390"/>
      <c r="C42" s="263">
        <f ca="1">C32</f>
        <v>22680</v>
      </c>
      <c r="D42" s="316">
        <f ca="1">C33</f>
        <v>528</v>
      </c>
      <c r="E42" s="316">
        <f ca="1">C34</f>
        <v>1524</v>
      </c>
      <c r="F42" s="317">
        <f ca="1">C35</f>
        <v>102</v>
      </c>
      <c r="G42" s="310"/>
      <c r="H42" s="310"/>
      <c r="I42" s="318"/>
      <c r="J42" s="2027"/>
      <c r="K42" s="1269" t="s">
        <v>357</v>
      </c>
      <c r="L42" s="2044" t="s">
        <v>358</v>
      </c>
      <c r="M42" s="1270" t="s">
        <v>359</v>
      </c>
      <c r="N42" s="2045" t="s">
        <v>360</v>
      </c>
      <c r="O42" s="2046" t="s">
        <v>361</v>
      </c>
      <c r="P42" s="2025"/>
      <c r="V42" s="2025"/>
    </row>
    <row r="43" spans="1:26" ht="30">
      <c r="A43" s="3399" t="s">
        <v>2729</v>
      </c>
      <c r="B43" s="3400"/>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24259</v>
      </c>
      <c r="M43" s="1273">
        <f>C18</f>
        <v>0.5</v>
      </c>
      <c r="N43" s="1274">
        <f ca="1">IF(N42="测算结果/万元",G19,G20)</f>
        <v>22680</v>
      </c>
      <c r="O43" s="1275">
        <f ca="1">IF(O42="最终结果/万元",C32,C33)</f>
        <v>22680</v>
      </c>
      <c r="P43" s="2025"/>
      <c r="V43" s="2025"/>
    </row>
    <row r="44" spans="1:26" ht="30.6" thickBot="1">
      <c r="A44" s="3389" t="str">
        <f>IF(OR(项目基本情况!E8="抵押价格",项目基本情况!E8="已注销及未注销"),"3.抵押价格","——")</f>
        <v>3.抵押价格</v>
      </c>
      <c r="B44" s="3390"/>
      <c r="C44" s="263">
        <f ca="1">IF(A44="——","——",C42-C43)</f>
        <v>22680</v>
      </c>
      <c r="D44" s="316">
        <f ca="1">ROUND(C44*10000/'数据-汇总表'!E3,0)</f>
        <v>528</v>
      </c>
      <c r="E44" s="316">
        <f ca="1">ROUND(C44*10000/'数据-汇总表'!D3,0)</f>
        <v>1524</v>
      </c>
      <c r="F44" s="317">
        <f ca="1">ROUND(C44/('数据-汇总表'!D3/666.67),0)</f>
        <v>102</v>
      </c>
      <c r="G44" s="310"/>
      <c r="H44" s="310"/>
      <c r="I44" s="318"/>
      <c r="J44" s="2027"/>
      <c r="K44" s="1276" t="str">
        <f>D4</f>
        <v>剩余法-待开发</v>
      </c>
      <c r="L44" s="1277">
        <f ca="1">IF(L42="估价结果/万元",D19,D20)</f>
        <v>21101</v>
      </c>
      <c r="M44" s="1278">
        <f>D18</f>
        <v>0.5</v>
      </c>
      <c r="N44" s="1279"/>
      <c r="O44" s="1280"/>
      <c r="P44" s="2025"/>
      <c r="V44" s="2025"/>
    </row>
    <row r="45" spans="1:26" ht="13.8">
      <c r="A45" s="3394" t="str">
        <f>IF(项目基本情况!E8="已注销及未注销","4.抵押担保权已注销时的抵押价格",IF(项目基本情况!E8="已注销","3.抵押担保权已注销时的抵押价格","——"))</f>
        <v>——</v>
      </c>
      <c r="B45" s="3395"/>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91" t="str">
        <f>IF(项目基本情况!E9="抵押净值",IF(A45="——","4.抵押净值","5.抵押净值"),"——")</f>
        <v>——</v>
      </c>
      <c r="B46" s="3392"/>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f ca="1">G19+[2]结果表!$G$19</f>
        <v>73525</v>
      </c>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3.2">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3.2">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57" t="s">
        <v>370</v>
      </c>
      <c r="B63" s="3358"/>
      <c r="C63" s="3359"/>
      <c r="D63" s="340">
        <f ca="1">ROUND(C42*F63,0)</f>
        <v>22680</v>
      </c>
      <c r="E63" s="301" t="s">
        <v>371</v>
      </c>
      <c r="F63" s="341">
        <v>1</v>
      </c>
      <c r="G63" s="342" t="s">
        <v>372</v>
      </c>
      <c r="H63" s="310"/>
      <c r="I63" s="310"/>
      <c r="J63" s="2025"/>
      <c r="K63" s="2025"/>
      <c r="L63" s="2025"/>
      <c r="M63" s="2025"/>
      <c r="N63" s="2025"/>
      <c r="O63" s="2025"/>
      <c r="P63" s="310"/>
      <c r="Q63" s="2025"/>
      <c r="R63" s="2025"/>
      <c r="S63" s="2025"/>
      <c r="T63" s="2025"/>
      <c r="U63" s="2025"/>
      <c r="V63" s="2025"/>
    </row>
    <row r="64" spans="1:22" ht="14.25" customHeight="1">
      <c r="A64" s="3396" t="s">
        <v>374</v>
      </c>
      <c r="B64" s="3397"/>
      <c r="C64" s="3397"/>
      <c r="D64" s="3397"/>
      <c r="E64" s="3397"/>
      <c r="F64" s="3397"/>
      <c r="G64" s="3398"/>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6.4">
      <c r="A66" s="3393" t="s">
        <v>382</v>
      </c>
      <c r="B66" s="3364"/>
      <c r="C66" s="3364"/>
      <c r="D66" s="260">
        <f ca="1">IF(H66="情况1",0,IF(H66="情况2",D70,IF(H66="情况3",D71,IF(H66="情况4",D72))))</f>
        <v>1210</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33" t="s">
        <v>381</v>
      </c>
      <c r="M66" s="3334"/>
      <c r="N66" s="2479"/>
      <c r="O66" s="2480"/>
      <c r="P66" s="2481"/>
      <c r="Q66" s="2025"/>
      <c r="R66" s="2025"/>
      <c r="S66" s="2025"/>
      <c r="T66" s="2025"/>
      <c r="U66" s="2025"/>
      <c r="V66" s="2025"/>
    </row>
    <row r="67" spans="1:22" ht="25.5" customHeight="1">
      <c r="A67" s="351" t="s">
        <v>386</v>
      </c>
      <c r="B67" s="3376" t="s">
        <v>387</v>
      </c>
      <c r="C67" s="3376"/>
      <c r="D67" s="352">
        <v>0</v>
      </c>
      <c r="E67" s="41" t="s">
        <v>388</v>
      </c>
      <c r="F67" s="62" t="s">
        <v>21</v>
      </c>
      <c r="G67" s="3360"/>
      <c r="H67" s="310"/>
      <c r="I67" s="1290"/>
      <c r="J67" s="2032"/>
      <c r="K67" s="1973">
        <v>2</v>
      </c>
      <c r="L67" s="3332" t="s">
        <v>385</v>
      </c>
      <c r="M67" s="3332"/>
      <c r="N67" s="1323">
        <f>'数据-取费表'!B2</f>
        <v>43353</v>
      </c>
      <c r="O67" s="1323"/>
      <c r="P67" s="1323"/>
      <c r="Q67" s="2025"/>
      <c r="R67" s="2025"/>
      <c r="S67" s="2025"/>
      <c r="T67" s="2025"/>
      <c r="U67" s="2025"/>
      <c r="V67" s="2025"/>
    </row>
    <row r="68" spans="1:22" ht="25.5" customHeight="1">
      <c r="A68" s="353"/>
      <c r="B68" s="3376" t="s">
        <v>390</v>
      </c>
      <c r="C68" s="3376"/>
      <c r="D68" s="354"/>
      <c r="E68" s="77"/>
      <c r="F68" s="355"/>
      <c r="G68" s="3361"/>
      <c r="H68" s="310"/>
      <c r="I68" s="1290"/>
      <c r="J68" s="2032"/>
      <c r="K68" s="1973">
        <v>3</v>
      </c>
      <c r="L68" s="3332" t="s">
        <v>389</v>
      </c>
      <c r="M68" s="3332"/>
      <c r="N68" s="1291">
        <f ca="1">C42</f>
        <v>22680</v>
      </c>
      <c r="O68" s="1291"/>
      <c r="P68" s="1291"/>
      <c r="Q68" s="2025"/>
      <c r="R68" s="2025"/>
      <c r="S68" s="2025"/>
      <c r="T68" s="2025"/>
      <c r="U68" s="2025"/>
      <c r="V68" s="2025"/>
    </row>
    <row r="69" spans="1:22" ht="12" customHeight="1">
      <c r="A69" s="356"/>
      <c r="B69" s="3376" t="s">
        <v>391</v>
      </c>
      <c r="C69" s="3376"/>
      <c r="D69" s="357"/>
      <c r="E69" s="73"/>
      <c r="F69" s="355"/>
      <c r="G69" s="3362"/>
      <c r="H69" s="310"/>
      <c r="I69" s="1290"/>
      <c r="J69" s="2032"/>
      <c r="K69" s="1292">
        <v>4</v>
      </c>
      <c r="L69" s="3338" t="s">
        <v>2882</v>
      </c>
      <c r="M69" s="3339"/>
      <c r="N69" s="1293">
        <f ca="1">C44</f>
        <v>22680</v>
      </c>
      <c r="O69" s="1293"/>
      <c r="P69" s="1293"/>
      <c r="Q69" s="2025"/>
      <c r="R69" s="2025"/>
      <c r="S69" s="2025"/>
      <c r="T69" s="2025"/>
      <c r="U69" s="2025"/>
      <c r="V69" s="2025"/>
    </row>
    <row r="70" spans="1:22" ht="24" customHeight="1">
      <c r="A70" s="358" t="s">
        <v>392</v>
      </c>
      <c r="B70" s="3376" t="s">
        <v>393</v>
      </c>
      <c r="C70" s="3376"/>
      <c r="D70" s="357">
        <f ca="1">ROUND(D63*'数据-取费表'!B41/(1+'数据-取费表'!C42),0)</f>
        <v>1210</v>
      </c>
      <c r="E70" s="17" t="s">
        <v>394</v>
      </c>
      <c r="F70" s="359">
        <f>'数据-取费表'!B41</f>
        <v>5.6000000000000001E-2</v>
      </c>
      <c r="G70" s="360"/>
      <c r="H70" s="310"/>
      <c r="I70" s="1290"/>
      <c r="J70" s="2032"/>
      <c r="K70" s="3079"/>
      <c r="L70" s="3080"/>
      <c r="M70" s="3080"/>
      <c r="N70" s="3081" t="s">
        <v>2886</v>
      </c>
      <c r="O70" s="3080"/>
      <c r="P70" s="3082"/>
      <c r="Q70" s="2025"/>
      <c r="R70" s="2025"/>
      <c r="S70" s="2025"/>
      <c r="T70" s="2025"/>
      <c r="U70" s="2025"/>
      <c r="V70" s="2025"/>
    </row>
    <row r="71" spans="1:22" ht="12" customHeight="1">
      <c r="A71" s="358" t="s">
        <v>400</v>
      </c>
      <c r="B71" s="3375" t="s">
        <v>401</v>
      </c>
      <c r="C71" s="3387"/>
      <c r="D71" s="357">
        <f ca="1">ROUND(D63*'数据-取费表'!B41/(1+'数据-取费表'!C42),0)</f>
        <v>1210</v>
      </c>
      <c r="E71" s="17" t="s">
        <v>394</v>
      </c>
      <c r="F71" s="359">
        <f>'数据-取费表'!B41</f>
        <v>5.6000000000000001E-2</v>
      </c>
      <c r="G71" s="360"/>
      <c r="H71" s="310"/>
      <c r="I71" s="1290"/>
      <c r="J71" s="2032"/>
      <c r="K71" s="3078" t="s">
        <v>395</v>
      </c>
      <c r="L71" s="3340" t="s">
        <v>396</v>
      </c>
      <c r="M71" s="3340"/>
      <c r="N71" s="3078" t="s">
        <v>397</v>
      </c>
      <c r="O71" s="3078" t="s">
        <v>398</v>
      </c>
      <c r="P71" s="3078" t="s">
        <v>399</v>
      </c>
      <c r="Q71" s="2025"/>
      <c r="R71" s="2025"/>
      <c r="S71" s="2025"/>
      <c r="T71" s="2025"/>
      <c r="U71" s="2025"/>
      <c r="V71" s="2025"/>
    </row>
    <row r="72" spans="1:22" ht="12" customHeight="1">
      <c r="A72" s="358" t="s">
        <v>403</v>
      </c>
      <c r="B72" s="3375" t="s">
        <v>404</v>
      </c>
      <c r="C72" s="3387"/>
      <c r="D72" s="357">
        <f ca="1">C86</f>
        <v>1098</v>
      </c>
      <c r="E72" s="73" t="s">
        <v>405</v>
      </c>
      <c r="F72" s="359">
        <f>'数据-取费表'!B41</f>
        <v>5.6000000000000001E-2</v>
      </c>
      <c r="G72" s="360"/>
      <c r="H72" s="1296"/>
      <c r="I72" s="1290"/>
      <c r="J72" s="2032"/>
      <c r="K72" s="1973">
        <v>1</v>
      </c>
      <c r="L72" s="3337" t="s">
        <v>402</v>
      </c>
      <c r="M72" s="3337"/>
      <c r="N72" s="1294">
        <f ca="1">D66</f>
        <v>1210</v>
      </c>
      <c r="O72" s="1856" t="str">
        <f>E66</f>
        <v>销售额×税（费）率</v>
      </c>
      <c r="P72" s="1295">
        <f>F66</f>
        <v>5.6000000000000001E-2</v>
      </c>
      <c r="Q72" s="2025"/>
      <c r="R72" s="2025"/>
      <c r="S72" s="2025"/>
      <c r="T72" s="2025"/>
      <c r="U72" s="2025"/>
      <c r="V72" s="2025"/>
    </row>
    <row r="73" spans="1:22" ht="24" customHeight="1">
      <c r="A73" s="3363" t="s">
        <v>407</v>
      </c>
      <c r="B73" s="3364"/>
      <c r="C73" s="3364"/>
      <c r="D73" s="361">
        <f ca="1">IF(H73="个人住宅",0,ROUND(D63*I73,0))</f>
        <v>11</v>
      </c>
      <c r="E73" s="17" t="s">
        <v>408</v>
      </c>
      <c r="F73" s="359">
        <f>IF(H73="正常",I73,"免征")</f>
        <v>5.0000000000000001E-4</v>
      </c>
      <c r="G73" s="360"/>
      <c r="H73" s="191" t="s">
        <v>3229</v>
      </c>
      <c r="I73" s="359">
        <f>'数据-取费表'!B49</f>
        <v>5.0000000000000001E-4</v>
      </c>
      <c r="J73" s="2032"/>
      <c r="K73" s="1973">
        <v>2</v>
      </c>
      <c r="L73" s="3337" t="s">
        <v>406</v>
      </c>
      <c r="M73" s="3337"/>
      <c r="N73" s="1294">
        <f t="shared" ref="N73:P74" ca="1" si="1">D73</f>
        <v>11</v>
      </c>
      <c r="O73" s="1856" t="str">
        <f t="shared" si="1"/>
        <v>销售额×税（费）率</v>
      </c>
      <c r="P73" s="1295">
        <f t="shared" si="1"/>
        <v>5.0000000000000001E-4</v>
      </c>
      <c r="Q73" s="2025"/>
      <c r="R73" s="2025"/>
      <c r="S73" s="2025"/>
      <c r="T73" s="2025"/>
      <c r="U73" s="2025"/>
      <c r="V73" s="2025"/>
    </row>
    <row r="74" spans="1:22" ht="25.2">
      <c r="A74" s="3363" t="s">
        <v>411</v>
      </c>
      <c r="B74" s="3364"/>
      <c r="C74" s="3364"/>
      <c r="D74" s="361">
        <f ca="1">IF(H74="个人住宅",D75,D76)</f>
        <v>12239</v>
      </c>
      <c r="E74" s="17" t="s">
        <v>412</v>
      </c>
      <c r="F74" s="359" t="str">
        <f>IF(H74="正常",F76,"免征")</f>
        <v>——</v>
      </c>
      <c r="G74" s="981" t="s">
        <v>413</v>
      </c>
      <c r="H74" s="362" t="s">
        <v>409</v>
      </c>
      <c r="I74" s="42"/>
      <c r="J74" s="2032"/>
      <c r="K74" s="1973">
        <v>3</v>
      </c>
      <c r="L74" s="3337" t="s">
        <v>410</v>
      </c>
      <c r="M74" s="3337"/>
      <c r="N74" s="1294">
        <f t="shared" ca="1" si="1"/>
        <v>12239</v>
      </c>
      <c r="O74" s="1856" t="str">
        <f t="shared" si="1"/>
        <v>增值额×税（费）率</v>
      </c>
      <c r="P74" s="1297" t="str">
        <f t="shared" si="1"/>
        <v>——</v>
      </c>
      <c r="Q74" s="2025"/>
      <c r="R74" s="2025"/>
      <c r="S74" s="2025"/>
      <c r="T74" s="2025"/>
      <c r="U74" s="2025"/>
      <c r="V74" s="2025"/>
    </row>
    <row r="75" spans="1:22" ht="13.2">
      <c r="A75" s="358" t="s">
        <v>414</v>
      </c>
      <c r="B75" s="3344" t="s">
        <v>415</v>
      </c>
      <c r="C75" s="3345"/>
      <c r="D75" s="363">
        <v>0</v>
      </c>
      <c r="E75" s="41" t="s">
        <v>416</v>
      </c>
      <c r="F75" s="364"/>
      <c r="G75" s="360"/>
      <c r="H75" s="42"/>
      <c r="I75" s="42"/>
      <c r="J75" s="2032"/>
      <c r="K75" s="3071" t="str">
        <f>IF(H77="非个人房产","",4)</f>
        <v/>
      </c>
      <c r="L75" s="3337" t="str">
        <f>IF(H77="非个人房产","——","个人所得税")</f>
        <v>——</v>
      </c>
      <c r="M75" s="3337"/>
      <c r="N75" s="1298" t="str">
        <f>D77</f>
        <v>——</v>
      </c>
      <c r="O75" s="1869" t="str">
        <f>E77</f>
        <v>——</v>
      </c>
      <c r="P75" s="1299" t="str">
        <f>F77</f>
        <v>——</v>
      </c>
      <c r="Q75" s="2025"/>
      <c r="R75" s="2025"/>
      <c r="S75" s="2025"/>
      <c r="T75" s="2025"/>
      <c r="U75" s="2025"/>
      <c r="V75" s="2025"/>
    </row>
    <row r="76" spans="1:22" ht="25.2">
      <c r="A76" s="358" t="s">
        <v>392</v>
      </c>
      <c r="B76" s="3344" t="s">
        <v>418</v>
      </c>
      <c r="C76" s="3386"/>
      <c r="D76" s="361">
        <f ca="1">IF(H76="转让取得",C99,C115)</f>
        <v>12239</v>
      </c>
      <c r="E76" s="17" t="s">
        <v>419</v>
      </c>
      <c r="F76" s="53" t="s">
        <v>21</v>
      </c>
      <c r="G76" s="360"/>
      <c r="H76" s="362" t="s">
        <v>420</v>
      </c>
      <c r="I76" s="42"/>
      <c r="J76" s="2032"/>
      <c r="K76" s="3071" t="str">
        <f>IF(项目基本情况!K6="上海银行",IF(K75="",4,K75+1),"")</f>
        <v/>
      </c>
      <c r="L76" s="3325" t="str">
        <f>IF(项目基本情况!K6="上海银行","其他处置费用","")</f>
        <v/>
      </c>
      <c r="M76" s="3326"/>
      <c r="N76" s="1294" t="str">
        <f>IF(项目基本情况!K6="上海银行",N89,"")</f>
        <v/>
      </c>
      <c r="O76" s="3327" t="str">
        <f>IF(项目基本情况!K6="上海银行","包含处置中涉及的律师、诉讼、拍卖、评估等费用","")</f>
        <v/>
      </c>
      <c r="P76" s="3328"/>
      <c r="Q76" s="2025"/>
      <c r="R76" s="2025"/>
      <c r="S76" s="2025"/>
      <c r="T76" s="2025"/>
      <c r="U76" s="2025"/>
      <c r="V76" s="2025"/>
    </row>
    <row r="77" spans="1:22" ht="24.6" thickBot="1">
      <c r="A77" s="3355" t="s">
        <v>422</v>
      </c>
      <c r="B77" s="3356"/>
      <c r="C77" s="3356"/>
      <c r="D77" s="365" t="str">
        <f>IF(H77="非个人房产","——",IF(H77="个人住宅",0,ROUND(D63*I77,0)))</f>
        <v>——</v>
      </c>
      <c r="E77" s="366" t="str">
        <f>IF(H77="非个人房产","——","销售额×税（费）率")</f>
        <v>——</v>
      </c>
      <c r="F77" s="367" t="str">
        <f>IF(H77="非个人房产","——",IF(H77="个人住宅","免征",I77))</f>
        <v>——</v>
      </c>
      <c r="G77" s="982" t="s">
        <v>413</v>
      </c>
      <c r="H77" s="362" t="s">
        <v>3230</v>
      </c>
      <c r="I77" s="368">
        <v>0.01</v>
      </c>
      <c r="J77" s="2032"/>
      <c r="K77" s="3351">
        <f>IF(AND(K75="",K76=""),4,IF(项目基本情况!K6="上海银行",K76+1,K75+1))</f>
        <v>4</v>
      </c>
      <c r="L77" s="3337" t="s">
        <v>2883</v>
      </c>
      <c r="M77" s="3077" t="s">
        <v>417</v>
      </c>
      <c r="N77" s="1300"/>
      <c r="O77" s="1301">
        <f ca="1">SUMIF(N72:N76,"&lt;9e307")</f>
        <v>13460</v>
      </c>
      <c r="P77" s="1302"/>
      <c r="Q77" s="3075">
        <f ca="1">O77/N69</f>
        <v>0.59347442680776019</v>
      </c>
      <c r="R77" s="2025"/>
      <c r="S77" s="2025"/>
      <c r="T77" s="2025"/>
      <c r="U77" s="2025"/>
      <c r="V77" s="2025"/>
    </row>
    <row r="78" spans="1:22" ht="12" customHeight="1">
      <c r="A78" s="1303"/>
      <c r="B78" s="310"/>
      <c r="C78" s="310"/>
      <c r="D78" s="310"/>
      <c r="E78" s="42"/>
      <c r="F78" s="42"/>
      <c r="G78" s="42"/>
      <c r="H78" s="1001"/>
      <c r="I78" s="310"/>
      <c r="J78" s="2032"/>
      <c r="K78" s="3351"/>
      <c r="L78" s="3337"/>
      <c r="M78" s="3077" t="s">
        <v>421</v>
      </c>
      <c r="N78" s="1300"/>
      <c r="O78" s="1301" t="str">
        <f ca="1">NUMBERSTRING(INT(O77*10000),2)&amp;"元整"</f>
        <v>壹亿叁仟肆佰陆拾万元整</v>
      </c>
      <c r="P78" s="1302"/>
      <c r="Q78" s="2025"/>
      <c r="R78" s="2025"/>
      <c r="S78" s="2025"/>
      <c r="T78" s="2025"/>
      <c r="U78" s="2025"/>
      <c r="V78" s="2025"/>
    </row>
    <row r="79" spans="1:22" ht="13.8" thickBot="1">
      <c r="A79" s="3341" t="s">
        <v>423</v>
      </c>
      <c r="B79" s="3341"/>
      <c r="C79" s="3341"/>
      <c r="D79" s="3341"/>
      <c r="E79" s="3341"/>
      <c r="F79" s="42"/>
      <c r="G79" s="42"/>
      <c r="H79" s="1001"/>
      <c r="I79" s="310"/>
      <c r="J79" s="2032"/>
      <c r="K79" s="3335">
        <f>K77+1</f>
        <v>5</v>
      </c>
      <c r="L79" s="3337" t="s">
        <v>2884</v>
      </c>
      <c r="M79" s="3077" t="s">
        <v>417</v>
      </c>
      <c r="N79" s="1300"/>
      <c r="O79" s="1301">
        <f ca="1">N69-O77</f>
        <v>9220</v>
      </c>
      <c r="P79" s="1302"/>
      <c r="Q79" s="2025"/>
      <c r="R79" s="2025"/>
      <c r="S79" s="2025"/>
      <c r="T79" s="2025"/>
      <c r="U79" s="2025"/>
      <c r="V79" s="2025"/>
    </row>
    <row r="80" spans="1:22" ht="26.4">
      <c r="A80" s="3342" t="s">
        <v>424</v>
      </c>
      <c r="B80" s="3343"/>
      <c r="C80" s="992"/>
      <c r="D80" s="992" t="s">
        <v>425</v>
      </c>
      <c r="E80" s="369" t="s">
        <v>426</v>
      </c>
      <c r="F80" s="42"/>
      <c r="G80" s="42"/>
      <c r="H80" s="1001"/>
      <c r="I80" s="310"/>
      <c r="J80" s="2025"/>
      <c r="K80" s="3336"/>
      <c r="L80" s="3337"/>
      <c r="M80" s="3077" t="s">
        <v>421</v>
      </c>
      <c r="N80" s="1300"/>
      <c r="O80" s="1301" t="str">
        <f ca="1">NUMBERSTRING(INT(O79*10000),2)&amp;"元整"</f>
        <v>玖仟贰佰贰拾万元整</v>
      </c>
      <c r="P80" s="1302"/>
      <c r="Q80" s="2025"/>
      <c r="R80" s="2025"/>
      <c r="S80" s="2025"/>
      <c r="T80" s="2025"/>
      <c r="U80" s="2025"/>
      <c r="V80" s="2025"/>
    </row>
    <row r="81" spans="1:26" ht="13.8" thickBot="1">
      <c r="A81" s="380" t="s">
        <v>1820</v>
      </c>
      <c r="B81" s="370" t="s">
        <v>427</v>
      </c>
      <c r="C81" s="371">
        <f ca="1">ROUND((C82+C83)/(1+'数据-取费表'!C42),0)</f>
        <v>21600</v>
      </c>
      <c r="D81" s="372"/>
      <c r="E81" s="373"/>
      <c r="F81" s="42"/>
      <c r="G81" s="42"/>
      <c r="H81" s="1001"/>
      <c r="I81" s="310"/>
      <c r="J81" s="2025"/>
      <c r="K81" s="3071">
        <f>K79+1</f>
        <v>6</v>
      </c>
      <c r="L81" s="3349" t="s">
        <v>2885</v>
      </c>
      <c r="M81" s="3350"/>
      <c r="N81" s="1304"/>
      <c r="O81" s="1305">
        <f ca="1">ROUND(O79*10000/'数据-汇总表'!E3,0)</f>
        <v>215</v>
      </c>
      <c r="P81" s="1306"/>
      <c r="Q81" s="2025"/>
      <c r="R81" s="2025"/>
      <c r="S81" s="2025"/>
      <c r="T81" s="2025"/>
      <c r="U81" s="2025"/>
      <c r="V81" s="2025"/>
    </row>
    <row r="82" spans="1:26" ht="13.8" thickTop="1">
      <c r="A82" s="374" t="s">
        <v>1821</v>
      </c>
      <c r="B82" s="375" t="s">
        <v>428</v>
      </c>
      <c r="C82" s="376">
        <f ca="1">D63</f>
        <v>22680</v>
      </c>
      <c r="D82" s="377" t="s">
        <v>19</v>
      </c>
      <c r="E82" s="378"/>
      <c r="F82" s="42"/>
      <c r="G82" s="42"/>
      <c r="H82" s="1001"/>
      <c r="I82" s="310"/>
      <c r="J82" s="2025"/>
      <c r="K82" s="2025"/>
      <c r="L82" s="2025"/>
      <c r="M82" s="2025"/>
      <c r="N82" s="2025"/>
      <c r="O82" s="2025"/>
      <c r="P82" s="2025"/>
      <c r="Q82" s="2025"/>
      <c r="R82" s="2025"/>
      <c r="S82" s="2025"/>
      <c r="T82" s="2025"/>
      <c r="U82" s="2025"/>
      <c r="V82" s="2025"/>
    </row>
    <row r="83" spans="1:26" ht="13.2">
      <c r="A83" s="374" t="s">
        <v>1822</v>
      </c>
      <c r="B83" s="375" t="s">
        <v>429</v>
      </c>
      <c r="C83" s="379">
        <v>0</v>
      </c>
      <c r="D83" s="377"/>
      <c r="E83" s="378"/>
      <c r="F83" s="42"/>
      <c r="G83" s="42"/>
      <c r="H83" s="1001"/>
      <c r="I83" s="310"/>
      <c r="J83" s="2025"/>
      <c r="K83" s="3324" t="s">
        <v>2873</v>
      </c>
      <c r="L83" s="3083" t="s">
        <v>2874</v>
      </c>
      <c r="M83" s="3073">
        <f ca="1">IF(N69&gt;10000,N69*0.5%,IF(AND(N69&gt;1000,N69&lt;=10000),N69*1%,IF(AND(N69&gt;100,N69&lt;=1000),N69*3%,IF(AND(N69&gt;10,N69&lt;=100),N69*5%,N69*8%))))</f>
        <v>113.4</v>
      </c>
      <c r="N83" s="53">
        <f ca="1">ROUND(M83,1)</f>
        <v>113.4</v>
      </c>
      <c r="O83" s="3076"/>
      <c r="P83" s="2025"/>
      <c r="Q83" s="2025"/>
      <c r="R83" s="2025"/>
      <c r="S83" s="2025"/>
      <c r="T83" s="2025"/>
      <c r="U83" s="2025"/>
      <c r="V83" s="2025"/>
    </row>
    <row r="84" spans="1:26" ht="25.2">
      <c r="A84" s="380" t="s">
        <v>1823</v>
      </c>
      <c r="B84" s="381" t="s">
        <v>430</v>
      </c>
      <c r="C84" s="382">
        <v>2000</v>
      </c>
      <c r="D84" s="383" t="s">
        <v>19</v>
      </c>
      <c r="E84" s="3116" t="s">
        <v>2937</v>
      </c>
      <c r="F84" s="42"/>
      <c r="G84" s="42"/>
      <c r="H84" s="1001"/>
      <c r="I84" s="310"/>
      <c r="J84" s="2025"/>
      <c r="K84" s="3324"/>
      <c r="L84" s="3083" t="s">
        <v>2875</v>
      </c>
      <c r="M84" s="3073">
        <f ca="1">IF(N69&gt;2000,N69*0.5%,IF(AND(N69&gt;1000,N69&lt;=2000),N69*0.6%,IF(AND(N69&gt;500,N69&lt;=1000),N69*0.7%,IF(AND(N69&gt;200,N69&lt;=500),N69*0.8%,IF(AND(N69&gt;100,N69&lt;=200),N69*0.9%,IF(AND(N69&gt;50,N69&lt;=100),N69*1%,IF(AND(N69&gt;20,N69&lt;=50),N69*1.5%,IF(AND(N69&gt;10,N69&lt;=20),N69*2%,IF(AND(N69&gt;1,N69&lt;=10),N69*2.5%)))))))))</f>
        <v>113.4</v>
      </c>
      <c r="N84" s="53">
        <f t="shared" ref="N84:N85" ca="1" si="2">ROUND(M84,1)</f>
        <v>113.4</v>
      </c>
      <c r="O84" s="2025" t="s">
        <v>2876</v>
      </c>
      <c r="P84" s="2025"/>
      <c r="Q84" s="2025"/>
      <c r="R84" s="2025"/>
      <c r="S84" s="2025"/>
      <c r="T84" s="2025"/>
      <c r="U84" s="2025"/>
      <c r="V84" s="2025"/>
    </row>
    <row r="85" spans="1:26" ht="13.2">
      <c r="A85" s="380" t="s">
        <v>1824</v>
      </c>
      <c r="B85" s="381" t="s">
        <v>431</v>
      </c>
      <c r="C85" s="384">
        <f ca="1">C81-C84</f>
        <v>19600</v>
      </c>
      <c r="D85" s="377" t="s">
        <v>19</v>
      </c>
      <c r="E85" s="378"/>
      <c r="F85" s="42"/>
      <c r="G85" s="42"/>
      <c r="H85" s="1001"/>
      <c r="I85" s="310"/>
      <c r="J85" s="2025"/>
      <c r="K85" s="3324"/>
      <c r="L85" s="3083" t="s">
        <v>2877</v>
      </c>
      <c r="M85" s="3073">
        <f ca="1">IF(N69&gt;1000,N69*0.1%,IF(AND(N69&gt;500,N69&lt;=1000),N69*0.5%,IF(AND(N69&gt;50,N69&lt;=500),N69*1%,IF(AND(N69&gt;1,N69&lt;=50),N69*1.5%))))</f>
        <v>22.68</v>
      </c>
      <c r="N85" s="53">
        <f t="shared" ca="1" si="2"/>
        <v>22.7</v>
      </c>
      <c r="O85" s="2025" t="s">
        <v>2876</v>
      </c>
      <c r="P85" s="2025"/>
      <c r="Q85" s="2025"/>
      <c r="R85" s="2025"/>
      <c r="S85" s="2025"/>
      <c r="T85" s="2025"/>
      <c r="U85" s="2025"/>
      <c r="V85" s="2025"/>
    </row>
    <row r="86" spans="1:26" ht="13.8" thickBot="1">
      <c r="A86" s="385" t="s">
        <v>1825</v>
      </c>
      <c r="B86" s="386" t="s">
        <v>432</v>
      </c>
      <c r="C86" s="387">
        <f ca="1">IF(C85&lt;=0,0,ROUND(C85*D86,0))</f>
        <v>1098</v>
      </c>
      <c r="D86" s="388">
        <f>'数据-取费表'!B41</f>
        <v>5.6000000000000001E-2</v>
      </c>
      <c r="E86" s="389"/>
      <c r="F86" s="42"/>
      <c r="G86" s="42"/>
      <c r="H86" s="1001"/>
      <c r="I86" s="310"/>
      <c r="J86" s="2025"/>
      <c r="K86" s="3324"/>
      <c r="L86" s="3083" t="s">
        <v>2878</v>
      </c>
      <c r="M86" s="3073">
        <f ca="1">N69*0.5%</f>
        <v>113.4</v>
      </c>
      <c r="N86" s="53">
        <f ca="1">IF(M86&gt;0.5,0.5,ROUND(M86,0))</f>
        <v>0.5</v>
      </c>
      <c r="O86" s="2025" t="s">
        <v>2879</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24"/>
      <c r="L87" s="3083" t="s">
        <v>2880</v>
      </c>
      <c r="M87" s="3073">
        <f ca="1">IF(N69&gt;=10000,(8.25+(N69-10000)*0.01%),IF(AND(N69&gt;=8000,N69&lt;10000),(7.85+(N69-8000)*0.02%),IF(AND(N69&gt;=5000,N69&lt;8000),(6.65+(N69-5000)*0.04%),IF(AND(N69&gt;=2000,N69&lt;5000),(4.25+(PN69-2000)*0.08%),IF(AND(N69&gt;=1000,N69&lt;2000),(2.75+(N69-1000)*0.15%),IF(AND(N69&gt;=100,N69&lt;1000),(0.5+(N69-100)*0.25%),IF(AND(N69&gt;0,N69&lt;100),N69*0.5%)))))))</f>
        <v>9.5180000000000007</v>
      </c>
      <c r="N87" s="53">
        <f ca="1">ROUND(M87*0.9,1)</f>
        <v>8.6</v>
      </c>
      <c r="O87" s="3076"/>
      <c r="P87" s="310"/>
      <c r="Q87" s="2025"/>
      <c r="R87" s="2025"/>
      <c r="S87" s="2025"/>
      <c r="T87" s="2025"/>
      <c r="U87" s="2025"/>
      <c r="V87" s="2025"/>
      <c r="W87" s="291"/>
      <c r="X87" s="291"/>
      <c r="Y87" s="291"/>
      <c r="Z87" s="291"/>
    </row>
    <row r="88" spans="1:26" s="1312" customFormat="1" ht="14.4" thickBot="1">
      <c r="A88" s="3378" t="s">
        <v>433</v>
      </c>
      <c r="B88" s="3379"/>
      <c r="C88" s="3379"/>
      <c r="D88" s="3379"/>
      <c r="E88" s="3379"/>
      <c r="F88" s="3379"/>
      <c r="G88" s="3379"/>
      <c r="H88" s="3379"/>
      <c r="I88" s="1313"/>
      <c r="J88" s="2033"/>
      <c r="K88" s="3324"/>
      <c r="L88" s="3083" t="s">
        <v>2881</v>
      </c>
      <c r="M88" s="3073">
        <f ca="1">IF(N69&gt;10000,N69*0.5%,IF(AND(N69&gt;5000,N69&lt;=10000),N69*1%,IF(AND(N69&gt;1000,N69&lt;=5000),N69*2%,IF(AND(N69&gt;200,N69&lt;=1000),N69*3%,N69*5%))))</f>
        <v>113.4</v>
      </c>
      <c r="N88" s="53">
        <f ca="1">ROUND(M88,1)</f>
        <v>113.4</v>
      </c>
      <c r="O88" s="3076"/>
      <c r="P88" s="11"/>
      <c r="Q88" s="2030"/>
      <c r="R88" s="2030"/>
      <c r="S88" s="2030"/>
      <c r="T88" s="2030"/>
      <c r="U88" s="2030"/>
      <c r="V88" s="2030"/>
      <c r="W88" s="2034"/>
      <c r="X88" s="2034"/>
      <c r="Y88" s="2034"/>
      <c r="Z88" s="2034"/>
    </row>
    <row r="89" spans="1:26" s="1312" customFormat="1" ht="13.8">
      <c r="A89" s="3342" t="s">
        <v>424</v>
      </c>
      <c r="B89" s="3343"/>
      <c r="C89" s="992"/>
      <c r="D89" s="992" t="s">
        <v>425</v>
      </c>
      <c r="E89" s="390" t="s">
        <v>434</v>
      </c>
      <c r="F89" s="391"/>
      <c r="G89" s="391"/>
      <c r="H89" s="392"/>
      <c r="I89" s="1314"/>
      <c r="J89" s="2035"/>
      <c r="K89" s="3324"/>
      <c r="L89" s="3083" t="s">
        <v>27</v>
      </c>
      <c r="M89" s="3074"/>
      <c r="N89" s="53">
        <f ca="1">ROUND(SUM(N83:N88),0)</f>
        <v>372</v>
      </c>
      <c r="O89" s="3084">
        <f ca="1">N89/N69</f>
        <v>1.6402116402116401E-2</v>
      </c>
      <c r="P89" s="2030"/>
      <c r="Q89" s="2030"/>
      <c r="R89" s="2030"/>
      <c r="S89" s="2030"/>
      <c r="T89" s="2030"/>
      <c r="U89" s="2030"/>
      <c r="V89" s="2030"/>
      <c r="W89" s="2034"/>
      <c r="X89" s="2034"/>
      <c r="Y89" s="2034"/>
      <c r="Z89" s="2034"/>
    </row>
    <row r="90" spans="1:26" s="1312" customFormat="1" ht="13.8">
      <c r="A90" s="380" t="s">
        <v>1820</v>
      </c>
      <c r="B90" s="381" t="s">
        <v>435</v>
      </c>
      <c r="C90" s="384">
        <f ca="1">ROUND(D63/(1+'数据-取费表'!C42),0)</f>
        <v>21600</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3.8">
      <c r="A91" s="380" t="s">
        <v>1826</v>
      </c>
      <c r="B91" s="347" t="s">
        <v>436</v>
      </c>
      <c r="C91" s="384">
        <f ca="1">C92+C96</f>
        <v>2691</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4">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75" t="s">
        <v>443</v>
      </c>
      <c r="F94" s="3376"/>
      <c r="G94" s="3376"/>
      <c r="H94" s="3377"/>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130</v>
      </c>
      <c r="D96" s="405">
        <f>'数据-取费表'!B43</f>
        <v>6.000000000000001E-3</v>
      </c>
      <c r="E96" s="3365" t="s">
        <v>2428</v>
      </c>
      <c r="F96" s="3366"/>
      <c r="G96" s="3366"/>
      <c r="H96" s="3367"/>
      <c r="I96" s="1315"/>
      <c r="J96" s="2036"/>
      <c r="K96" s="2030"/>
      <c r="L96" s="2030"/>
      <c r="M96" s="2030"/>
      <c r="N96" s="2030"/>
      <c r="O96" s="2030"/>
      <c r="P96" s="2030"/>
      <c r="Q96" s="2030"/>
      <c r="R96" s="2030"/>
      <c r="S96" s="2030"/>
      <c r="T96" s="2030"/>
      <c r="U96" s="2030"/>
      <c r="V96" s="2030"/>
      <c r="W96" s="2034"/>
      <c r="X96" s="2034"/>
      <c r="Y96" s="2034"/>
      <c r="Z96" s="2034"/>
    </row>
    <row r="97" spans="1:26" s="1312" customFormat="1" ht="13.8">
      <c r="A97" s="1613" t="s">
        <v>1832</v>
      </c>
      <c r="B97" s="381" t="s">
        <v>447</v>
      </c>
      <c r="C97" s="384">
        <f ca="1">C90-C91</f>
        <v>18909</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7.0267558528428093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6" thickBot="1">
      <c r="A99" s="1614" t="s">
        <v>1834</v>
      </c>
      <c r="B99" s="386" t="s">
        <v>449</v>
      </c>
      <c r="C99" s="407">
        <f ca="1">ROUND(IF(C97&lt;=0,0,IF(C98&gt;=200%,C97*60%-C91*35%,IF(C98&gt;=100%,C97*50%-C91*15%,IF(C98&gt;=50%,C97*40%-C91*5%,IF(C98&lt;50%,C97*30%,0))))),0)</f>
        <v>10404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4.4" thickBot="1">
      <c r="A101" s="3378" t="s">
        <v>450</v>
      </c>
      <c r="B101" s="3379"/>
      <c r="C101" s="3379"/>
      <c r="D101" s="3379"/>
      <c r="E101" s="3379"/>
      <c r="F101" s="3379"/>
      <c r="G101" s="3379"/>
      <c r="H101" s="3379"/>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3.8">
      <c r="A102" s="3342" t="s">
        <v>424</v>
      </c>
      <c r="B102" s="3343"/>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3.8">
      <c r="A103" s="380" t="s">
        <v>1820</v>
      </c>
      <c r="B103" s="381" t="s">
        <v>435</v>
      </c>
      <c r="C103" s="384">
        <f ca="1">ROUND(D63/(1+'数据-取费表'!C42),0)</f>
        <v>21600</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3.8">
      <c r="A104" s="380" t="s">
        <v>1826</v>
      </c>
      <c r="B104" s="347" t="s">
        <v>436</v>
      </c>
      <c r="C104" s="384">
        <f ca="1">IF(H106="仅含出让金",C105+C108+C109+C110+C111+C112,C105+C109+C110+C111+C112)</f>
        <v>759</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3.8">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26.4">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3.8">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3.8">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0</v>
      </c>
      <c r="D109" s="405"/>
      <c r="E109" s="3368" t="s">
        <v>458</v>
      </c>
      <c r="F109" s="3366"/>
      <c r="G109" s="3366"/>
      <c r="H109" s="1938" t="s">
        <v>2278</v>
      </c>
      <c r="I109" s="1939"/>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57</v>
      </c>
      <c r="D110" s="405">
        <v>0.1</v>
      </c>
      <c r="E110" s="3368" t="s">
        <v>460</v>
      </c>
      <c r="F110" s="3366"/>
      <c r="G110" s="3366"/>
      <c r="H110" s="3367"/>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130</v>
      </c>
      <c r="D111" s="405">
        <f>'数据-取费表'!B43</f>
        <v>6.000000000000001E-3</v>
      </c>
      <c r="E111" s="3365" t="s">
        <v>2428</v>
      </c>
      <c r="F111" s="3366"/>
      <c r="G111" s="3366"/>
      <c r="H111" s="3367"/>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68" t="s">
        <v>2453</v>
      </c>
      <c r="F112" s="3366"/>
      <c r="G112" s="3366"/>
      <c r="H112" s="3367"/>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3.8">
      <c r="A113" s="1613" t="s">
        <v>1832</v>
      </c>
      <c r="B113" s="381" t="s">
        <v>447</v>
      </c>
      <c r="C113" s="384">
        <f ca="1">ROUND(C103-C104,0)</f>
        <v>20841</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27.458498023715414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6" thickBot="1">
      <c r="A115" s="1614" t="s">
        <v>1834</v>
      </c>
      <c r="B115" s="386" t="s">
        <v>449</v>
      </c>
      <c r="C115" s="407">
        <f ca="1">ROUND(IF(C113&lt;=0,0,IF(C114&gt;=200%,C113*60%-C104*35%,IF(C114&gt;=100%,C113*50%-C104*15%,IF(C114&gt;=50%,C113*40%-C104*5%,IF(C114&lt;50%,C113*30%,0))))),0)</f>
        <v>12239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E32" sqref="E32"/>
    </sheetView>
  </sheetViews>
  <sheetFormatPr defaultColWidth="9" defaultRowHeight="13.8"/>
  <cols>
    <col min="1" max="1" width="15.6640625" style="1335" customWidth="1"/>
    <col min="2" max="2" width="15.77734375" style="1335" customWidth="1"/>
    <col min="3" max="3" width="23.88671875" style="1335" customWidth="1"/>
    <col min="4" max="4" width="16"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24259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565</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1630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109</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517</v>
      </c>
      <c r="B6" s="512"/>
      <c r="C6" s="3423" t="s">
        <v>518</v>
      </c>
      <c r="D6" s="3424"/>
      <c r="E6" s="3423" t="s">
        <v>519</v>
      </c>
      <c r="F6" s="3424"/>
      <c r="G6" s="3423" t="s">
        <v>520</v>
      </c>
      <c r="H6" s="3424"/>
      <c r="I6" s="3423" t="s">
        <v>521</v>
      </c>
      <c r="J6" s="3424"/>
      <c r="K6" s="513" t="s">
        <v>522</v>
      </c>
      <c r="L6" s="2130"/>
      <c r="M6" s="2129"/>
      <c r="N6" s="2129"/>
      <c r="O6" s="2131"/>
      <c r="P6" s="3425" t="s">
        <v>523</v>
      </c>
      <c r="Q6" s="3426"/>
      <c r="R6" s="3411" t="s">
        <v>519</v>
      </c>
      <c r="S6" s="3412"/>
      <c r="T6" s="3411" t="s">
        <v>520</v>
      </c>
      <c r="U6" s="3412"/>
      <c r="V6" s="3431" t="s">
        <v>521</v>
      </c>
      <c r="W6" s="3431"/>
      <c r="X6" s="1563"/>
      <c r="Y6" s="3411" t="s">
        <v>523</v>
      </c>
      <c r="Z6" s="3412"/>
      <c r="AA6" s="3406" t="s">
        <v>519</v>
      </c>
      <c r="AB6" s="3407" t="s">
        <v>520</v>
      </c>
      <c r="AC6" s="3406" t="s">
        <v>521</v>
      </c>
    </row>
    <row r="7" spans="1:30" ht="42" customHeight="1">
      <c r="A7" s="514"/>
      <c r="B7" s="515"/>
      <c r="C7" s="3436" t="str">
        <f>项目基本情况!F10</f>
        <v>鄂州市花湖开发区杨叶大道与胄山大道交叉口西侧</v>
      </c>
      <c r="D7" s="3435"/>
      <c r="E7" s="3434" t="str">
        <f>案例!A3</f>
        <v>花湖开发区滨港西路以北</v>
      </c>
      <c r="F7" s="3435"/>
      <c r="G7" s="3434" t="str">
        <f>案例!A19</f>
        <v>鄂州开发区兴业一路东侧、得胜路南侧</v>
      </c>
      <c r="H7" s="3435"/>
      <c r="I7" s="3434" t="str">
        <f>案例!A22</f>
        <v>庚亮路南侧,五丈港路以西</v>
      </c>
      <c r="J7" s="3435"/>
      <c r="K7" s="513"/>
      <c r="L7" s="2130"/>
      <c r="M7" s="2129"/>
      <c r="N7" s="2129"/>
      <c r="O7" s="2131"/>
      <c r="P7" s="3427"/>
      <c r="Q7" s="3428"/>
      <c r="R7" s="3413"/>
      <c r="S7" s="3414"/>
      <c r="T7" s="3413"/>
      <c r="U7" s="3414"/>
      <c r="V7" s="3431"/>
      <c r="W7" s="3431"/>
      <c r="X7" s="1563"/>
      <c r="Y7" s="3413"/>
      <c r="Z7" s="3414"/>
      <c r="AA7" s="3407"/>
      <c r="AB7" s="3407"/>
      <c r="AC7" s="3407"/>
    </row>
    <row r="8" spans="1:30" ht="21.6" customHeight="1" thickBot="1">
      <c r="A8" s="514"/>
      <c r="B8" s="515"/>
      <c r="C8" s="3437" t="s">
        <v>3583</v>
      </c>
      <c r="D8" s="3438"/>
      <c r="E8" s="3437" t="s">
        <v>3583</v>
      </c>
      <c r="F8" s="3438"/>
      <c r="G8" s="3432" t="str">
        <f>案例!D8</f>
        <v>鄂城区</v>
      </c>
      <c r="H8" s="3433"/>
      <c r="I8" s="3432" t="str">
        <f>案例!F8</f>
        <v>鄂州市西山街道办事处小桥村</v>
      </c>
      <c r="J8" s="3433"/>
      <c r="K8" s="513" t="s">
        <v>524</v>
      </c>
      <c r="L8" s="2130"/>
      <c r="M8" s="2129"/>
      <c r="N8" s="2129"/>
      <c r="O8" s="2131"/>
      <c r="P8" s="3429"/>
      <c r="Q8" s="3430"/>
      <c r="R8" s="3413"/>
      <c r="S8" s="3414"/>
      <c r="T8" s="3415"/>
      <c r="U8" s="3416"/>
      <c r="V8" s="3431"/>
      <c r="W8" s="3431"/>
      <c r="X8" s="1563"/>
      <c r="Y8" s="3415"/>
      <c r="Z8" s="3416"/>
      <c r="AA8" s="3408"/>
      <c r="AB8" s="3408"/>
      <c r="AC8" s="3408"/>
    </row>
    <row r="9" spans="1:30" s="1218" customFormat="1" ht="21.6" thickBot="1">
      <c r="A9" s="2933"/>
      <c r="B9" s="2940" t="s">
        <v>525</v>
      </c>
      <c r="C9" s="2932">
        <f>'数据-取费表'!B2</f>
        <v>43353</v>
      </c>
      <c r="D9" s="519">
        <v>100</v>
      </c>
      <c r="E9" s="520" t="str">
        <f>案例!AA3</f>
        <v>2018-06-28</v>
      </c>
      <c r="F9" s="521">
        <f>SUMIF(72:72,YEAR(E9)&amp;"-"&amp;INT((MONTH(E9)+2)/3),73:73)</f>
        <v>99</v>
      </c>
      <c r="G9" s="522" t="str">
        <f>案例!AA19</f>
        <v>2017-09-12</v>
      </c>
      <c r="H9" s="519">
        <f>SUMIF(72:72,YEAR(G9)&amp;"-"&amp;INT((MONTH(G9)+2)/3),73:73)</f>
        <v>97</v>
      </c>
      <c r="I9" s="522" t="str">
        <f>案例!AA22</f>
        <v>2017-06-16</v>
      </c>
      <c r="J9" s="519">
        <f>SUMIF(72:72,YEAR(I9)&amp;"-"&amp;INT((MONTH(I9)+2)/3),73:73)</f>
        <v>96</v>
      </c>
      <c r="K9" s="523"/>
      <c r="L9" s="2132"/>
      <c r="M9" s="2129"/>
      <c r="N9" s="2129"/>
      <c r="O9" s="2133"/>
      <c r="P9" s="3409" t="s">
        <v>526</v>
      </c>
      <c r="Q9" s="3418"/>
      <c r="R9" s="1564" t="s">
        <v>8</v>
      </c>
      <c r="S9" s="1565">
        <f t="shared" ref="S9:S17" si="0">F9</f>
        <v>99</v>
      </c>
      <c r="T9" s="1564" t="s">
        <v>8</v>
      </c>
      <c r="U9" s="1565">
        <f t="shared" ref="U9:U17" si="1">H9</f>
        <v>97</v>
      </c>
      <c r="V9" s="1564" t="s">
        <v>8</v>
      </c>
      <c r="W9" s="1565">
        <f t="shared" ref="W9:W17" si="2">J9</f>
        <v>96</v>
      </c>
      <c r="X9" s="1566"/>
      <c r="Y9" s="3409" t="s">
        <v>526</v>
      </c>
      <c r="Z9" s="3410"/>
      <c r="AA9" s="1567">
        <f>D9/F9</f>
        <v>1.0101010101010102</v>
      </c>
      <c r="AB9" s="1567">
        <f>D9/H9</f>
        <v>1.0309278350515463</v>
      </c>
      <c r="AC9" s="1567">
        <f>D9/J9</f>
        <v>1.0416666666666667</v>
      </c>
    </row>
    <row r="10" spans="1:30" s="1218" customFormat="1" ht="21.6"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09" t="s">
        <v>529</v>
      </c>
      <c r="Q10" s="3410"/>
      <c r="R10" s="1564" t="s">
        <v>8</v>
      </c>
      <c r="S10" s="1565">
        <f t="shared" si="0"/>
        <v>100</v>
      </c>
      <c r="T10" s="1564" t="s">
        <v>8</v>
      </c>
      <c r="U10" s="1565">
        <f t="shared" si="1"/>
        <v>100</v>
      </c>
      <c r="V10" s="1564" t="s">
        <v>8</v>
      </c>
      <c r="W10" s="1565">
        <f t="shared" si="2"/>
        <v>100</v>
      </c>
      <c r="X10" s="1566"/>
      <c r="Y10" s="3409" t="s">
        <v>529</v>
      </c>
      <c r="Z10" s="3410"/>
      <c r="AA10" s="1567">
        <f t="shared" ref="AA10:AA47" si="3">D10/F10</f>
        <v>1</v>
      </c>
      <c r="AB10" s="1567">
        <f t="shared" ref="AB10:AB47" si="4">D10/H10</f>
        <v>1</v>
      </c>
      <c r="AC10" s="1567">
        <f t="shared" ref="AC10:AC47" si="5">D10/J10</f>
        <v>1</v>
      </c>
    </row>
    <row r="11" spans="1:30" s="1218" customFormat="1" ht="26.25" customHeight="1">
      <c r="A11" s="2935"/>
      <c r="B11" s="2942" t="s">
        <v>2755</v>
      </c>
      <c r="C11" s="2929" t="s">
        <v>919</v>
      </c>
      <c r="D11" s="253">
        <v>100</v>
      </c>
      <c r="E11" s="2929" t="s">
        <v>919</v>
      </c>
      <c r="F11" s="253">
        <f>SUMIF(77:77,E11,78:78)-SUMIF(77:77,C11,78:78)+100</f>
        <v>100</v>
      </c>
      <c r="G11" s="2929" t="s">
        <v>919</v>
      </c>
      <c r="H11" s="253">
        <f>SUMIF(77:77,G11,78:78)-SUMIF(77:77,C11,78:78)+100</f>
        <v>100</v>
      </c>
      <c r="I11" s="2929" t="s">
        <v>919</v>
      </c>
      <c r="J11" s="253">
        <f>SUMIF(77:77,I11,78:78)-SUMIF(77:77,C11,78:78)+100</f>
        <v>100</v>
      </c>
      <c r="K11" s="523"/>
      <c r="L11" s="2132"/>
      <c r="M11" s="2129"/>
      <c r="N11" s="2129"/>
      <c r="O11" s="2134"/>
      <c r="P11" s="3417" t="s">
        <v>531</v>
      </c>
      <c r="Q11" s="1149" t="str">
        <f t="shared" ref="Q11:Q17" si="6">B11</f>
        <v>用途</v>
      </c>
      <c r="R11" s="1564" t="s">
        <v>8</v>
      </c>
      <c r="S11" s="1565">
        <f t="shared" si="0"/>
        <v>100</v>
      </c>
      <c r="T11" s="1564" t="s">
        <v>8</v>
      </c>
      <c r="U11" s="1565">
        <f t="shared" si="1"/>
        <v>100</v>
      </c>
      <c r="V11" s="1564" t="s">
        <v>8</v>
      </c>
      <c r="W11" s="1565">
        <f t="shared" si="2"/>
        <v>100</v>
      </c>
      <c r="X11" s="1566"/>
      <c r="Y11" s="3374" t="s">
        <v>532</v>
      </c>
      <c r="Z11" s="1148" t="str">
        <f t="shared" ref="Z11:Z17" si="7">Q11</f>
        <v>用途</v>
      </c>
      <c r="AA11" s="1567">
        <f t="shared" si="3"/>
        <v>1</v>
      </c>
      <c r="AB11" s="1567">
        <f t="shared" si="4"/>
        <v>1</v>
      </c>
      <c r="AC11" s="1567">
        <f t="shared" si="5"/>
        <v>1</v>
      </c>
    </row>
    <row r="12" spans="1:30" s="1336" customFormat="1" ht="28.8">
      <c r="A12" s="2936"/>
      <c r="B12" s="2941" t="s">
        <v>2756</v>
      </c>
      <c r="C12" s="908">
        <f>项目基本情况!D19</f>
        <v>63.83</v>
      </c>
      <c r="D12" s="254">
        <v>100</v>
      </c>
      <c r="E12" s="528" t="s">
        <v>3233</v>
      </c>
      <c r="F12" s="254">
        <f>ROUND(100/'数据-取费表'!G16,0)</f>
        <v>102</v>
      </c>
      <c r="G12" s="529" t="s">
        <v>3233</v>
      </c>
      <c r="H12" s="254">
        <f>ROUND(100/'数据-取费表'!G16,0)</f>
        <v>102</v>
      </c>
      <c r="I12" s="529" t="s">
        <v>3233</v>
      </c>
      <c r="J12" s="254">
        <f>ROUND(100/'数据-取费表'!G16,0)</f>
        <v>102</v>
      </c>
      <c r="K12" s="530"/>
      <c r="L12" s="2135"/>
      <c r="M12" s="2129"/>
      <c r="N12" s="2129"/>
      <c r="O12" s="2136"/>
      <c r="P12" s="3417"/>
      <c r="Q12" s="1149" t="str">
        <f t="shared" si="6"/>
        <v>土地使用年限（年）</v>
      </c>
      <c r="R12" s="1564" t="s">
        <v>8</v>
      </c>
      <c r="S12" s="1565">
        <f t="shared" si="0"/>
        <v>102</v>
      </c>
      <c r="T12" s="1564" t="s">
        <v>8</v>
      </c>
      <c r="U12" s="1565">
        <f t="shared" si="1"/>
        <v>102</v>
      </c>
      <c r="V12" s="1564" t="s">
        <v>8</v>
      </c>
      <c r="W12" s="1565">
        <f t="shared" si="2"/>
        <v>102</v>
      </c>
      <c r="X12" s="1566"/>
      <c r="Y12" s="3374"/>
      <c r="Z12" s="1148" t="str">
        <f t="shared" si="7"/>
        <v>土地使用年限（年）</v>
      </c>
      <c r="AA12" s="1567">
        <f t="shared" si="3"/>
        <v>0.98039215686274506</v>
      </c>
      <c r="AB12" s="1567">
        <f t="shared" si="4"/>
        <v>0.98039215686274506</v>
      </c>
      <c r="AC12" s="1567">
        <f t="shared" si="5"/>
        <v>0.98039215686274506</v>
      </c>
    </row>
    <row r="13" spans="1:30" ht="21">
      <c r="A13" s="2937"/>
      <c r="B13" s="2941" t="s">
        <v>2757</v>
      </c>
      <c r="C13" s="533">
        <f>'数据-汇总表'!I4</f>
        <v>2.64</v>
      </c>
      <c r="D13" s="254">
        <v>100</v>
      </c>
      <c r="E13" s="532">
        <v>3.8</v>
      </c>
      <c r="F13" s="254">
        <f>LOOKUP(E13,82:82,83:83)-LOOKUP(C13,82:82,83:83)+100</f>
        <v>98</v>
      </c>
      <c r="G13" s="585">
        <v>2</v>
      </c>
      <c r="H13" s="539">
        <f>LOOKUP(G13,82:82,83:83)-LOOKUP(C13,82:82,83:83)+100</f>
        <v>100</v>
      </c>
      <c r="I13" s="541">
        <v>3</v>
      </c>
      <c r="J13" s="254">
        <f>LOOKUP(I13,82:82,83:83)-LOOKUP(C13,82:82,83:83)+100</f>
        <v>98</v>
      </c>
      <c r="K13" s="534">
        <v>2</v>
      </c>
      <c r="L13" s="2137"/>
      <c r="M13" s="2129"/>
      <c r="N13" s="2129"/>
      <c r="O13" s="2138"/>
      <c r="P13" s="3417"/>
      <c r="Q13" s="1149" t="str">
        <f t="shared" si="6"/>
        <v>容积率</v>
      </c>
      <c r="R13" s="1564" t="s">
        <v>8</v>
      </c>
      <c r="S13" s="1565">
        <f t="shared" si="0"/>
        <v>98</v>
      </c>
      <c r="T13" s="1564" t="s">
        <v>8</v>
      </c>
      <c r="U13" s="1565">
        <f t="shared" si="1"/>
        <v>100</v>
      </c>
      <c r="V13" s="1564" t="s">
        <v>8</v>
      </c>
      <c r="W13" s="1565">
        <f t="shared" si="2"/>
        <v>98</v>
      </c>
      <c r="X13" s="1566"/>
      <c r="Y13" s="3374"/>
      <c r="Z13" s="1148" t="str">
        <f t="shared" si="7"/>
        <v>容积率</v>
      </c>
      <c r="AA13" s="1567">
        <f t="shared" si="3"/>
        <v>1.0204081632653061</v>
      </c>
      <c r="AB13" s="1567">
        <f t="shared" si="4"/>
        <v>1</v>
      </c>
      <c r="AC13" s="1567">
        <f t="shared" si="5"/>
        <v>1.0204081632653061</v>
      </c>
    </row>
    <row r="14" spans="1:30" s="1218" customFormat="1" ht="21">
      <c r="A14" s="2934"/>
      <c r="B14" s="2943" t="s">
        <v>2758</v>
      </c>
      <c r="C14" s="2930"/>
      <c r="D14" s="537">
        <v>100</v>
      </c>
      <c r="E14" s="1372"/>
      <c r="F14" s="254">
        <f>SUMIF(84:84,E14,85:85)-SUMIF(84:84,C14,85:85)+100</f>
        <v>100</v>
      </c>
      <c r="G14" s="3180"/>
      <c r="H14" s="254">
        <f>SUMIF(84:84,G14,85:85)-SUMIF(84:84,C14,85:85)+100</f>
        <v>100</v>
      </c>
      <c r="I14" s="3180"/>
      <c r="J14" s="254">
        <f>SUMIF(84:84,I14,85:85)-SUMIF(84:84,C14,85:85)+100</f>
        <v>100</v>
      </c>
      <c r="K14" s="530"/>
      <c r="L14" s="2132"/>
      <c r="M14" s="2129"/>
      <c r="N14" s="2129"/>
      <c r="O14" s="2134"/>
      <c r="P14" s="3417"/>
      <c r="Q14" s="1149" t="str">
        <f t="shared" si="6"/>
        <v>配建</v>
      </c>
      <c r="R14" s="1564" t="s">
        <v>8</v>
      </c>
      <c r="S14" s="1565">
        <f t="shared" si="0"/>
        <v>100</v>
      </c>
      <c r="T14" s="1564" t="s">
        <v>8</v>
      </c>
      <c r="U14" s="1565">
        <f t="shared" si="1"/>
        <v>100</v>
      </c>
      <c r="V14" s="1564" t="s">
        <v>8</v>
      </c>
      <c r="W14" s="1565">
        <f t="shared" si="2"/>
        <v>100</v>
      </c>
      <c r="X14" s="1566"/>
      <c r="Y14" s="3374"/>
      <c r="Z14" s="1148" t="str">
        <f t="shared" si="7"/>
        <v>配建</v>
      </c>
      <c r="AA14" s="1567">
        <f>D14/F14</f>
        <v>1</v>
      </c>
      <c r="AB14" s="1567">
        <f>D14/H14</f>
        <v>1</v>
      </c>
      <c r="AC14" s="1567">
        <f>D14/J14</f>
        <v>1</v>
      </c>
    </row>
    <row r="15" spans="1:30" ht="18.75" customHeight="1">
      <c r="A15" s="2938"/>
      <c r="B15" s="3181" t="s">
        <v>3084</v>
      </c>
      <c r="C15" s="2930"/>
      <c r="D15" s="539">
        <v>100</v>
      </c>
      <c r="E15" s="3182"/>
      <c r="F15" s="254">
        <f>SUMIF(86:86,E15,87:87)-SUMIF(86:86,C15,87:87)+100</f>
        <v>100</v>
      </c>
      <c r="G15" s="3182"/>
      <c r="H15" s="539">
        <f>SUMIF(86:86,G15,87:87)-SUMIF(86:86,C15,87:87)+100</f>
        <v>100</v>
      </c>
      <c r="I15" s="3182"/>
      <c r="J15" s="539">
        <f>SUMIF(86:86,I15,87:87)-SUMIF(86:86,C15,87:87)+100</f>
        <v>100</v>
      </c>
      <c r="K15" s="530"/>
      <c r="L15" s="2139"/>
      <c r="M15" s="2129"/>
      <c r="N15" s="2129"/>
      <c r="O15" s="2138"/>
      <c r="P15" s="3417"/>
      <c r="Q15" s="1149" t="str">
        <f t="shared" si="6"/>
        <v>特殊情况</v>
      </c>
      <c r="R15" s="1564" t="s">
        <v>8</v>
      </c>
      <c r="S15" s="1565">
        <f t="shared" si="0"/>
        <v>100</v>
      </c>
      <c r="T15" s="1564" t="s">
        <v>8</v>
      </c>
      <c r="U15" s="1565">
        <f t="shared" si="1"/>
        <v>100</v>
      </c>
      <c r="V15" s="1564" t="s">
        <v>8</v>
      </c>
      <c r="W15" s="1565">
        <f t="shared" si="2"/>
        <v>100</v>
      </c>
      <c r="X15" s="1566"/>
      <c r="Y15" s="3374"/>
      <c r="Z15" s="1148" t="str">
        <f t="shared" si="7"/>
        <v>特殊情况</v>
      </c>
      <c r="AA15" s="1567">
        <f>D15/F15</f>
        <v>1</v>
      </c>
      <c r="AB15" s="1567">
        <f>D15/H15</f>
        <v>1</v>
      </c>
      <c r="AC15" s="1567">
        <f>D15/J15</f>
        <v>1</v>
      </c>
    </row>
    <row r="16" spans="1:30" ht="21.6"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17"/>
      <c r="Q16" s="1149">
        <f t="shared" si="6"/>
        <v>0</v>
      </c>
      <c r="R16" s="1564" t="s">
        <v>8</v>
      </c>
      <c r="S16" s="1565">
        <f t="shared" si="0"/>
        <v>100</v>
      </c>
      <c r="T16" s="1564" t="s">
        <v>8</v>
      </c>
      <c r="U16" s="1565">
        <f t="shared" si="1"/>
        <v>100</v>
      </c>
      <c r="V16" s="1564" t="s">
        <v>8</v>
      </c>
      <c r="W16" s="1565">
        <f t="shared" si="2"/>
        <v>100</v>
      </c>
      <c r="X16" s="1566"/>
      <c r="Y16" s="3374"/>
      <c r="Z16" s="1148">
        <f t="shared" si="7"/>
        <v>0</v>
      </c>
      <c r="AA16" s="1567">
        <f>D16/F16</f>
        <v>1</v>
      </c>
      <c r="AB16" s="1567">
        <f>D16/H16</f>
        <v>1</v>
      </c>
      <c r="AC16" s="1567">
        <f>D16/J16</f>
        <v>1</v>
      </c>
    </row>
    <row r="17" spans="1:29" ht="93" customHeight="1">
      <c r="A17" s="2931" t="s">
        <v>2753</v>
      </c>
      <c r="B17" s="577" t="s">
        <v>291</v>
      </c>
      <c r="C17" s="547" t="str">
        <f>估价对象房地状况!C15</f>
        <v>估价对象周边居住用地比例高、居住小区规模和社区发展完善程度较好，周边有尚城、聚豪园等多个住宅项目，综合评价居住社区成熟度较好</v>
      </c>
      <c r="D17" s="550">
        <v>100</v>
      </c>
      <c r="E17" s="3184"/>
      <c r="F17" s="548">
        <f>SUMIF(90:90,E18,91:91)-SUMIF(90:90,C18,91:91)+100</f>
        <v>100</v>
      </c>
      <c r="G17" s="3184"/>
      <c r="H17" s="548">
        <f>SUMIF(90:90,G18,91:91)-SUMIF(90:90,C18,91:91)+100</f>
        <v>100</v>
      </c>
      <c r="I17" s="3184"/>
      <c r="J17" s="548">
        <f>SUMIF(90:90,I18,91:91)-SUMIF(90:90,C18,91:91)+100</f>
        <v>100</v>
      </c>
      <c r="K17" s="534">
        <v>2</v>
      </c>
      <c r="L17" s="2139"/>
      <c r="M17" s="2129"/>
      <c r="N17" s="2129"/>
      <c r="O17" s="2138"/>
      <c r="P17" s="3419" t="s">
        <v>536</v>
      </c>
      <c r="Q17" s="1568" t="str">
        <f t="shared" si="6"/>
        <v>居住社区成熟度</v>
      </c>
      <c r="R17" s="1569" t="s">
        <v>8</v>
      </c>
      <c r="S17" s="1570">
        <f t="shared" si="0"/>
        <v>100</v>
      </c>
      <c r="T17" s="1569" t="s">
        <v>8</v>
      </c>
      <c r="U17" s="1570">
        <f t="shared" si="1"/>
        <v>100</v>
      </c>
      <c r="V17" s="1569" t="s">
        <v>8</v>
      </c>
      <c r="W17" s="1570">
        <f t="shared" si="2"/>
        <v>100</v>
      </c>
      <c r="X17" s="1563"/>
      <c r="Y17" s="3419" t="s">
        <v>536</v>
      </c>
      <c r="Z17" s="1571" t="str">
        <f t="shared" si="7"/>
        <v>居住社区成熟度</v>
      </c>
      <c r="AA17" s="1572">
        <f t="shared" si="3"/>
        <v>1</v>
      </c>
      <c r="AB17" s="1572">
        <f t="shared" si="4"/>
        <v>1</v>
      </c>
      <c r="AC17" s="1572">
        <f t="shared" si="5"/>
        <v>1</v>
      </c>
    </row>
    <row r="18" spans="1:29" ht="21">
      <c r="A18" s="531"/>
      <c r="B18" s="552"/>
      <c r="C18" s="566" t="s">
        <v>3085</v>
      </c>
      <c r="D18" s="556"/>
      <c r="E18" s="566" t="s">
        <v>3085</v>
      </c>
      <c r="F18" s="554"/>
      <c r="G18" s="566" t="s">
        <v>3085</v>
      </c>
      <c r="H18" s="558"/>
      <c r="I18" s="566" t="s">
        <v>3085</v>
      </c>
      <c r="J18" s="554"/>
      <c r="K18" s="530"/>
      <c r="L18" s="2139"/>
      <c r="M18" s="2129"/>
      <c r="N18" s="2129"/>
      <c r="O18" s="2138"/>
      <c r="P18" s="3420"/>
      <c r="Q18" s="1568"/>
      <c r="R18" s="1569"/>
      <c r="S18" s="1570"/>
      <c r="T18" s="1569"/>
      <c r="U18" s="1570"/>
      <c r="V18" s="1569"/>
      <c r="W18" s="1570"/>
      <c r="X18" s="1563"/>
      <c r="Y18" s="3420"/>
      <c r="Z18" s="1571"/>
      <c r="AA18" s="1572">
        <v>1</v>
      </c>
      <c r="AB18" s="1572">
        <v>1</v>
      </c>
      <c r="AC18" s="1572">
        <v>1</v>
      </c>
    </row>
    <row r="19" spans="1:29" ht="61.5" customHeight="1">
      <c r="A19" s="531"/>
      <c r="B19" s="559" t="s">
        <v>537</v>
      </c>
      <c r="C19" s="560" t="str">
        <f>估价对象房地状况!C16</f>
        <v>估价对象周边商业氛围较成熟，人流量较一般，有丽港城商业广场，商业繁华度一般</v>
      </c>
      <c r="D19" s="562">
        <v>100</v>
      </c>
      <c r="E19" s="3189"/>
      <c r="F19" s="558">
        <f>SUMIF(92:92,E20,93:93)-SUMIF(92:92,C20,93:93)+100</f>
        <v>100</v>
      </c>
      <c r="G19" s="3189"/>
      <c r="H19" s="564">
        <f>SUMIF(92:92,G20,93:93)-SUMIF(92:92,C20,93:93)+100</f>
        <v>100</v>
      </c>
      <c r="I19" s="3189"/>
      <c r="J19" s="564">
        <f>SUMIF(92:92,I20,93:93)-SUMIF(92:92,C20,93:93)+100</f>
        <v>100</v>
      </c>
      <c r="K19" s="534">
        <v>2</v>
      </c>
      <c r="L19" s="2139"/>
      <c r="M19" s="2129"/>
      <c r="N19" s="2129"/>
      <c r="O19" s="2138"/>
      <c r="P19" s="3420"/>
      <c r="Q19" s="1568" t="str">
        <f>B19</f>
        <v>商业繁华度</v>
      </c>
      <c r="R19" s="1569" t="s">
        <v>8</v>
      </c>
      <c r="S19" s="1570">
        <f>F19</f>
        <v>100</v>
      </c>
      <c r="T19" s="1569" t="s">
        <v>8</v>
      </c>
      <c r="U19" s="1570">
        <f>H19</f>
        <v>100</v>
      </c>
      <c r="V19" s="1569" t="s">
        <v>8</v>
      </c>
      <c r="W19" s="1570">
        <f>J19</f>
        <v>100</v>
      </c>
      <c r="X19" s="1563"/>
      <c r="Y19" s="3420"/>
      <c r="Z19" s="1571" t="str">
        <f>Q19</f>
        <v>商业繁华度</v>
      </c>
      <c r="AA19" s="1572">
        <f t="shared" si="3"/>
        <v>1</v>
      </c>
      <c r="AB19" s="1572">
        <f t="shared" si="4"/>
        <v>1</v>
      </c>
      <c r="AC19" s="1572">
        <f t="shared" si="5"/>
        <v>1</v>
      </c>
    </row>
    <row r="20" spans="1:29" ht="21">
      <c r="A20" s="531"/>
      <c r="B20" s="565"/>
      <c r="C20" s="566" t="s">
        <v>3085</v>
      </c>
      <c r="D20" s="562"/>
      <c r="E20" s="566" t="s">
        <v>3085</v>
      </c>
      <c r="F20" s="558"/>
      <c r="G20" s="566" t="s">
        <v>3085</v>
      </c>
      <c r="H20" s="554"/>
      <c r="I20" s="566" t="s">
        <v>3085</v>
      </c>
      <c r="J20" s="554"/>
      <c r="K20" s="530"/>
      <c r="L20" s="2139"/>
      <c r="M20" s="2129"/>
      <c r="N20" s="2129"/>
      <c r="O20" s="2138"/>
      <c r="P20" s="3420"/>
      <c r="Q20" s="1568"/>
      <c r="R20" s="1569"/>
      <c r="S20" s="1570"/>
      <c r="T20" s="1569"/>
      <c r="U20" s="1570"/>
      <c r="V20" s="1569"/>
      <c r="W20" s="1570"/>
      <c r="X20" s="1563"/>
      <c r="Y20" s="3420"/>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20"/>
      <c r="Q21" s="1568" t="str">
        <f>B21</f>
        <v>办公集聚程度</v>
      </c>
      <c r="R21" s="1569" t="s">
        <v>8</v>
      </c>
      <c r="S21" s="1570">
        <f>F21</f>
        <v>100</v>
      </c>
      <c r="T21" s="1569" t="s">
        <v>8</v>
      </c>
      <c r="U21" s="1570">
        <f>H21</f>
        <v>100</v>
      </c>
      <c r="V21" s="1569" t="s">
        <v>8</v>
      </c>
      <c r="W21" s="1570">
        <f>J21</f>
        <v>100</v>
      </c>
      <c r="X21" s="1563"/>
      <c r="Y21" s="3420"/>
      <c r="Z21" s="1571" t="str">
        <f>Q21</f>
        <v>办公集聚程度</v>
      </c>
      <c r="AA21" s="1572">
        <f t="shared" si="3"/>
        <v>1</v>
      </c>
      <c r="AB21" s="1572">
        <f t="shared" si="4"/>
        <v>1</v>
      </c>
      <c r="AC21" s="1572">
        <f t="shared" si="5"/>
        <v>1</v>
      </c>
    </row>
    <row r="22" spans="1:29" ht="21">
      <c r="A22" s="531"/>
      <c r="B22" s="565"/>
      <c r="C22" s="553"/>
      <c r="D22" s="556"/>
      <c r="E22" s="557"/>
      <c r="F22" s="554"/>
      <c r="G22" s="555"/>
      <c r="H22" s="554"/>
      <c r="I22" s="557"/>
      <c r="J22" s="554"/>
      <c r="K22" s="530"/>
      <c r="L22" s="2139"/>
      <c r="M22" s="2129"/>
      <c r="N22" s="2129"/>
      <c r="O22" s="2138"/>
      <c r="P22" s="3420"/>
      <c r="Q22" s="1568"/>
      <c r="R22" s="1569"/>
      <c r="S22" s="1570"/>
      <c r="T22" s="1569"/>
      <c r="U22" s="1570"/>
      <c r="V22" s="1569"/>
      <c r="W22" s="1570"/>
      <c r="X22" s="1563"/>
      <c r="Y22" s="3420"/>
      <c r="Z22" s="1571"/>
      <c r="AA22" s="1572">
        <v>1</v>
      </c>
      <c r="AB22" s="1572">
        <v>1</v>
      </c>
      <c r="AC22" s="1572">
        <v>1</v>
      </c>
    </row>
    <row r="23" spans="1:29" ht="82.8">
      <c r="A23" s="531"/>
      <c r="B23" s="559" t="s">
        <v>539</v>
      </c>
      <c r="C23" s="572" t="str">
        <f>估价对象房地状况!C18</f>
        <v>估价对象周边道路状况、公共交通通达情况：有071、003、030、36等多路公交车，停车便捷程度，综合评价交通便捷度较好</v>
      </c>
      <c r="D23" s="562">
        <v>100</v>
      </c>
      <c r="E23" s="3186"/>
      <c r="F23" s="564">
        <f>SUMIF(96:96,E24,97:97)-SUMIF(96:96,C24,97:97)+100</f>
        <v>100</v>
      </c>
      <c r="G23" s="3186"/>
      <c r="H23" s="558">
        <f>SUMIF(96:96,G24,97:97)-SUMIF(96:96,C24,97:97)+100</f>
        <v>100</v>
      </c>
      <c r="I23" s="3186"/>
      <c r="J23" s="558">
        <f>SUMIF(96:96,I24,97:97)-SUMIF(96:96,C24,97:97)+100</f>
        <v>100</v>
      </c>
      <c r="K23" s="534">
        <v>2</v>
      </c>
      <c r="L23" s="2139"/>
      <c r="M23" s="2129"/>
      <c r="N23" s="2129"/>
      <c r="O23" s="2138"/>
      <c r="P23" s="3420"/>
      <c r="Q23" s="1568" t="str">
        <f>B23</f>
        <v>交通便捷度</v>
      </c>
      <c r="R23" s="1569" t="s">
        <v>8</v>
      </c>
      <c r="S23" s="1570">
        <f>F23</f>
        <v>100</v>
      </c>
      <c r="T23" s="1569" t="s">
        <v>8</v>
      </c>
      <c r="U23" s="1570">
        <f>H23</f>
        <v>100</v>
      </c>
      <c r="V23" s="1569" t="s">
        <v>8</v>
      </c>
      <c r="W23" s="1570">
        <f>J23</f>
        <v>100</v>
      </c>
      <c r="X23" s="1563"/>
      <c r="Y23" s="3420"/>
      <c r="Z23" s="1571" t="str">
        <f>Q23</f>
        <v>交通便捷度</v>
      </c>
      <c r="AA23" s="1572">
        <f t="shared" si="3"/>
        <v>1</v>
      </c>
      <c r="AB23" s="1572">
        <f t="shared" si="4"/>
        <v>1</v>
      </c>
      <c r="AC23" s="1572">
        <f t="shared" si="5"/>
        <v>1</v>
      </c>
    </row>
    <row r="24" spans="1:29" ht="21">
      <c r="A24" s="531"/>
      <c r="B24" s="577"/>
      <c r="C24" s="553" t="s">
        <v>3085</v>
      </c>
      <c r="D24" s="556"/>
      <c r="E24" s="553" t="s">
        <v>3085</v>
      </c>
      <c r="F24" s="554"/>
      <c r="G24" s="553" t="s">
        <v>3085</v>
      </c>
      <c r="H24" s="554"/>
      <c r="I24" s="553" t="s">
        <v>3085</v>
      </c>
      <c r="J24" s="554"/>
      <c r="K24" s="530"/>
      <c r="L24" s="2139"/>
      <c r="M24" s="2129"/>
      <c r="N24" s="2129"/>
      <c r="O24" s="2138"/>
      <c r="P24" s="3420"/>
      <c r="Q24" s="1568"/>
      <c r="R24" s="1569"/>
      <c r="S24" s="1570"/>
      <c r="T24" s="1569"/>
      <c r="U24" s="1570"/>
      <c r="V24" s="1569"/>
      <c r="W24" s="1570"/>
      <c r="X24" s="1563"/>
      <c r="Y24" s="3420"/>
      <c r="Z24" s="1571"/>
      <c r="AA24" s="1572">
        <v>1</v>
      </c>
      <c r="AB24" s="1572">
        <v>1</v>
      </c>
      <c r="AC24" s="1572">
        <v>1</v>
      </c>
    </row>
    <row r="25" spans="1:29" ht="28.8">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20"/>
      <c r="Q25" s="1568" t="str">
        <f t="shared" ref="Q25:Q39" si="8">B25</f>
        <v>区域土地利用方向</v>
      </c>
      <c r="R25" s="1569" t="s">
        <v>8</v>
      </c>
      <c r="S25" s="1570">
        <f>F25</f>
        <v>100</v>
      </c>
      <c r="T25" s="1569" t="s">
        <v>8</v>
      </c>
      <c r="U25" s="1570">
        <f>H25</f>
        <v>100</v>
      </c>
      <c r="V25" s="1569" t="s">
        <v>8</v>
      </c>
      <c r="W25" s="1570">
        <f>J25</f>
        <v>100</v>
      </c>
      <c r="X25" s="1563"/>
      <c r="Y25" s="3420"/>
      <c r="Z25" s="1571" t="str">
        <f>Q25</f>
        <v>区域土地利用方向</v>
      </c>
      <c r="AA25" s="1572">
        <f t="shared" si="3"/>
        <v>1</v>
      </c>
      <c r="AB25" s="1572">
        <f t="shared" si="4"/>
        <v>1</v>
      </c>
      <c r="AC25" s="1572">
        <f t="shared" si="5"/>
        <v>1</v>
      </c>
    </row>
    <row r="26" spans="1:29" ht="21">
      <c r="A26" s="514"/>
      <c r="B26" s="1005"/>
      <c r="C26" s="553" t="s">
        <v>3087</v>
      </c>
      <c r="D26" s="556"/>
      <c r="E26" s="553" t="s">
        <v>3087</v>
      </c>
      <c r="F26" s="554"/>
      <c r="G26" s="553" t="s">
        <v>3087</v>
      </c>
      <c r="H26" s="554"/>
      <c r="I26" s="553" t="s">
        <v>3087</v>
      </c>
      <c r="J26" s="554"/>
      <c r="K26" s="530"/>
      <c r="L26" s="2139"/>
      <c r="M26" s="2129"/>
      <c r="N26" s="2129"/>
      <c r="O26" s="2138"/>
      <c r="P26" s="3420"/>
      <c r="Q26" s="1568"/>
      <c r="R26" s="1569"/>
      <c r="S26" s="1570"/>
      <c r="T26" s="1569"/>
      <c r="U26" s="1570"/>
      <c r="V26" s="1569"/>
      <c r="W26" s="1570"/>
      <c r="X26" s="1563"/>
      <c r="Y26" s="3420"/>
      <c r="Z26" s="1571"/>
      <c r="AA26" s="1572"/>
      <c r="AB26" s="1572"/>
      <c r="AC26" s="1572"/>
    </row>
    <row r="27" spans="1:29" ht="79.5" customHeight="1">
      <c r="A27" s="514"/>
      <c r="B27" s="577" t="s">
        <v>541</v>
      </c>
      <c r="C27" s="560" t="str">
        <f>估价对象房地状况!C20</f>
        <v>周边2公里区域自然环境：；人文环境：；综合评价环境状况较好</v>
      </c>
      <c r="D27" s="562">
        <v>100</v>
      </c>
      <c r="E27" s="3189"/>
      <c r="F27" s="558">
        <f>SUMIF(100:100,E28,101:101)-SUMIF(100:100,C28,101:101)+100</f>
        <v>100</v>
      </c>
      <c r="G27" s="3189"/>
      <c r="H27" s="558">
        <f>SUMIF(100:100,G28,101:101)-SUMIF(100:100,C28,101:101)+100</f>
        <v>100</v>
      </c>
      <c r="I27" s="3189"/>
      <c r="J27" s="558">
        <f>SUMIF(100:100,I28,101:101)-SUMIF(100:100,C28,101:101)+100</f>
        <v>100</v>
      </c>
      <c r="K27" s="534">
        <v>2</v>
      </c>
      <c r="L27" s="2139"/>
      <c r="M27" s="2129"/>
      <c r="N27" s="2129"/>
      <c r="O27" s="2138"/>
      <c r="P27" s="3420"/>
      <c r="Q27" s="1568" t="str">
        <f t="shared" si="8"/>
        <v>自然及人文环境状况</v>
      </c>
      <c r="R27" s="1569" t="s">
        <v>8</v>
      </c>
      <c r="S27" s="1570">
        <f>F27</f>
        <v>100</v>
      </c>
      <c r="T27" s="1569" t="s">
        <v>8</v>
      </c>
      <c r="U27" s="1570">
        <f>H27</f>
        <v>100</v>
      </c>
      <c r="V27" s="1569" t="s">
        <v>8</v>
      </c>
      <c r="W27" s="1570">
        <f>J27</f>
        <v>100</v>
      </c>
      <c r="X27" s="1563"/>
      <c r="Y27" s="3420"/>
      <c r="Z27" s="1571" t="str">
        <f>Q27</f>
        <v>自然及人文环境状况</v>
      </c>
      <c r="AA27" s="1572">
        <f t="shared" si="3"/>
        <v>1</v>
      </c>
      <c r="AB27" s="1572">
        <f t="shared" si="4"/>
        <v>1</v>
      </c>
      <c r="AC27" s="1572">
        <f t="shared" si="5"/>
        <v>1</v>
      </c>
    </row>
    <row r="28" spans="1:29" ht="21">
      <c r="A28" s="514"/>
      <c r="B28" s="565"/>
      <c r="C28" s="578" t="s">
        <v>3085</v>
      </c>
      <c r="D28" s="556"/>
      <c r="E28" s="578" t="s">
        <v>3085</v>
      </c>
      <c r="F28" s="554"/>
      <c r="G28" s="578" t="s">
        <v>3085</v>
      </c>
      <c r="H28" s="554"/>
      <c r="I28" s="578" t="s">
        <v>3085</v>
      </c>
      <c r="J28" s="554"/>
      <c r="K28" s="530"/>
      <c r="L28" s="2139"/>
      <c r="M28" s="2129"/>
      <c r="N28" s="2129"/>
      <c r="O28" s="2138"/>
      <c r="P28" s="3420"/>
      <c r="Q28" s="1568"/>
      <c r="R28" s="1569"/>
      <c r="S28" s="1570"/>
      <c r="T28" s="1569"/>
      <c r="U28" s="1570"/>
      <c r="V28" s="1569"/>
      <c r="W28" s="1570"/>
      <c r="X28" s="1563"/>
      <c r="Y28" s="3420"/>
      <c r="Z28" s="1571"/>
      <c r="AA28" s="1572">
        <v>1</v>
      </c>
      <c r="AB28" s="1572">
        <v>1</v>
      </c>
      <c r="AC28" s="1572">
        <v>1</v>
      </c>
    </row>
    <row r="29" spans="1:29" s="1218" customFormat="1" ht="41.4">
      <c r="A29" s="576"/>
      <c r="B29" s="2612" t="s">
        <v>2547</v>
      </c>
      <c r="C29" s="572" t="str">
        <f>估价对象房地状况!C21</f>
        <v>估价对象所在区域公共配套设施齐备情况较好：中山市实验中学</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20"/>
      <c r="Q29" s="1149" t="str">
        <f t="shared" si="8"/>
        <v>公共配套设施</v>
      </c>
      <c r="R29" s="1564" t="s">
        <v>8</v>
      </c>
      <c r="S29" s="1565">
        <f>F29</f>
        <v>100</v>
      </c>
      <c r="T29" s="1564" t="s">
        <v>8</v>
      </c>
      <c r="U29" s="1565">
        <f>H29</f>
        <v>100</v>
      </c>
      <c r="V29" s="1564" t="s">
        <v>8</v>
      </c>
      <c r="W29" s="1565">
        <f>J29</f>
        <v>100</v>
      </c>
      <c r="X29" s="1566"/>
      <c r="Y29" s="3420"/>
      <c r="Z29" s="1148" t="str">
        <f>Q29</f>
        <v>公共配套设施</v>
      </c>
      <c r="AA29" s="1572">
        <f>D29/F29</f>
        <v>1</v>
      </c>
      <c r="AB29" s="1572">
        <f>D29/H29</f>
        <v>1</v>
      </c>
      <c r="AC29" s="1572">
        <f>D29/J29</f>
        <v>1</v>
      </c>
    </row>
    <row r="30" spans="1:29" s="1218" customFormat="1" ht="21">
      <c r="A30" s="576"/>
      <c r="B30" s="565"/>
      <c r="C30" s="578" t="s">
        <v>3085</v>
      </c>
      <c r="D30" s="556"/>
      <c r="E30" s="578" t="s">
        <v>3085</v>
      </c>
      <c r="F30" s="554"/>
      <c r="G30" s="578" t="s">
        <v>3085</v>
      </c>
      <c r="H30" s="554"/>
      <c r="I30" s="578" t="s">
        <v>3085</v>
      </c>
      <c r="J30" s="554"/>
      <c r="K30" s="530"/>
      <c r="L30" s="2132"/>
      <c r="M30" s="2129"/>
      <c r="N30" s="2129"/>
      <c r="O30" s="2134"/>
      <c r="P30" s="3420"/>
      <c r="Q30" s="1149"/>
      <c r="R30" s="1564"/>
      <c r="S30" s="1565"/>
      <c r="T30" s="1564"/>
      <c r="U30" s="1565"/>
      <c r="V30" s="1564"/>
      <c r="W30" s="1565"/>
      <c r="X30" s="1566"/>
      <c r="Y30" s="3420"/>
      <c r="Z30" s="1148"/>
      <c r="AA30" s="1572">
        <v>1</v>
      </c>
      <c r="AB30" s="1572">
        <v>1</v>
      </c>
      <c r="AC30" s="1572">
        <v>1</v>
      </c>
    </row>
    <row r="31" spans="1:29" s="1218" customFormat="1" ht="27.6">
      <c r="A31" s="576"/>
      <c r="B31" s="2612" t="s">
        <v>2548</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20"/>
      <c r="Q31" s="2599" t="str">
        <f t="shared" ref="Q31" si="9">B31</f>
        <v>基础设施水平</v>
      </c>
      <c r="R31" s="1564" t="s">
        <v>8</v>
      </c>
      <c r="S31" s="1565">
        <f>F31</f>
        <v>100</v>
      </c>
      <c r="T31" s="1564" t="s">
        <v>8</v>
      </c>
      <c r="U31" s="1565">
        <f>H31</f>
        <v>100</v>
      </c>
      <c r="V31" s="1564" t="s">
        <v>8</v>
      </c>
      <c r="W31" s="1565">
        <f>J31</f>
        <v>100</v>
      </c>
      <c r="X31" s="1566"/>
      <c r="Y31" s="3420"/>
      <c r="Z31" s="2596" t="str">
        <f>Q31</f>
        <v>基础设施水平</v>
      </c>
      <c r="AA31" s="1572">
        <f>D31/F31</f>
        <v>1</v>
      </c>
      <c r="AB31" s="1572">
        <f>D31/H31</f>
        <v>1</v>
      </c>
      <c r="AC31" s="1572">
        <f>D31/J31</f>
        <v>1</v>
      </c>
    </row>
    <row r="32" spans="1:29" s="1218" customFormat="1" ht="21">
      <c r="A32" s="576"/>
      <c r="B32" s="565"/>
      <c r="C32" s="578" t="s">
        <v>3103</v>
      </c>
      <c r="D32" s="556"/>
      <c r="E32" s="578" t="s">
        <v>3103</v>
      </c>
      <c r="F32" s="554"/>
      <c r="G32" s="578" t="s">
        <v>3103</v>
      </c>
      <c r="H32" s="554"/>
      <c r="I32" s="578" t="s">
        <v>3103</v>
      </c>
      <c r="J32" s="554"/>
      <c r="K32" s="530"/>
      <c r="L32" s="2132"/>
      <c r="M32" s="2129"/>
      <c r="N32" s="2129"/>
      <c r="O32" s="2134"/>
      <c r="P32" s="3420"/>
      <c r="Q32" s="2599"/>
      <c r="R32" s="1564"/>
      <c r="S32" s="1565"/>
      <c r="T32" s="1564"/>
      <c r="U32" s="1565"/>
      <c r="V32" s="1564"/>
      <c r="W32" s="1565"/>
      <c r="X32" s="1566"/>
      <c r="Y32" s="3420"/>
      <c r="Z32" s="2596"/>
      <c r="AA32" s="1572">
        <v>1</v>
      </c>
      <c r="AB32" s="1572">
        <v>1</v>
      </c>
      <c r="AC32" s="1572">
        <v>1</v>
      </c>
    </row>
    <row r="33" spans="1:29" ht="21">
      <c r="A33" s="531"/>
      <c r="B33" s="565" t="s">
        <v>543</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420"/>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20"/>
      <c r="Z33" s="1571" t="str">
        <f t="shared" ref="Z33:Z47" si="13">Q33</f>
        <v>临街状况</v>
      </c>
      <c r="AA33" s="1572">
        <f t="shared" si="3"/>
        <v>1</v>
      </c>
      <c r="AB33" s="1572">
        <f t="shared" si="4"/>
        <v>1</v>
      </c>
      <c r="AC33" s="1572">
        <f t="shared" si="5"/>
        <v>1</v>
      </c>
    </row>
    <row r="34" spans="1:29" ht="28.8">
      <c r="A34" s="531"/>
      <c r="B34" s="577" t="s">
        <v>544</v>
      </c>
      <c r="C34" s="3186" t="s">
        <v>3242</v>
      </c>
      <c r="D34" s="562">
        <v>100</v>
      </c>
      <c r="E34" s="3186" t="s">
        <v>3242</v>
      </c>
      <c r="F34" s="558">
        <f>SUMIF(108:108,E35,109:109)-SUMIF(108:108,C35,109:109)+100</f>
        <v>100</v>
      </c>
      <c r="G34" s="3186" t="s">
        <v>3242</v>
      </c>
      <c r="H34" s="558">
        <f>SUMIF(108:108,G35,109:109)-SUMIF(108:108,C35,109:109)+100</f>
        <v>100</v>
      </c>
      <c r="I34" s="3186" t="s">
        <v>3242</v>
      </c>
      <c r="J34" s="558">
        <f>SUMIF(108:108,I35,109:109)-SUMIF(108:108,C35,109:109)+100</f>
        <v>100</v>
      </c>
      <c r="K34" s="534">
        <v>1</v>
      </c>
      <c r="L34" s="2139"/>
      <c r="M34" s="2129"/>
      <c r="N34" s="2129"/>
      <c r="O34" s="2138"/>
      <c r="P34" s="3420"/>
      <c r="Q34" s="1568" t="str">
        <f t="shared" si="8"/>
        <v>毗邻道路的类型与等级</v>
      </c>
      <c r="R34" s="1569" t="s">
        <v>8</v>
      </c>
      <c r="S34" s="1570">
        <f t="shared" si="10"/>
        <v>100</v>
      </c>
      <c r="T34" s="1569" t="s">
        <v>8</v>
      </c>
      <c r="U34" s="1570">
        <f t="shared" si="11"/>
        <v>100</v>
      </c>
      <c r="V34" s="1569" t="s">
        <v>8</v>
      </c>
      <c r="W34" s="1570">
        <f t="shared" si="12"/>
        <v>100</v>
      </c>
      <c r="X34" s="1563"/>
      <c r="Y34" s="3420"/>
      <c r="Z34" s="1571" t="str">
        <f t="shared" si="13"/>
        <v>毗邻道路的类型与等级</v>
      </c>
      <c r="AA34" s="1572">
        <f t="shared" si="3"/>
        <v>1</v>
      </c>
      <c r="AB34" s="1572">
        <f t="shared" si="4"/>
        <v>1</v>
      </c>
      <c r="AC34" s="1572">
        <f t="shared" si="5"/>
        <v>1</v>
      </c>
    </row>
    <row r="35" spans="1:29" ht="21">
      <c r="A35" s="531"/>
      <c r="B35" s="565"/>
      <c r="C35" s="575" t="s">
        <v>3241</v>
      </c>
      <c r="D35" s="556"/>
      <c r="E35" s="575" t="s">
        <v>3241</v>
      </c>
      <c r="F35" s="554"/>
      <c r="G35" s="575" t="s">
        <v>3241</v>
      </c>
      <c r="H35" s="554"/>
      <c r="I35" s="575" t="s">
        <v>3241</v>
      </c>
      <c r="J35" s="554"/>
      <c r="K35" s="580"/>
      <c r="L35" s="2139"/>
      <c r="M35" s="2129"/>
      <c r="N35" s="2129"/>
      <c r="O35" s="2138"/>
      <c r="P35" s="3420"/>
      <c r="Q35" s="1568"/>
      <c r="R35" s="1569"/>
      <c r="S35" s="1570"/>
      <c r="T35" s="1569"/>
      <c r="U35" s="1570"/>
      <c r="V35" s="1569"/>
      <c r="W35" s="1570"/>
      <c r="X35" s="1563"/>
      <c r="Y35" s="3420"/>
      <c r="Z35" s="1571"/>
      <c r="AA35" s="1572">
        <v>1</v>
      </c>
      <c r="AB35" s="1572">
        <v>1</v>
      </c>
      <c r="AC35" s="1572">
        <v>1</v>
      </c>
    </row>
    <row r="36" spans="1:29" ht="21">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20"/>
      <c r="Q36" s="1568" t="str">
        <f t="shared" si="8"/>
        <v>土地级别</v>
      </c>
      <c r="R36" s="1569" t="s">
        <v>8</v>
      </c>
      <c r="S36" s="1570">
        <f t="shared" si="10"/>
        <v>100</v>
      </c>
      <c r="T36" s="1569" t="s">
        <v>8</v>
      </c>
      <c r="U36" s="1570">
        <f t="shared" si="11"/>
        <v>100</v>
      </c>
      <c r="V36" s="1569" t="s">
        <v>8</v>
      </c>
      <c r="W36" s="1570">
        <f t="shared" si="12"/>
        <v>100</v>
      </c>
      <c r="X36" s="1563"/>
      <c r="Y36" s="3420"/>
      <c r="Z36" s="1571" t="str">
        <f t="shared" si="13"/>
        <v>土地级别</v>
      </c>
      <c r="AA36" s="1572">
        <f t="shared" si="3"/>
        <v>1</v>
      </c>
      <c r="AB36" s="1572">
        <f t="shared" si="4"/>
        <v>1</v>
      </c>
      <c r="AC36" s="1572">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20"/>
      <c r="Q37" s="1568">
        <f t="shared" si="8"/>
        <v>111</v>
      </c>
      <c r="R37" s="1569" t="s">
        <v>8</v>
      </c>
      <c r="S37" s="1570">
        <f t="shared" si="10"/>
        <v>100</v>
      </c>
      <c r="T37" s="1569" t="s">
        <v>8</v>
      </c>
      <c r="U37" s="1570">
        <f t="shared" si="11"/>
        <v>100</v>
      </c>
      <c r="V37" s="1569" t="s">
        <v>8</v>
      </c>
      <c r="W37" s="1570">
        <f t="shared" si="12"/>
        <v>100</v>
      </c>
      <c r="X37" s="1563"/>
      <c r="Y37" s="3420"/>
      <c r="Z37" s="1571">
        <f t="shared" si="13"/>
        <v>111</v>
      </c>
      <c r="AA37" s="1572">
        <f t="shared" si="3"/>
        <v>1</v>
      </c>
      <c r="AB37" s="1572">
        <f t="shared" si="4"/>
        <v>1</v>
      </c>
      <c r="AC37" s="1572">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21" t="s">
        <v>546</v>
      </c>
      <c r="Q38" s="1568">
        <f t="shared" si="8"/>
        <v>111</v>
      </c>
      <c r="R38" s="1569" t="s">
        <v>8</v>
      </c>
      <c r="S38" s="1570">
        <f t="shared" si="10"/>
        <v>100</v>
      </c>
      <c r="T38" s="1569" t="s">
        <v>8</v>
      </c>
      <c r="U38" s="1570">
        <f t="shared" si="11"/>
        <v>100</v>
      </c>
      <c r="V38" s="1569" t="s">
        <v>8</v>
      </c>
      <c r="W38" s="1570">
        <f t="shared" si="12"/>
        <v>100</v>
      </c>
      <c r="X38" s="1563"/>
      <c r="Y38" s="3422" t="s">
        <v>546</v>
      </c>
      <c r="Z38" s="1571">
        <f t="shared" si="13"/>
        <v>111</v>
      </c>
      <c r="AA38" s="1572">
        <f t="shared" si="3"/>
        <v>1</v>
      </c>
      <c r="AB38" s="1572">
        <f t="shared" si="4"/>
        <v>1</v>
      </c>
      <c r="AC38" s="1572">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22"/>
      <c r="Q39" s="1568">
        <f t="shared" si="8"/>
        <v>111</v>
      </c>
      <c r="R39" s="1573" t="s">
        <v>8</v>
      </c>
      <c r="S39" s="1574">
        <f t="shared" si="10"/>
        <v>100</v>
      </c>
      <c r="T39" s="1573" t="s">
        <v>8</v>
      </c>
      <c r="U39" s="1574">
        <f t="shared" si="11"/>
        <v>100</v>
      </c>
      <c r="V39" s="1573" t="s">
        <v>8</v>
      </c>
      <c r="W39" s="1574">
        <f t="shared" si="12"/>
        <v>100</v>
      </c>
      <c r="X39" s="1575"/>
      <c r="Y39" s="3422"/>
      <c r="Z39" s="1576">
        <f t="shared" si="13"/>
        <v>111</v>
      </c>
      <c r="AA39" s="1572">
        <f t="shared" si="3"/>
        <v>1</v>
      </c>
      <c r="AB39" s="1572">
        <f t="shared" si="4"/>
        <v>1</v>
      </c>
      <c r="AC39" s="1572">
        <f t="shared" si="5"/>
        <v>1</v>
      </c>
    </row>
    <row r="40" spans="1:29" ht="21">
      <c r="A40" s="2928" t="s">
        <v>2754</v>
      </c>
      <c r="B40" s="594" t="s">
        <v>548</v>
      </c>
      <c r="C40" s="3206">
        <f>'数据-基础表'!A3</f>
        <v>148860.29999999999</v>
      </c>
      <c r="D40" s="3207">
        <v>100</v>
      </c>
      <c r="E40" s="3206">
        <f>案例!J3</f>
        <v>4945.38</v>
      </c>
      <c r="F40" s="3207">
        <f>LOOKUP(E40,119:119,120:120)-LOOKUP(C40,119:119,120:120)+100</f>
        <v>98</v>
      </c>
      <c r="G40" s="3206">
        <f>案例!J19</f>
        <v>55753.4</v>
      </c>
      <c r="H40" s="3207">
        <f>LOOKUP(G40,119:119,120:120)-LOOKUP(C40,119:119,120:120)+100</f>
        <v>99</v>
      </c>
      <c r="I40" s="3208">
        <f>案例!J22</f>
        <v>28967</v>
      </c>
      <c r="J40" s="3207">
        <f>LOOKUP(I40,119:119,120:120)-LOOKUP(C40,119:119,120:120)+100</f>
        <v>98</v>
      </c>
      <c r="K40" s="580"/>
      <c r="L40" s="2139"/>
      <c r="M40" s="2129"/>
      <c r="N40" s="2129"/>
      <c r="O40" s="2138"/>
      <c r="P40" s="3422"/>
      <c r="Q40" s="1568" t="str">
        <f>B40</f>
        <v>宗地面积</v>
      </c>
      <c r="R40" s="1569" t="s">
        <v>8</v>
      </c>
      <c r="S40" s="1570">
        <f t="shared" si="10"/>
        <v>98</v>
      </c>
      <c r="T40" s="1569" t="s">
        <v>8</v>
      </c>
      <c r="U40" s="1570">
        <f t="shared" si="11"/>
        <v>99</v>
      </c>
      <c r="V40" s="1569" t="s">
        <v>8</v>
      </c>
      <c r="W40" s="1570">
        <f t="shared" si="12"/>
        <v>98</v>
      </c>
      <c r="X40" s="1563"/>
      <c r="Y40" s="3422"/>
      <c r="Z40" s="1571" t="str">
        <f t="shared" si="13"/>
        <v>宗地面积</v>
      </c>
      <c r="AA40" s="1572">
        <f t="shared" si="3"/>
        <v>1.0204081632653061</v>
      </c>
      <c r="AB40" s="1572">
        <f t="shared" si="4"/>
        <v>1.0101010101010102</v>
      </c>
      <c r="AC40" s="1572">
        <f t="shared" si="5"/>
        <v>1.0204081632653061</v>
      </c>
    </row>
    <row r="41" spans="1:29" ht="21">
      <c r="A41" s="593"/>
      <c r="B41" s="526" t="s">
        <v>549</v>
      </c>
      <c r="C41" s="598" t="s">
        <v>3097</v>
      </c>
      <c r="D41" s="539">
        <v>100</v>
      </c>
      <c r="E41" s="598" t="s">
        <v>3097</v>
      </c>
      <c r="F41" s="539">
        <f>SUMIF(121:121,E41,122:122)-SUMIF(121:121,C41,122:122)+100</f>
        <v>100</v>
      </c>
      <c r="G41" s="598" t="s">
        <v>3097</v>
      </c>
      <c r="H41" s="539">
        <f>SUMIF(121:121,G41,122:122)-SUMIF(121:121,C41,122:122)+100</f>
        <v>100</v>
      </c>
      <c r="I41" s="598" t="s">
        <v>3097</v>
      </c>
      <c r="J41" s="539">
        <f>SUMIF(121:121,I41,122:122)-SUMIF(121:121,C41,122:122)+100</f>
        <v>100</v>
      </c>
      <c r="K41" s="583">
        <v>2</v>
      </c>
      <c r="L41" s="2139"/>
      <c r="M41" s="2129"/>
      <c r="N41" s="2129"/>
      <c r="O41" s="2138"/>
      <c r="P41" s="3422"/>
      <c r="Q41" s="1568" t="str">
        <f t="shared" ref="Q41:Q47" si="14">B41</f>
        <v>宗地形状</v>
      </c>
      <c r="R41" s="1569" t="s">
        <v>8</v>
      </c>
      <c r="S41" s="1570">
        <f t="shared" si="10"/>
        <v>100</v>
      </c>
      <c r="T41" s="1569" t="s">
        <v>8</v>
      </c>
      <c r="U41" s="1570">
        <f t="shared" si="11"/>
        <v>100</v>
      </c>
      <c r="V41" s="1569" t="s">
        <v>8</v>
      </c>
      <c r="W41" s="1570">
        <f t="shared" si="12"/>
        <v>100</v>
      </c>
      <c r="X41" s="1563"/>
      <c r="Y41" s="3422"/>
      <c r="Z41" s="1571" t="str">
        <f t="shared" si="13"/>
        <v>宗地形状</v>
      </c>
      <c r="AA41" s="1572">
        <f t="shared" si="3"/>
        <v>1</v>
      </c>
      <c r="AB41" s="1572">
        <f t="shared" si="4"/>
        <v>1</v>
      </c>
      <c r="AC41" s="1572">
        <f t="shared" si="5"/>
        <v>1</v>
      </c>
    </row>
    <row r="42" spans="1:29" ht="21">
      <c r="A42" s="593"/>
      <c r="B42" s="526" t="s">
        <v>550</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9"/>
      <c r="M42" s="2129"/>
      <c r="N42" s="2129"/>
      <c r="O42" s="2138"/>
      <c r="P42" s="3422"/>
      <c r="Q42" s="1568" t="str">
        <f t="shared" si="14"/>
        <v>临街宽度及深度</v>
      </c>
      <c r="R42" s="1569" t="s">
        <v>8</v>
      </c>
      <c r="S42" s="1570">
        <f t="shared" si="10"/>
        <v>100</v>
      </c>
      <c r="T42" s="1569" t="s">
        <v>8</v>
      </c>
      <c r="U42" s="1570">
        <f t="shared" si="11"/>
        <v>100</v>
      </c>
      <c r="V42" s="1569" t="s">
        <v>8</v>
      </c>
      <c r="W42" s="1570">
        <f t="shared" si="12"/>
        <v>100</v>
      </c>
      <c r="X42" s="1563"/>
      <c r="Y42" s="3422"/>
      <c r="Z42" s="1571" t="str">
        <f t="shared" si="13"/>
        <v>临街宽度及深度</v>
      </c>
      <c r="AA42" s="1572">
        <f t="shared" si="3"/>
        <v>1</v>
      </c>
      <c r="AB42" s="1572">
        <f t="shared" si="4"/>
        <v>1</v>
      </c>
      <c r="AC42" s="1572">
        <f t="shared" si="5"/>
        <v>1</v>
      </c>
    </row>
    <row r="43" spans="1:29" s="1218" customFormat="1" ht="21">
      <c r="A43" s="599"/>
      <c r="B43" s="1892" t="s">
        <v>2424</v>
      </c>
      <c r="C43" s="600" t="s">
        <v>3106</v>
      </c>
      <c r="D43" s="254">
        <v>100</v>
      </c>
      <c r="E43" s="600" t="s">
        <v>3106</v>
      </c>
      <c r="F43" s="539">
        <f>SUMIF(125:125,E43,126:126)-SUMIF(125:125,C43,126:126)+100</f>
        <v>100</v>
      </c>
      <c r="G43" s="600" t="s">
        <v>3106</v>
      </c>
      <c r="H43" s="539">
        <f>SUMIF(125:125,G43,126:126)-SUMIF(125:125,C43,126:126)+100</f>
        <v>100</v>
      </c>
      <c r="I43" s="600" t="s">
        <v>3106</v>
      </c>
      <c r="J43" s="539">
        <f>SUMIF(125:125,I43,126:126)-SUMIF(125:125,C43,126:126)+100</f>
        <v>100</v>
      </c>
      <c r="K43" s="583">
        <v>0.5</v>
      </c>
      <c r="L43" s="2132"/>
      <c r="M43" s="2129"/>
      <c r="N43" s="2129"/>
      <c r="O43" s="2134"/>
      <c r="P43" s="3422"/>
      <c r="Q43" s="1568" t="str">
        <f t="shared" si="14"/>
        <v>宗地开发程度</v>
      </c>
      <c r="R43" s="1564" t="s">
        <v>8</v>
      </c>
      <c r="S43" s="1565">
        <f t="shared" si="10"/>
        <v>100</v>
      </c>
      <c r="T43" s="1564" t="s">
        <v>8</v>
      </c>
      <c r="U43" s="1565">
        <f t="shared" si="11"/>
        <v>100</v>
      </c>
      <c r="V43" s="1564" t="s">
        <v>8</v>
      </c>
      <c r="W43" s="1565">
        <f t="shared" si="12"/>
        <v>100</v>
      </c>
      <c r="X43" s="1566"/>
      <c r="Y43" s="3422"/>
      <c r="Z43" s="1148" t="str">
        <f t="shared" si="13"/>
        <v>宗地开发程度</v>
      </c>
      <c r="AA43" s="1567">
        <f t="shared" si="3"/>
        <v>1</v>
      </c>
      <c r="AB43" s="1567">
        <f t="shared" si="4"/>
        <v>1</v>
      </c>
      <c r="AC43" s="1567">
        <f t="shared" si="5"/>
        <v>1</v>
      </c>
    </row>
    <row r="44" spans="1:29" ht="21">
      <c r="A44" s="593"/>
      <c r="B44" s="526" t="s">
        <v>551</v>
      </c>
      <c r="C44" s="598" t="s">
        <v>3087</v>
      </c>
      <c r="D44" s="539">
        <v>100</v>
      </c>
      <c r="E44" s="598" t="s">
        <v>3087</v>
      </c>
      <c r="F44" s="539">
        <f>SUMIF(127:127,E44,128:128)-SUMIF(127:127,C44,128:128)+100</f>
        <v>100</v>
      </c>
      <c r="G44" s="598" t="s">
        <v>3087</v>
      </c>
      <c r="H44" s="539">
        <f>SUMIF(127:127,G44,128:128)-SUMIF(127:127,C44,128:128)+100</f>
        <v>100</v>
      </c>
      <c r="I44" s="598" t="s">
        <v>3087</v>
      </c>
      <c r="J44" s="539">
        <f>SUMIF(127:127,I44,128:128)-SUMIF(127:127,C44,128:128)+100</f>
        <v>100</v>
      </c>
      <c r="K44" s="583">
        <v>2</v>
      </c>
      <c r="L44" s="2139"/>
      <c r="M44" s="2129"/>
      <c r="N44" s="2129"/>
      <c r="O44" s="2138"/>
      <c r="P44" s="3422" t="s">
        <v>546</v>
      </c>
      <c r="Q44" s="1568" t="str">
        <f t="shared" si="14"/>
        <v>工程地质条件</v>
      </c>
      <c r="R44" s="1569" t="s">
        <v>8</v>
      </c>
      <c r="S44" s="1570">
        <f t="shared" si="10"/>
        <v>100</v>
      </c>
      <c r="T44" s="1569" t="s">
        <v>8</v>
      </c>
      <c r="U44" s="1570">
        <f t="shared" si="11"/>
        <v>100</v>
      </c>
      <c r="V44" s="1569" t="s">
        <v>8</v>
      </c>
      <c r="W44" s="1570">
        <f t="shared" si="12"/>
        <v>100</v>
      </c>
      <c r="X44" s="1563"/>
      <c r="Y44" s="3422" t="s">
        <v>546</v>
      </c>
      <c r="Z44" s="1571" t="str">
        <f t="shared" si="13"/>
        <v>工程地质条件</v>
      </c>
      <c r="AA44" s="1572">
        <f t="shared" si="3"/>
        <v>1</v>
      </c>
      <c r="AB44" s="1572">
        <f t="shared" si="4"/>
        <v>1</v>
      </c>
      <c r="AC44" s="1572">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22"/>
      <c r="Q45" s="1568">
        <f t="shared" si="14"/>
        <v>111</v>
      </c>
      <c r="R45" s="1569" t="s">
        <v>8</v>
      </c>
      <c r="S45" s="1570">
        <f t="shared" si="10"/>
        <v>100</v>
      </c>
      <c r="T45" s="1569" t="s">
        <v>8</v>
      </c>
      <c r="U45" s="1570">
        <f t="shared" si="11"/>
        <v>100</v>
      </c>
      <c r="V45" s="1569" t="s">
        <v>8</v>
      </c>
      <c r="W45" s="1570">
        <f t="shared" si="12"/>
        <v>100</v>
      </c>
      <c r="X45" s="1563"/>
      <c r="Y45" s="3422"/>
      <c r="Z45" s="1571">
        <f t="shared" si="13"/>
        <v>111</v>
      </c>
      <c r="AA45" s="1572">
        <f t="shared" si="3"/>
        <v>1</v>
      </c>
      <c r="AB45" s="1572">
        <f t="shared" si="4"/>
        <v>1</v>
      </c>
      <c r="AC45" s="1572">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22"/>
      <c r="Q46" s="1568">
        <f t="shared" si="14"/>
        <v>111</v>
      </c>
      <c r="R46" s="1569" t="s">
        <v>8</v>
      </c>
      <c r="S46" s="1570">
        <f t="shared" si="10"/>
        <v>100</v>
      </c>
      <c r="T46" s="1569" t="s">
        <v>8</v>
      </c>
      <c r="U46" s="1570">
        <f t="shared" si="11"/>
        <v>100</v>
      </c>
      <c r="V46" s="1569" t="s">
        <v>8</v>
      </c>
      <c r="W46" s="1570">
        <f t="shared" si="12"/>
        <v>100</v>
      </c>
      <c r="X46" s="1563"/>
      <c r="Y46" s="3422"/>
      <c r="Z46" s="1571">
        <f t="shared" si="13"/>
        <v>111</v>
      </c>
      <c r="AA46" s="1572">
        <f t="shared" si="3"/>
        <v>1</v>
      </c>
      <c r="AB46" s="1572">
        <f t="shared" si="4"/>
        <v>1</v>
      </c>
      <c r="AC46" s="1572">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22"/>
      <c r="Q47" s="1568">
        <f t="shared" si="14"/>
        <v>111</v>
      </c>
      <c r="R47" s="1573" t="s">
        <v>8</v>
      </c>
      <c r="S47" s="1574">
        <f t="shared" si="10"/>
        <v>100</v>
      </c>
      <c r="T47" s="1573" t="s">
        <v>8</v>
      </c>
      <c r="U47" s="1574">
        <f t="shared" si="11"/>
        <v>100</v>
      </c>
      <c r="V47" s="1573" t="s">
        <v>8</v>
      </c>
      <c r="W47" s="1574">
        <f t="shared" si="12"/>
        <v>100</v>
      </c>
      <c r="X47" s="1575"/>
      <c r="Y47" s="3422"/>
      <c r="Z47" s="1576">
        <f t="shared" si="13"/>
        <v>111</v>
      </c>
      <c r="AA47" s="1572">
        <f t="shared" si="3"/>
        <v>1</v>
      </c>
      <c r="AB47" s="1572">
        <f t="shared" si="4"/>
        <v>1</v>
      </c>
      <c r="AC47" s="1572">
        <f t="shared" si="5"/>
        <v>1</v>
      </c>
    </row>
    <row r="48" spans="1:29" ht="21">
      <c r="A48" s="606" t="s">
        <v>552</v>
      </c>
      <c r="B48" s="607" t="s">
        <v>3219</v>
      </c>
      <c r="C48" s="608" t="s">
        <v>1</v>
      </c>
      <c r="D48" s="609"/>
      <c r="E48" s="610">
        <f>案例!AJ3</f>
        <v>589.59</v>
      </c>
      <c r="F48" s="611"/>
      <c r="G48" s="610">
        <f>案例!AJ19</f>
        <v>583.01</v>
      </c>
      <c r="H48" s="613"/>
      <c r="I48" s="610">
        <f>案例!AJ22</f>
        <v>628.99</v>
      </c>
      <c r="J48" s="613"/>
      <c r="K48" s="1338"/>
      <c r="L48" s="2141"/>
      <c r="M48" s="2129"/>
      <c r="N48" s="2129"/>
      <c r="O48" s="2142"/>
      <c r="P48" s="3417" t="str">
        <f>A48</f>
        <v>成交单价</v>
      </c>
      <c r="Q48" s="3417"/>
      <c r="R48" s="3431">
        <f>E48</f>
        <v>589.59</v>
      </c>
      <c r="S48" s="3431"/>
      <c r="T48" s="3431">
        <f>G48</f>
        <v>583.01</v>
      </c>
      <c r="U48" s="3431"/>
      <c r="V48" s="3431">
        <f>I48</f>
        <v>628.99</v>
      </c>
      <c r="W48" s="3431"/>
      <c r="X48" s="1555"/>
      <c r="Y48" s="1577"/>
      <c r="Z48" s="1555"/>
      <c r="AA48" s="1555"/>
      <c r="AB48" s="1555"/>
      <c r="AC48" s="1555"/>
    </row>
    <row r="49" spans="1:29" ht="21.6" thickBot="1">
      <c r="A49" s="614" t="s">
        <v>2692</v>
      </c>
      <c r="B49" s="615"/>
      <c r="C49" s="616">
        <f>R50</f>
        <v>624</v>
      </c>
      <c r="D49" s="617"/>
      <c r="E49" s="616">
        <f>R49</f>
        <v>608</v>
      </c>
      <c r="F49" s="618"/>
      <c r="G49" s="619">
        <f>T49</f>
        <v>595</v>
      </c>
      <c r="H49" s="617"/>
      <c r="I49" s="616">
        <f>V49</f>
        <v>669</v>
      </c>
      <c r="J49" s="617"/>
      <c r="K49" s="1339"/>
      <c r="L49" s="2141"/>
      <c r="M49" s="2129"/>
      <c r="N49" s="2129"/>
      <c r="O49" s="2142"/>
      <c r="P49" s="3417" t="str">
        <f>A49</f>
        <v>比较价格（元/平方米）</v>
      </c>
      <c r="Q49" s="3417"/>
      <c r="R49" s="3442">
        <f>ROUND(PRODUCT(R48,AA9:AA47),0)</f>
        <v>608</v>
      </c>
      <c r="S49" s="3442"/>
      <c r="T49" s="3442">
        <f>ROUND(PRODUCT(T48,AB9:AB47),0)</f>
        <v>595</v>
      </c>
      <c r="U49" s="3442"/>
      <c r="V49" s="3442">
        <f>ROUND(PRODUCT(V48,AC9:AC47),0)</f>
        <v>669</v>
      </c>
      <c r="W49" s="3442"/>
      <c r="X49" s="1555"/>
      <c r="Y49" s="1555"/>
      <c r="Z49" s="1555"/>
      <c r="AA49" s="1555"/>
      <c r="AB49" s="1555"/>
      <c r="AC49" s="1555"/>
    </row>
    <row r="50" spans="1:29" ht="21.6" thickBot="1">
      <c r="A50" s="620" t="s">
        <v>2930</v>
      </c>
      <c r="B50" s="621"/>
      <c r="C50" s="622">
        <f>R50</f>
        <v>624</v>
      </c>
      <c r="D50" s="622"/>
      <c r="E50" s="622"/>
      <c r="F50" s="622"/>
      <c r="G50" s="622"/>
      <c r="H50" s="622"/>
      <c r="I50" s="622"/>
      <c r="J50" s="622"/>
      <c r="K50" s="1340"/>
      <c r="L50" s="2141"/>
      <c r="M50" s="2129"/>
      <c r="N50" s="2129"/>
      <c r="O50" s="2142"/>
      <c r="P50" s="3439" t="str">
        <f>A50</f>
        <v>估价对象XX用房的比较价格（楼面单价，元/平方米）</v>
      </c>
      <c r="Q50" s="3440"/>
      <c r="R50" s="3441">
        <f>ROUND(AVERAGE(R49:V49),0)</f>
        <v>624</v>
      </c>
      <c r="S50" s="3441"/>
      <c r="T50" s="3441"/>
      <c r="U50" s="3441"/>
      <c r="V50" s="3441"/>
      <c r="W50" s="3441"/>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3.1225088620906005E-2</v>
      </c>
      <c r="F53" s="626" t="str">
        <f>IF(OR(E53&gt;=0.3,E53&lt;=-0.3),"超过30%","")</f>
        <v/>
      </c>
      <c r="G53" s="625">
        <f>IF(G48&lt;G49,G49/G48-1,G48/G49-1)</f>
        <v>2.0565684979674481E-2</v>
      </c>
      <c r="H53" s="626" t="str">
        <f>IF(OR(G53&gt;=0.3,G53&lt;=-0.3),"超过30%","")</f>
        <v/>
      </c>
      <c r="I53" s="625">
        <f>IF(I48&lt;I49,I49/I48-1,I48/I49-1)</f>
        <v>6.3609914307063642E-2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2.1848739495798242E-2</v>
      </c>
      <c r="F54" s="626" t="str">
        <f>IF(OR(E54&gt;=0.2,E54&lt;=-0.2),"超过20%","")</f>
        <v/>
      </c>
      <c r="G54" s="625">
        <f>IF(G49&lt;I49,I49/G49-1,G49/I49-1)</f>
        <v>0.12436974789915967</v>
      </c>
      <c r="H54" s="626" t="str">
        <f>IF(OR(G54&gt;=0.2,G54&lt;=-0.2),"超过20%","")</f>
        <v/>
      </c>
      <c r="I54" s="625">
        <f>IF(I49&lt;E49,E49/I49-1,I49/E49-1)</f>
        <v>0.10032894736842102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1.1286255810363466E-2</v>
      </c>
      <c r="F55" s="626" t="str">
        <f>IF(OR(E55&gt;=0.3,E55&lt;=-0.3),"超过30%","")</f>
        <v/>
      </c>
      <c r="G55" s="625">
        <f>IF(G48&lt;I48,I48/G48-1,G48/I48-1)</f>
        <v>7.8866571756916803E-2</v>
      </c>
      <c r="H55" s="626" t="str">
        <f>IF(OR(G55&gt;=0.3,G55&lt;=-0.3),"超过30%","")</f>
        <v/>
      </c>
      <c r="I55" s="625">
        <f>IF(I48&lt;E48,E48/I48-1,I48/E48-1)</f>
        <v>6.6826099492867774E-2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01" t="s">
        <v>2280</v>
      </c>
      <c r="H57" s="3402"/>
      <c r="I57" s="1551" t="s">
        <v>1719</v>
      </c>
      <c r="J57" s="1551" t="str">
        <f>项目基本情况!F41</f>
        <v>湖北省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3.2">
      <c r="A58" s="632" t="s">
        <v>560</v>
      </c>
      <c r="B58" s="633">
        <f>C50</f>
        <v>624</v>
      </c>
      <c r="C58" s="634">
        <v>1</v>
      </c>
      <c r="D58" s="2225">
        <v>1</v>
      </c>
      <c r="E58" s="634">
        <f>'数据-汇总表'!E8+'数据-汇总表'!E9</f>
        <v>388765.69</v>
      </c>
      <c r="F58" s="635">
        <f t="shared" ref="F58:F67" si="15">ROUND(B58*E58/10000,0)</f>
        <v>24259</v>
      </c>
      <c r="G58" s="3403"/>
      <c r="H58" s="3404"/>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561</v>
      </c>
      <c r="B59" s="637">
        <f>ROUND($C$50*C59*D59,0)</f>
        <v>94</v>
      </c>
      <c r="C59" s="377">
        <f t="shared" ref="C59:C67" si="16">IF($C$57="北京市系数",I59,J59)</f>
        <v>0.6</v>
      </c>
      <c r="D59" s="2226">
        <v>0.25</v>
      </c>
      <c r="E59" s="638">
        <v>0</v>
      </c>
      <c r="F59" s="635">
        <f t="shared" si="15"/>
        <v>0</v>
      </c>
      <c r="G59" s="3405"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562</v>
      </c>
      <c r="B60" s="637">
        <f t="shared" ref="B60:B67" si="17">ROUND($C$50*C60*D60,0)</f>
        <v>47</v>
      </c>
      <c r="C60" s="377">
        <f t="shared" si="16"/>
        <v>0.3</v>
      </c>
      <c r="D60" s="2226">
        <v>0.25</v>
      </c>
      <c r="E60" s="638">
        <v>0</v>
      </c>
      <c r="F60" s="635">
        <f t="shared" si="15"/>
        <v>0</v>
      </c>
      <c r="G60" s="3405"/>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563</v>
      </c>
      <c r="B61" s="637">
        <f t="shared" si="17"/>
        <v>31</v>
      </c>
      <c r="C61" s="377">
        <f t="shared" si="16"/>
        <v>0.2</v>
      </c>
      <c r="D61" s="2226">
        <v>0.25</v>
      </c>
      <c r="E61" s="638">
        <v>0</v>
      </c>
      <c r="F61" s="635">
        <f t="shared" si="15"/>
        <v>0</v>
      </c>
      <c r="G61" s="3405"/>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2">
      <c r="A62" s="636" t="s">
        <v>564</v>
      </c>
      <c r="B62" s="637">
        <f t="shared" si="17"/>
        <v>31</v>
      </c>
      <c r="C62" s="377">
        <f t="shared" si="16"/>
        <v>0.2</v>
      </c>
      <c r="D62" s="2226">
        <v>0.25</v>
      </c>
      <c r="E62" s="638">
        <v>0</v>
      </c>
      <c r="F62" s="635">
        <f t="shared" si="15"/>
        <v>0</v>
      </c>
      <c r="G62" s="3405"/>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2">
      <c r="A63" s="2328" t="s">
        <v>2327</v>
      </c>
      <c r="B63" s="637">
        <f t="shared" si="17"/>
        <v>31</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3.2">
      <c r="A64" s="636" t="s">
        <v>565</v>
      </c>
      <c r="B64" s="637">
        <f t="shared" si="17"/>
        <v>31</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3.2">
      <c r="A65" s="636" t="s">
        <v>566</v>
      </c>
      <c r="B65" s="637">
        <f t="shared" si="17"/>
        <v>23</v>
      </c>
      <c r="C65" s="377">
        <f t="shared" si="16"/>
        <v>0.15</v>
      </c>
      <c r="D65" s="2226">
        <v>0.25</v>
      </c>
      <c r="E65" s="640">
        <f>'数据-汇总表'!E13</f>
        <v>0</v>
      </c>
      <c r="F65" s="635">
        <f t="shared" si="15"/>
        <v>0</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3.2">
      <c r="A66" s="636" t="s">
        <v>567</v>
      </c>
      <c r="B66" s="637">
        <f t="shared" si="17"/>
        <v>23</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thickBot="1">
      <c r="A67" s="636" t="s">
        <v>568</v>
      </c>
      <c r="B67" s="637">
        <f t="shared" si="17"/>
        <v>23</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thickBot="1">
      <c r="A68" s="641" t="s">
        <v>569</v>
      </c>
      <c r="B68" s="642" t="s">
        <v>17</v>
      </c>
      <c r="C68" s="642" t="s">
        <v>18</v>
      </c>
      <c r="D68" s="642" t="s">
        <v>2293</v>
      </c>
      <c r="E68" s="642">
        <f>IF(B48="楼面地价",SUM(E58:E67),'数据-汇总表'!D3)</f>
        <v>388765.69</v>
      </c>
      <c r="F68" s="643">
        <f>IF(B48="楼面地价",SUM(F58:F67),ROUND(C50*E68/10000,0))</f>
        <v>24259</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2018-9-1</v>
      </c>
      <c r="D70" s="2820">
        <f>EDATE(C70,-3)</f>
        <v>43252</v>
      </c>
      <c r="E70" s="2820">
        <f t="shared" ref="E70:N70" si="18">EDATE(D70,-3)</f>
        <v>43160</v>
      </c>
      <c r="F70" s="2820">
        <f t="shared" si="18"/>
        <v>43070</v>
      </c>
      <c r="G70" s="2820">
        <f t="shared" si="18"/>
        <v>42979</v>
      </c>
      <c r="H70" s="2820">
        <f t="shared" si="18"/>
        <v>42887</v>
      </c>
      <c r="I70" s="2820">
        <f t="shared" si="18"/>
        <v>42795</v>
      </c>
      <c r="J70" s="2820">
        <f t="shared" si="18"/>
        <v>42705</v>
      </c>
      <c r="K70" s="2820">
        <f t="shared" si="18"/>
        <v>42614</v>
      </c>
      <c r="L70" s="2820">
        <f t="shared" si="18"/>
        <v>42522</v>
      </c>
      <c r="M70" s="2820">
        <f t="shared" si="18"/>
        <v>42430</v>
      </c>
      <c r="N70" s="2820">
        <f t="shared" si="18"/>
        <v>42339</v>
      </c>
      <c r="O70" s="2142"/>
      <c r="P70" s="2142"/>
      <c r="Q70" s="2142"/>
      <c r="R70" s="2142"/>
      <c r="S70" s="2142"/>
      <c r="T70" s="2142"/>
      <c r="U70" s="2142"/>
      <c r="V70" s="2142"/>
      <c r="W70" s="2142"/>
      <c r="X70" s="2142"/>
      <c r="Y70" s="2142"/>
      <c r="Z70" s="2142"/>
      <c r="AA70" s="2142"/>
      <c r="AB70" s="2142"/>
      <c r="AC70" s="2142"/>
    </row>
    <row r="71" spans="1:29" ht="22.2"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4.4">
      <c r="A72" s="2589" t="s">
        <v>2531</v>
      </c>
      <c r="B72" s="2590"/>
      <c r="C72" s="2815" t="str">
        <f>YEAR(C70)&amp;"-"&amp;ROUNDUP(MONTH(C70)/3,0)</f>
        <v>2018-3</v>
      </c>
      <c r="D72" s="2822" t="str">
        <f>YEAR(D70)&amp;"-"&amp;ROUNDUP(MONTH(D70)/3,0)</f>
        <v>2018-2</v>
      </c>
      <c r="E72" s="2822" t="str">
        <f t="shared" ref="E72:N72" si="19">YEAR(E70)&amp;"-"&amp;ROUNDUP(MONTH(E70)/3,0)</f>
        <v>2018-1</v>
      </c>
      <c r="F72" s="2822" t="str">
        <f t="shared" si="19"/>
        <v>2017-4</v>
      </c>
      <c r="G72" s="2822" t="str">
        <f t="shared" si="19"/>
        <v>2017-3</v>
      </c>
      <c r="H72" s="2822" t="str">
        <f t="shared" si="19"/>
        <v>2017-2</v>
      </c>
      <c r="I72" s="2822" t="str">
        <f t="shared" si="19"/>
        <v>2017-1</v>
      </c>
      <c r="J72" s="2822" t="str">
        <f t="shared" si="19"/>
        <v>2016-4</v>
      </c>
      <c r="K72" s="2822" t="str">
        <f t="shared" si="19"/>
        <v>2016-3</v>
      </c>
      <c r="L72" s="2822" t="str">
        <f t="shared" si="19"/>
        <v>2016-2</v>
      </c>
      <c r="M72" s="2822" t="str">
        <f t="shared" si="19"/>
        <v>2016-1</v>
      </c>
      <c r="N72" s="2822" t="str">
        <f t="shared" si="19"/>
        <v>2015-4</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2646</v>
      </c>
      <c r="B73" s="478" t="str">
        <f>"北京市平均增长率"&amp;TEXT(SUMIF(基准地价!N21:N25,A73,基准地价!P21:P25),"0.00%")</f>
        <v>北京市平均增长率0.00%</v>
      </c>
      <c r="C73" s="892">
        <v>100</v>
      </c>
      <c r="D73" s="729">
        <v>99</v>
      </c>
      <c r="E73" s="729">
        <v>98</v>
      </c>
      <c r="F73" s="729">
        <v>97</v>
      </c>
      <c r="G73" s="729">
        <v>97</v>
      </c>
      <c r="H73" s="729">
        <v>96</v>
      </c>
      <c r="I73" s="729">
        <v>95</v>
      </c>
      <c r="J73" s="729">
        <v>94</v>
      </c>
      <c r="K73" s="729">
        <v>93</v>
      </c>
      <c r="L73" s="729">
        <v>92</v>
      </c>
      <c r="M73" s="729">
        <v>91</v>
      </c>
      <c r="N73" s="729">
        <v>90</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2645</v>
      </c>
      <c r="B74" s="2826"/>
      <c r="C74" s="2811"/>
      <c r="D74" s="2812"/>
      <c r="E74" s="2812"/>
      <c r="F74" s="2812"/>
      <c r="G74" s="2812"/>
      <c r="H74" s="2812" t="s">
        <v>3110</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4.4">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179" t="s">
        <v>3218</v>
      </c>
      <c r="D77" s="3179"/>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534</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3"/>
      <c r="O83" s="2163"/>
      <c r="P83" s="2162"/>
      <c r="Q83" s="2155"/>
      <c r="R83" s="2142"/>
      <c r="S83" s="2142"/>
      <c r="T83" s="2142"/>
      <c r="U83" s="2142"/>
      <c r="V83" s="2142"/>
      <c r="W83" s="2142"/>
      <c r="X83" s="2142"/>
      <c r="Y83" s="2142"/>
      <c r="Z83" s="2142"/>
      <c r="AA83" s="2142"/>
      <c r="AB83" s="2142"/>
      <c r="AC83" s="2142"/>
    </row>
    <row r="84" spans="1:29" s="1337" customFormat="1" ht="15" thickTop="1">
      <c r="A84" s="686"/>
      <c r="B84" s="672" t="str">
        <f>B14</f>
        <v>配建</v>
      </c>
      <c r="C84" s="1372" t="s">
        <v>3083</v>
      </c>
      <c r="D84" s="1373" t="s">
        <v>3088</v>
      </c>
      <c r="E84" s="3187" t="s">
        <v>3089</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4.4"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9.4"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9.4"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 thickTop="1">
      <c r="A102" s="686"/>
      <c r="B102" s="1893" t="s">
        <v>2547</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544</v>
      </c>
      <c r="C108" s="3187" t="s">
        <v>3091</v>
      </c>
      <c r="D108" s="3187" t="s">
        <v>3092</v>
      </c>
      <c r="E108" s="3187" t="s">
        <v>3093</v>
      </c>
      <c r="F108" s="3187" t="s">
        <v>3094</v>
      </c>
      <c r="G108" s="3187" t="s">
        <v>3095</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108" t="str">
        <f t="shared" si="25"/>
        <v>(含)-</v>
      </c>
      <c r="K118" s="3108" t="str">
        <f t="shared" si="25"/>
        <v>(含)-</v>
      </c>
      <c r="L118" s="3109" t="str">
        <f t="shared" si="25"/>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50000</v>
      </c>
      <c r="E119" s="729">
        <v>100000</v>
      </c>
      <c r="F119" s="729">
        <v>150000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101</v>
      </c>
      <c r="E120" s="725">
        <v>102</v>
      </c>
      <c r="F120" s="725">
        <v>103</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190" t="s">
        <v>3096</v>
      </c>
      <c r="D121" s="3190" t="s">
        <v>3098</v>
      </c>
      <c r="E121" s="3190" t="s">
        <v>3099</v>
      </c>
      <c r="F121" s="3190" t="s">
        <v>3100</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3101</v>
      </c>
      <c r="D123" s="687" t="s">
        <v>3087</v>
      </c>
      <c r="E123" s="687" t="s">
        <v>3085</v>
      </c>
      <c r="F123" s="717" t="s">
        <v>3086</v>
      </c>
      <c r="G123" s="717" t="s">
        <v>3102</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3090</v>
      </c>
      <c r="D125" s="1373" t="s">
        <v>3103</v>
      </c>
      <c r="E125" s="1373" t="s">
        <v>3104</v>
      </c>
      <c r="F125" s="1373" t="s">
        <v>3105</v>
      </c>
      <c r="G125" s="1373" t="s">
        <v>3106</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4.4" thickBot="1">
      <c r="A126" s="686"/>
      <c r="B126" s="677"/>
      <c r="C126" s="678">
        <v>100</v>
      </c>
      <c r="D126" s="678">
        <f>C126-$K43</f>
        <v>99.5</v>
      </c>
      <c r="E126" s="678">
        <f t="shared" ref="E126:M126" si="28">D126-$K43</f>
        <v>99</v>
      </c>
      <c r="F126" s="678">
        <f t="shared" si="28"/>
        <v>98.5</v>
      </c>
      <c r="G126" s="678">
        <f t="shared" si="28"/>
        <v>98</v>
      </c>
      <c r="H126" s="678">
        <f t="shared" si="28"/>
        <v>97.5</v>
      </c>
      <c r="I126" s="678">
        <f t="shared" si="28"/>
        <v>97</v>
      </c>
      <c r="J126" s="678">
        <f t="shared" si="28"/>
        <v>96.5</v>
      </c>
      <c r="K126" s="678">
        <f t="shared" si="28"/>
        <v>96</v>
      </c>
      <c r="L126" s="678">
        <f t="shared" si="28"/>
        <v>95.5</v>
      </c>
      <c r="M126" s="679">
        <f t="shared" si="28"/>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3101</v>
      </c>
      <c r="D127" s="687" t="s">
        <v>3087</v>
      </c>
      <c r="E127" s="717" t="s">
        <v>3085</v>
      </c>
      <c r="F127" s="717" t="s">
        <v>3086</v>
      </c>
      <c r="G127" s="717" t="s">
        <v>3102</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28" sqref="F28"/>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462</v>
      </c>
      <c r="B1" s="2830"/>
      <c r="C1" s="2101"/>
      <c r="D1" s="2101"/>
      <c r="E1" s="2101"/>
      <c r="F1" s="2101"/>
      <c r="G1" s="2101"/>
      <c r="H1" s="2101"/>
      <c r="I1" s="2101"/>
      <c r="J1" s="2101"/>
      <c r="K1" s="421">
        <f>MATCH(B1,'数据-取费表'!A6:A16,0)+5</f>
        <v>9</v>
      </c>
    </row>
    <row r="2" spans="1:31" s="2038" customFormat="1" ht="18" customHeight="1">
      <c r="A2" s="2098" t="s">
        <v>463</v>
      </c>
      <c r="B2" s="2102">
        <f ca="1">C36</f>
        <v>21101</v>
      </c>
      <c r="C2" s="2101"/>
      <c r="D2" s="2101"/>
      <c r="E2" s="2101"/>
      <c r="F2" s="2101"/>
      <c r="G2" s="2101"/>
      <c r="H2" s="2101"/>
      <c r="I2" s="2101"/>
      <c r="J2" s="2101"/>
      <c r="K2" s="2101"/>
    </row>
    <row r="3" spans="1:31" s="2038" customFormat="1" ht="18" customHeight="1">
      <c r="A3" s="2103" t="s">
        <v>1681</v>
      </c>
      <c r="B3" s="2104">
        <f ca="1">ROUND(B2*10000/IF(B1="",'数据-汇总表'!E3,INDIRECT("'数据-取费表'!K"&amp;$K$1)),0)</f>
        <v>491</v>
      </c>
      <c r="C3" s="2101"/>
      <c r="D3" s="2101"/>
      <c r="E3" s="2101"/>
      <c r="F3" s="2101"/>
      <c r="G3" s="2101"/>
      <c r="H3" s="2101"/>
      <c r="I3" s="2101"/>
      <c r="J3" s="2101"/>
      <c r="K3" s="2101"/>
    </row>
    <row r="4" spans="1:31" s="2038" customFormat="1" ht="18" customHeight="1">
      <c r="A4" s="425" t="s">
        <v>464</v>
      </c>
      <c r="B4" s="426">
        <f ca="1">ROUND(B2*10000/IF(B1="",'数据-汇总表'!D3,INDIRECT("'数据-取费表'!R"&amp;$K$1)),0)</f>
        <v>1418</v>
      </c>
      <c r="C4" s="427"/>
      <c r="D4" s="421"/>
      <c r="E4" s="421"/>
      <c r="F4" s="421"/>
      <c r="G4" s="421"/>
      <c r="H4" s="421"/>
      <c r="I4" s="421"/>
      <c r="J4" s="421"/>
      <c r="K4" s="421"/>
    </row>
    <row r="5" spans="1:31" s="2038" customFormat="1" ht="18" customHeight="1" thickBot="1">
      <c r="A5" s="428"/>
      <c r="B5" s="429">
        <f ca="1">ROUND(B2/(IF(B1="",'数据-汇总表'!D3,INDIRECT("'数据-取费表'!R"&amp;$K$1))/666.67),0)</f>
        <v>95</v>
      </c>
      <c r="C5" s="430" t="s">
        <v>465</v>
      </c>
      <c r="D5" s="421"/>
      <c r="E5" s="421"/>
      <c r="F5" s="421"/>
      <c r="G5" s="421"/>
      <c r="H5" s="421"/>
      <c r="I5" s="421"/>
      <c r="J5" s="421"/>
      <c r="K5" s="421"/>
    </row>
    <row r="6" spans="1:31" s="2108" customFormat="1" ht="16.5" customHeight="1">
      <c r="A6" s="2849" t="s">
        <v>1839</v>
      </c>
      <c r="B6" s="2850"/>
      <c r="C6" s="2851">
        <f ca="1">SUM(C10:K10)</f>
        <v>127760</v>
      </c>
      <c r="D6" s="2850"/>
      <c r="E6" s="2850"/>
      <c r="F6" s="2850"/>
      <c r="G6" s="2850"/>
      <c r="H6" s="2850"/>
      <c r="I6" s="2850"/>
      <c r="J6" s="2850"/>
      <c r="K6" s="2852"/>
    </row>
    <row r="7" spans="1:31" s="2110" customFormat="1" ht="14.4">
      <c r="A7" s="2853" t="s">
        <v>466</v>
      </c>
      <c r="B7" s="2854" t="s">
        <v>467</v>
      </c>
      <c r="C7" s="435" t="s">
        <v>3590</v>
      </c>
      <c r="D7" s="435" t="s">
        <v>3592</v>
      </c>
      <c r="E7" s="435" t="s">
        <v>2983</v>
      </c>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v>3800</v>
      </c>
      <c r="D8" s="2855">
        <v>3200</v>
      </c>
      <c r="E8" s="2855">
        <f ca="1">不动产收益法底!B3</f>
        <v>5169</v>
      </c>
      <c r="F8" s="2855"/>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15204.960000000001</v>
      </c>
      <c r="D9" s="440">
        <f>SUMIF('数据-汇总表'!$C19:$C33,'剩余法-待开发'!D7,'数据-汇总表'!$E19:$E33)</f>
        <v>361153.70999999996</v>
      </c>
      <c r="E9" s="440">
        <f>SUMIF('数据-汇总表'!$C19:$C33,'剩余法-待开发'!E7,'数据-汇总表'!$E19:$E33)</f>
        <v>12407.02</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5778</v>
      </c>
      <c r="D10" s="3046">
        <f>ROUND(D8*D9/10000,0)</f>
        <v>115569</v>
      </c>
      <c r="E10" s="3046">
        <f ca="1">不动产收益法底!B2</f>
        <v>6413</v>
      </c>
      <c r="F10" s="2858"/>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F8*35</f>
        <v>0</v>
      </c>
    </row>
    <row r="13" spans="1:31" s="2113" customFormat="1" ht="13.5" customHeight="1">
      <c r="A13" s="2863" t="s">
        <v>1845</v>
      </c>
      <c r="B13" s="2864" t="s">
        <v>475</v>
      </c>
      <c r="C13" s="449">
        <f ca="1">IF(B1="",'数据-取费表'!P16,INDIRECT("'数据-取费表'!p"&amp;$K$1)+INDIRECT("'数据-取费表'!t"&amp;$K$1))</f>
        <v>63309</v>
      </c>
      <c r="D13" s="2865"/>
      <c r="E13" s="2866"/>
      <c r="F13" s="2867"/>
      <c r="G13" s="2833"/>
      <c r="H13" s="2834"/>
      <c r="I13" s="2834"/>
      <c r="J13" s="2834"/>
      <c r="K13" s="2835"/>
    </row>
    <row r="14" spans="1:31" s="2113" customFormat="1" ht="13.5" customHeight="1">
      <c r="A14" s="2863" t="s">
        <v>1846</v>
      </c>
      <c r="B14" s="2864" t="s">
        <v>476</v>
      </c>
      <c r="C14" s="53">
        <f ca="1">ROUND(C13*F14,0)</f>
        <v>3165</v>
      </c>
      <c r="D14" s="2865"/>
      <c r="E14" s="2866"/>
      <c r="F14" s="2868">
        <f>'数据-取费表'!B33</f>
        <v>0.05</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2800</v>
      </c>
      <c r="D15" s="2865"/>
      <c r="E15" s="2866"/>
      <c r="F15" s="2868">
        <f>'数据-取费表'!B34</f>
        <v>0.05</v>
      </c>
      <c r="G15" s="2833" t="s">
        <v>479</v>
      </c>
      <c r="H15" s="2834"/>
      <c r="I15" s="2834"/>
      <c r="J15" s="2834"/>
      <c r="K15" s="2835"/>
    </row>
    <row r="16" spans="1:31" s="2114" customFormat="1" ht="13.5" customHeight="1">
      <c r="A16" s="2863" t="s">
        <v>1848</v>
      </c>
      <c r="B16" s="2864" t="s">
        <v>480</v>
      </c>
      <c r="C16" s="53">
        <f ca="1">ROUND(D16*E16/10000,0)</f>
        <v>8592</v>
      </c>
      <c r="D16" s="2865">
        <f ca="1">IF(B1="",'数据-汇总表'!E3,INDIRECT("'数据-取费表'!K"&amp;$K$1)+INDIRECT("'数据-取费表'!S"&amp;$K$1))</f>
        <v>429582.71</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950</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78816</v>
      </c>
      <c r="D18" s="2874"/>
      <c r="E18" s="467"/>
      <c r="F18" s="467"/>
      <c r="G18" s="2837" t="s">
        <v>2430</v>
      </c>
      <c r="H18" s="2838"/>
      <c r="I18" s="2838"/>
      <c r="J18" s="2838"/>
      <c r="K18" s="2839"/>
    </row>
    <row r="19" spans="1:14" s="2113" customFormat="1" ht="13.5" customHeight="1">
      <c r="A19" s="2871" t="s">
        <v>1851</v>
      </c>
      <c r="B19" s="2872" t="s">
        <v>484</v>
      </c>
      <c r="C19" s="2829">
        <f ca="1">ROUND(D19*E19/10000,0)</f>
        <v>2148</v>
      </c>
      <c r="D19" s="2875">
        <f ca="1">D16</f>
        <v>429582.71</v>
      </c>
      <c r="E19" s="2829">
        <f>'数据-取费表'!B32</f>
        <v>50</v>
      </c>
      <c r="F19" s="467"/>
      <c r="G19" s="2833" t="s">
        <v>485</v>
      </c>
      <c r="H19" s="2834"/>
      <c r="I19" s="2838"/>
      <c r="J19" s="2838"/>
      <c r="K19" s="2839"/>
    </row>
    <row r="20" spans="1:14" s="2113" customFormat="1" ht="13.5" customHeight="1">
      <c r="A20" s="2871" t="s">
        <v>1852</v>
      </c>
      <c r="B20" s="2872" t="s">
        <v>486</v>
      </c>
      <c r="C20" s="2829">
        <f ca="1">C21+C22</f>
        <v>1289</v>
      </c>
      <c r="D20" s="2875"/>
      <c r="E20" s="2829"/>
      <c r="F20" s="2876"/>
      <c r="G20" s="3104" t="s">
        <v>3228</v>
      </c>
      <c r="H20" s="2831">
        <f ca="1">C21+C22</f>
        <v>1289</v>
      </c>
      <c r="I20" s="2832" t="s">
        <v>2650</v>
      </c>
      <c r="J20" s="2838"/>
      <c r="K20" s="2839"/>
    </row>
    <row r="21" spans="1:14" s="2113" customFormat="1" ht="13.5" customHeight="1">
      <c r="A21" s="2863" t="s">
        <v>1853</v>
      </c>
      <c r="B21" s="2864" t="s">
        <v>487</v>
      </c>
      <c r="C21" s="53">
        <f ca="1">ROUND(D21*E21/10000,0)</f>
        <v>1129</v>
      </c>
      <c r="D21" s="2865">
        <f ca="1">IF(B1="",'数据-汇总表'!E5,IF(INDIRECT("'数据-取费表'!c"&amp;$K$1)="住宅",INDIRECT("'数据-取费表'!k"&amp;$K$1),0))</f>
        <v>376358.67</v>
      </c>
      <c r="E21" s="53">
        <f>'数据-取费表'!B27</f>
        <v>30</v>
      </c>
      <c r="F21" s="2868"/>
      <c r="G21" s="26"/>
      <c r="H21" s="51"/>
      <c r="I21" s="51"/>
      <c r="J21" s="51"/>
      <c r="K21" s="2840"/>
    </row>
    <row r="22" spans="1:14" s="2113" customFormat="1" ht="13.5" customHeight="1">
      <c r="A22" s="2863" t="s">
        <v>1854</v>
      </c>
      <c r="B22" s="2864" t="s">
        <v>488</v>
      </c>
      <c r="C22" s="53">
        <f ca="1">ROUND(D22*E22/10000,0)</f>
        <v>160</v>
      </c>
      <c r="D22" s="2865">
        <f ca="1">IF(B1="",'数据-汇总表'!E6,IF(INDIRECT("'数据-取费表'!c"&amp;$K$1)="住宅",INDIRECT("'数据-取费表'!s"&amp;$K$1),INDIRECT("'数据-取费表'!k"&amp;$K$1)+INDIRECT("'数据-取费表'!s"&amp;$K$1)))</f>
        <v>53224.040000000037</v>
      </c>
      <c r="E22" s="53">
        <f>'数据-取费表'!B28</f>
        <v>30</v>
      </c>
      <c r="F22" s="2868"/>
      <c r="G22" s="26"/>
      <c r="H22" s="51"/>
      <c r="I22" s="51"/>
      <c r="J22" s="51"/>
      <c r="K22" s="2840"/>
    </row>
    <row r="23" spans="1:14" s="2113" customFormat="1" ht="13.5" customHeight="1">
      <c r="A23" s="2871" t="s">
        <v>1855</v>
      </c>
      <c r="B23" s="3052" t="s">
        <v>2833</v>
      </c>
      <c r="C23" s="2873">
        <f ca="1">ROUND((C18+C19+C20)*F23,0)</f>
        <v>2056</v>
      </c>
      <c r="D23" s="467"/>
      <c r="E23" s="467"/>
      <c r="F23" s="2877">
        <f>'数据-取费表'!B37</f>
        <v>2.5000000000000001E-2</v>
      </c>
      <c r="G23" s="2833" t="s">
        <v>2431</v>
      </c>
      <c r="H23" s="2834"/>
      <c r="I23" s="2834"/>
      <c r="J23" s="2834"/>
      <c r="K23" s="2835"/>
      <c r="L23" s="2115"/>
      <c r="M23" s="2115"/>
      <c r="N23" s="2115"/>
    </row>
    <row r="24" spans="1:14" s="2113" customFormat="1" ht="13.5" customHeight="1">
      <c r="A24" s="2871" t="s">
        <v>1856</v>
      </c>
      <c r="B24" s="3052" t="s">
        <v>2836</v>
      </c>
      <c r="C24" s="2873">
        <f ca="1">ROUND(C6*F24,0)</f>
        <v>3194</v>
      </c>
      <c r="D24" s="474"/>
      <c r="E24" s="472"/>
      <c r="F24" s="2877">
        <f>'数据-取费表'!B38</f>
        <v>2.5000000000000001E-2</v>
      </c>
      <c r="G24" s="2842" t="s">
        <v>495</v>
      </c>
      <c r="H24" s="2836"/>
      <c r="I24" s="2836"/>
      <c r="J24" s="2836"/>
      <c r="K24" s="278"/>
      <c r="L24" s="2115"/>
      <c r="M24" s="2115"/>
      <c r="N24" s="2115"/>
    </row>
    <row r="25" spans="1:14" s="2116" customFormat="1" ht="13.5" customHeight="1">
      <c r="A25" s="2871" t="s">
        <v>1857</v>
      </c>
      <c r="B25" s="3052" t="s">
        <v>2834</v>
      </c>
      <c r="C25" s="466">
        <f>ROUND(F25/(1+'数据-取费表'!C42),4)</f>
        <v>2.9000000000000001E-2</v>
      </c>
      <c r="D25" s="461" t="s">
        <v>2828</v>
      </c>
      <c r="E25" s="468"/>
      <c r="F25" s="2877">
        <f>'数据-取费表'!B48+'数据-取费表'!B49</f>
        <v>3.0499999999999999E-2</v>
      </c>
      <c r="G25" s="2841" t="s">
        <v>2288</v>
      </c>
      <c r="H25" s="2834"/>
      <c r="I25" s="2834"/>
      <c r="J25" s="2834"/>
      <c r="K25" s="2835"/>
    </row>
    <row r="26" spans="1:14" s="2115" customFormat="1" ht="13.5" customHeight="1">
      <c r="A26" s="2871" t="s">
        <v>1858</v>
      </c>
      <c r="B26" s="3053" t="s">
        <v>2835</v>
      </c>
      <c r="C26" s="2878">
        <f ca="1">C28</f>
        <v>4156</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2837</v>
      </c>
      <c r="C28" s="2881">
        <f ca="1">ROUND(IF('数据-取费表'!B22&lt;=1,(C18+C19+C20+C23+C24)*F26*'数据-取费表'!B24/2,(C18+C19+C20+C23+C24)*(POWER((1+F26),'数据-取费表'!B24/2)-1)),0)</f>
        <v>4156</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6814</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98473</v>
      </c>
      <c r="D30" s="476">
        <f ca="1">C32</f>
        <v>0.12909999999999999</v>
      </c>
      <c r="E30" s="468" t="s">
        <v>491</v>
      </c>
      <c r="F30" s="470"/>
      <c r="G30" s="2841" t="s">
        <v>2970</v>
      </c>
      <c r="H30" s="2834"/>
      <c r="I30" s="2834"/>
      <c r="J30" s="2834"/>
      <c r="K30" s="2835"/>
    </row>
    <row r="31" spans="1:14" s="2117" customFormat="1" ht="13.5" customHeight="1">
      <c r="A31" s="802" t="s">
        <v>1853</v>
      </c>
      <c r="B31" s="2879"/>
      <c r="C31" s="449">
        <f ca="1">C18+C19+C20+C23+C24+C26+C29</f>
        <v>98473</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2832</v>
      </c>
      <c r="B33" s="3049" t="s">
        <v>2830</v>
      </c>
      <c r="C33" s="477">
        <f ca="1">C35</f>
        <v>4375</v>
      </c>
      <c r="D33" s="466">
        <f ca="1">C34</f>
        <v>5.1499999999999997E-2</v>
      </c>
      <c r="E33" s="468" t="s">
        <v>491</v>
      </c>
      <c r="F33" s="478">
        <f ca="1">IF(B1="",'数据-取费表'!Q16,INDIRECT("'数据-取费表'!q"&amp;$K$1))</f>
        <v>0.05</v>
      </c>
      <c r="G33" s="2837"/>
      <c r="H33" s="2838"/>
      <c r="I33" s="2838"/>
      <c r="J33" s="2838"/>
      <c r="K33" s="2839"/>
    </row>
    <row r="34" spans="1:11" s="2120" customFormat="1" ht="13.5" customHeight="1">
      <c r="A34" s="374" t="s">
        <v>1853</v>
      </c>
      <c r="B34" s="2884" t="s">
        <v>497</v>
      </c>
      <c r="C34" s="471">
        <f ca="1">ROUND((1+C25)*F33,4)</f>
        <v>5.1499999999999997E-2</v>
      </c>
      <c r="D34" s="471"/>
      <c r="E34" s="472"/>
      <c r="F34" s="479"/>
      <c r="G34" s="260" t="s">
        <v>2289</v>
      </c>
      <c r="H34" s="2836"/>
      <c r="I34" s="2836"/>
      <c r="J34" s="2836"/>
      <c r="K34" s="278"/>
    </row>
    <row r="35" spans="1:11" s="2120" customFormat="1" ht="13.5" customHeight="1" thickBot="1">
      <c r="A35" s="1632" t="s">
        <v>1854</v>
      </c>
      <c r="B35" s="3050" t="s">
        <v>2838</v>
      </c>
      <c r="C35" s="1624">
        <f ca="1">ROUND((C18+C19+C20+C23+C24)*F33,0)</f>
        <v>4375</v>
      </c>
      <c r="D35" s="1625"/>
      <c r="E35" s="2885"/>
      <c r="F35" s="1626"/>
      <c r="G35" s="2843"/>
      <c r="H35" s="2844"/>
      <c r="I35" s="2844"/>
      <c r="J35" s="2844"/>
      <c r="K35" s="2845"/>
    </row>
    <row r="36" spans="1:11" s="2082" customFormat="1" ht="13.5" customHeight="1" thickBot="1">
      <c r="A36" s="283" t="s">
        <v>1841</v>
      </c>
      <c r="B36" s="2847"/>
      <c r="C36" s="2886">
        <f ca="1">ROUND((C6-C30-C33)/(1+D30+D33),0)</f>
        <v>21101</v>
      </c>
      <c r="D36" s="2847"/>
      <c r="E36" s="2847"/>
      <c r="F36" s="2847"/>
      <c r="G36" s="2846" t="s">
        <v>2839</v>
      </c>
      <c r="H36" s="2847"/>
      <c r="I36" s="2847"/>
      <c r="J36" s="2847"/>
      <c r="K36" s="2848"/>
    </row>
    <row r="38" spans="1:11" ht="12.75" customHeight="1"/>
  </sheetData>
  <sheetProtection algorithmName="SHA-512" hashValue="Ke/wfAhMHv0mBj28zADoK/V8j7WTeZYgGdoxRd0mp8flUEA7ev6uBPN8z0WAnSRB7NT6JiTA3jT0Kujo9cdCLg==" saltValue="AGGFhMFxouBlNhsYPWhADw==" spinCount="100000"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462</v>
      </c>
      <c r="B1" s="2830"/>
      <c r="C1" s="2101"/>
      <c r="D1" s="2101"/>
      <c r="E1" s="2101"/>
      <c r="F1" s="2101"/>
      <c r="G1" s="2101"/>
      <c r="H1" s="2101"/>
      <c r="I1" s="2101"/>
      <c r="J1" s="2101"/>
      <c r="K1" s="421">
        <f>MATCH(B1,'数据-取费表'!A6:A16,0)+5</f>
        <v>9</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2651</v>
      </c>
      <c r="B6" s="432"/>
      <c r="C6" s="1619">
        <f>SUM(C10:K10)</f>
        <v>0</v>
      </c>
      <c r="D6" s="2106"/>
      <c r="E6" s="2106"/>
      <c r="F6" s="2106"/>
      <c r="G6" s="2106"/>
      <c r="H6" s="2106"/>
      <c r="I6" s="2106"/>
      <c r="J6" s="2106"/>
      <c r="K6" s="2107"/>
    </row>
    <row r="7" spans="1:41" s="2110" customFormat="1" ht="14.4">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63309</v>
      </c>
      <c r="D13" s="450"/>
      <c r="E13" s="364"/>
      <c r="F13" s="451"/>
      <c r="G13" s="443"/>
      <c r="H13" s="446"/>
      <c r="I13" s="446"/>
      <c r="J13" s="446"/>
      <c r="K13" s="447"/>
    </row>
    <row r="14" spans="1:41" s="2113" customFormat="1" ht="13.5" customHeight="1">
      <c r="A14" s="1629" t="s">
        <v>1846</v>
      </c>
      <c r="B14" s="448" t="s">
        <v>476</v>
      </c>
      <c r="C14" s="53">
        <f ca="1">ROUND(C13*F14,0)</f>
        <v>3165</v>
      </c>
      <c r="D14" s="450"/>
      <c r="E14" s="364"/>
      <c r="F14" s="452">
        <f>'数据-取费表'!B33</f>
        <v>0.05</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2800</v>
      </c>
      <c r="D15" s="450"/>
      <c r="E15" s="364"/>
      <c r="F15" s="452">
        <f>'数据-取费表'!B34</f>
        <v>0.05</v>
      </c>
      <c r="G15" s="443" t="s">
        <v>498</v>
      </c>
      <c r="H15" s="446"/>
      <c r="I15" s="446"/>
      <c r="J15" s="446"/>
      <c r="K15" s="447"/>
    </row>
    <row r="16" spans="1:41" s="2114" customFormat="1" ht="13.5" customHeight="1">
      <c r="A16" s="1629" t="s">
        <v>1848</v>
      </c>
      <c r="B16" s="448" t="s">
        <v>480</v>
      </c>
      <c r="C16" s="53">
        <f ca="1">ROUND(D16*E16/10000,0)</f>
        <v>8592</v>
      </c>
      <c r="D16" s="450">
        <f ca="1">IF(B1="",'数据-汇总表'!E3,INDIRECT("'数据-取费表'!K"&amp;$K$1)+INDIRECT("'数据-取费表'!S"&amp;$K$1))</f>
        <v>429582.71</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950</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78816</v>
      </c>
      <c r="D18" s="460"/>
      <c r="E18" s="461"/>
      <c r="F18" s="461"/>
      <c r="G18" s="1325" t="s">
        <v>2432</v>
      </c>
      <c r="H18" s="446"/>
      <c r="I18" s="446"/>
      <c r="J18" s="446"/>
      <c r="K18" s="447"/>
    </row>
    <row r="19" spans="1:14" s="2116" customFormat="1" ht="13.5" customHeight="1">
      <c r="A19" s="1630" t="s">
        <v>1851</v>
      </c>
      <c r="B19" s="458" t="s">
        <v>489</v>
      </c>
      <c r="C19" s="459">
        <f ca="1">ROUND(C18*F19,0)</f>
        <v>1970</v>
      </c>
      <c r="D19" s="461"/>
      <c r="E19" s="461"/>
      <c r="F19" s="465">
        <f>'数据-取费表'!B37</f>
        <v>2.5000000000000001E-2</v>
      </c>
      <c r="G19" s="443" t="s">
        <v>499</v>
      </c>
      <c r="H19" s="446"/>
      <c r="I19" s="446"/>
      <c r="J19" s="446"/>
      <c r="K19" s="447"/>
      <c r="L19" s="2118"/>
      <c r="M19" s="2118"/>
      <c r="N19" s="2118"/>
    </row>
    <row r="20" spans="1:14" s="2116" customFormat="1" ht="13.5" customHeight="1">
      <c r="A20" s="1630" t="s">
        <v>1852</v>
      </c>
      <c r="B20" s="458" t="s">
        <v>500</v>
      </c>
      <c r="C20" s="3047">
        <f>F20</f>
        <v>2.5000000000000001E-2</v>
      </c>
      <c r="D20" s="468" t="s">
        <v>501</v>
      </c>
      <c r="E20" s="468"/>
      <c r="F20" s="485">
        <f>'数据-取费表'!B38</f>
        <v>2.5000000000000001E-2</v>
      </c>
      <c r="G20" s="1325" t="s">
        <v>502</v>
      </c>
      <c r="H20" s="446"/>
      <c r="I20" s="446"/>
      <c r="J20" s="446"/>
      <c r="K20" s="447"/>
      <c r="L20" s="2118"/>
      <c r="M20" s="2118"/>
      <c r="N20" s="2118"/>
    </row>
    <row r="21" spans="1:14" s="2118" customFormat="1" ht="13.5" customHeight="1">
      <c r="A21" s="1630" t="s">
        <v>1855</v>
      </c>
      <c r="B21" s="460" t="s">
        <v>490</v>
      </c>
      <c r="C21" s="469">
        <f ca="1">C22</f>
        <v>3837</v>
      </c>
      <c r="D21" s="466">
        <f ca="1">C23</f>
        <v>1.1999999999999999E-3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3837</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2831</v>
      </c>
      <c r="C24" s="477">
        <f ca="1">C25</f>
        <v>4039</v>
      </c>
      <c r="D24" s="488">
        <f ca="1">C26</f>
        <v>1.2999999999999999E-3</v>
      </c>
      <c r="E24" s="468" t="s">
        <v>503</v>
      </c>
      <c r="F24" s="478">
        <f ca="1">IF(B1="",'数据-取费表'!Q16,INDIRECT("'数据-取费表'!q"&amp;$K$1))</f>
        <v>0.05</v>
      </c>
      <c r="G24" s="443"/>
      <c r="H24" s="446"/>
      <c r="I24" s="446"/>
      <c r="J24" s="446"/>
      <c r="K24" s="447"/>
    </row>
    <row r="25" spans="1:14" s="2117" customFormat="1" ht="13.5" customHeight="1">
      <c r="A25" s="1629" t="s">
        <v>1845</v>
      </c>
      <c r="B25" s="1326" t="s">
        <v>2436</v>
      </c>
      <c r="C25" s="489">
        <f ca="1">ROUND((C18+C19)*F24,0)</f>
        <v>4039</v>
      </c>
      <c r="D25" s="471"/>
      <c r="E25" s="472"/>
      <c r="F25" s="479"/>
      <c r="G25" s="1324" t="s">
        <v>2433</v>
      </c>
      <c r="H25" s="456"/>
      <c r="I25" s="456"/>
      <c r="J25" s="456"/>
      <c r="K25" s="457"/>
    </row>
    <row r="26" spans="1:14" s="2117" customFormat="1" ht="13.5" customHeight="1">
      <c r="A26" s="1629" t="s">
        <v>1846</v>
      </c>
      <c r="B26" s="1326" t="s">
        <v>505</v>
      </c>
      <c r="C26" s="490">
        <f ca="1">ROUND(F20*F24,4)</f>
        <v>1.2999999999999999E-3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2829</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96456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517</v>
      </c>
      <c r="B6" s="512"/>
      <c r="C6" s="3423" t="s">
        <v>518</v>
      </c>
      <c r="D6" s="3424"/>
      <c r="E6" s="3448" t="s">
        <v>519</v>
      </c>
      <c r="F6" s="3449"/>
      <c r="G6" s="3423" t="s">
        <v>520</v>
      </c>
      <c r="H6" s="3424"/>
      <c r="I6" s="3423" t="s">
        <v>521</v>
      </c>
      <c r="J6" s="3424"/>
      <c r="K6" s="513" t="s">
        <v>522</v>
      </c>
      <c r="L6" s="2130"/>
      <c r="M6" s="2131"/>
      <c r="N6" s="2131"/>
      <c r="O6" s="2131"/>
      <c r="P6" s="3425" t="s">
        <v>523</v>
      </c>
      <c r="Q6" s="3426"/>
      <c r="R6" s="3411" t="s">
        <v>519</v>
      </c>
      <c r="S6" s="3412"/>
      <c r="T6" s="3411" t="s">
        <v>520</v>
      </c>
      <c r="U6" s="3412"/>
      <c r="V6" s="3431" t="s">
        <v>521</v>
      </c>
      <c r="W6" s="3431"/>
      <c r="X6" s="1563"/>
      <c r="Y6" s="3411" t="s">
        <v>523</v>
      </c>
      <c r="Z6" s="3412"/>
      <c r="AA6" s="3406" t="s">
        <v>519</v>
      </c>
      <c r="AB6" s="3407" t="s">
        <v>520</v>
      </c>
      <c r="AC6" s="3406" t="s">
        <v>521</v>
      </c>
    </row>
    <row r="7" spans="1:29">
      <c r="A7" s="514"/>
      <c r="B7" s="515"/>
      <c r="C7" s="3434" t="s">
        <v>2924</v>
      </c>
      <c r="D7" s="3435"/>
      <c r="E7" s="3450" t="s">
        <v>2925</v>
      </c>
      <c r="F7" s="3451"/>
      <c r="G7" s="3434" t="s">
        <v>2926</v>
      </c>
      <c r="H7" s="3435"/>
      <c r="I7" s="3434" t="s">
        <v>2927</v>
      </c>
      <c r="J7" s="3435"/>
      <c r="K7" s="513"/>
      <c r="L7" s="2130"/>
      <c r="M7" s="2131"/>
      <c r="N7" s="2131"/>
      <c r="O7" s="2131"/>
      <c r="P7" s="3427"/>
      <c r="Q7" s="3428"/>
      <c r="R7" s="3413"/>
      <c r="S7" s="3414"/>
      <c r="T7" s="3413"/>
      <c r="U7" s="3414"/>
      <c r="V7" s="3431"/>
      <c r="W7" s="3431"/>
      <c r="X7" s="1563"/>
      <c r="Y7" s="3413"/>
      <c r="Z7" s="3414"/>
      <c r="AA7" s="3407"/>
      <c r="AB7" s="3407"/>
      <c r="AC7" s="3407"/>
    </row>
    <row r="8" spans="1:29" ht="15" thickBot="1">
      <c r="A8" s="516"/>
      <c r="B8" s="517"/>
      <c r="C8" s="3452" t="s">
        <v>2928</v>
      </c>
      <c r="D8" s="3433"/>
      <c r="E8" s="3453" t="s">
        <v>2928</v>
      </c>
      <c r="F8" s="3454"/>
      <c r="G8" s="3452" t="s">
        <v>2928</v>
      </c>
      <c r="H8" s="3433"/>
      <c r="I8" s="3452" t="s">
        <v>2928</v>
      </c>
      <c r="J8" s="3433"/>
      <c r="K8" s="513" t="s">
        <v>524</v>
      </c>
      <c r="L8" s="2130"/>
      <c r="M8" s="2131"/>
      <c r="N8" s="2131"/>
      <c r="O8" s="2131"/>
      <c r="P8" s="3429"/>
      <c r="Q8" s="3430"/>
      <c r="R8" s="3413"/>
      <c r="S8" s="3414"/>
      <c r="T8" s="3415"/>
      <c r="U8" s="3416"/>
      <c r="V8" s="3431"/>
      <c r="W8" s="3431"/>
      <c r="X8" s="1563"/>
      <c r="Y8" s="3415"/>
      <c r="Z8" s="3416"/>
      <c r="AA8" s="3408"/>
      <c r="AB8" s="3408"/>
      <c r="AC8" s="3408"/>
    </row>
    <row r="9" spans="1:29" s="1218" customFormat="1" ht="15" thickBot="1">
      <c r="A9" s="2933"/>
      <c r="B9" s="2940" t="s">
        <v>525</v>
      </c>
      <c r="C9" s="518">
        <f>'数据-取费表'!B2</f>
        <v>43353</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09" t="s">
        <v>526</v>
      </c>
      <c r="Q9" s="3418"/>
      <c r="R9" s="1564" t="s">
        <v>8</v>
      </c>
      <c r="S9" s="1565">
        <f t="shared" ref="S9:S17" si="0">F9</f>
        <v>0</v>
      </c>
      <c r="T9" s="1564" t="s">
        <v>8</v>
      </c>
      <c r="U9" s="1565">
        <f t="shared" ref="U9:U17" si="1">H9</f>
        <v>0</v>
      </c>
      <c r="V9" s="1564" t="s">
        <v>8</v>
      </c>
      <c r="W9" s="1565">
        <f t="shared" ref="W9:W17" si="2">J9</f>
        <v>0</v>
      </c>
      <c r="X9" s="1566"/>
      <c r="Y9" s="3409" t="s">
        <v>526</v>
      </c>
      <c r="Z9" s="3410"/>
      <c r="AA9" s="1567" t="e">
        <f>D9/F9</f>
        <v>#DIV/0!</v>
      </c>
      <c r="AB9" s="1567" t="e">
        <f>D9/H9</f>
        <v>#DIV/0!</v>
      </c>
      <c r="AC9" s="1567" t="e">
        <f>D9/J9</f>
        <v>#DIV/0!</v>
      </c>
    </row>
    <row r="10" spans="1:29" s="1218" customFormat="1" ht="1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09" t="s">
        <v>529</v>
      </c>
      <c r="Q10" s="3410"/>
      <c r="R10" s="1564" t="s">
        <v>8</v>
      </c>
      <c r="S10" s="1565">
        <f t="shared" si="0"/>
        <v>0</v>
      </c>
      <c r="T10" s="1564" t="s">
        <v>8</v>
      </c>
      <c r="U10" s="1565">
        <f t="shared" si="1"/>
        <v>0</v>
      </c>
      <c r="V10" s="1564" t="s">
        <v>8</v>
      </c>
      <c r="W10" s="1565">
        <f t="shared" si="2"/>
        <v>0</v>
      </c>
      <c r="X10" s="1566"/>
      <c r="Y10" s="3409" t="s">
        <v>529</v>
      </c>
      <c r="Z10" s="3410"/>
      <c r="AA10" s="1567" t="e">
        <f t="shared" ref="AA10:AA42" si="3">D10/F10</f>
        <v>#DIV/0!</v>
      </c>
      <c r="AB10" s="1567" t="e">
        <f t="shared" ref="AB10:AB42" si="4">D10/H10</f>
        <v>#DIV/0!</v>
      </c>
      <c r="AC10" s="1567" t="e">
        <f t="shared" ref="AC10:AC42" si="5">D10/J10</f>
        <v>#DIV/0!</v>
      </c>
    </row>
    <row r="11" spans="1:29" s="1218" customFormat="1" ht="14.4">
      <c r="A11" s="2935"/>
      <c r="B11" s="2942" t="s">
        <v>2755</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17" t="s">
        <v>531</v>
      </c>
      <c r="Q11" s="1149" t="str">
        <f t="shared" ref="Q11:Q17" si="6">B11</f>
        <v>用途</v>
      </c>
      <c r="R11" s="1564" t="s">
        <v>8</v>
      </c>
      <c r="S11" s="1565">
        <f t="shared" si="0"/>
        <v>100</v>
      </c>
      <c r="T11" s="1564" t="s">
        <v>8</v>
      </c>
      <c r="U11" s="1565">
        <f t="shared" si="1"/>
        <v>100</v>
      </c>
      <c r="V11" s="1564" t="s">
        <v>8</v>
      </c>
      <c r="W11" s="1565">
        <f t="shared" si="2"/>
        <v>100</v>
      </c>
      <c r="X11" s="1566"/>
      <c r="Y11" s="3374" t="s">
        <v>532</v>
      </c>
      <c r="Z11" s="1148" t="str">
        <f t="shared" ref="Z11:Z17" si="7">Q11</f>
        <v>用途</v>
      </c>
      <c r="AA11" s="1567">
        <f t="shared" si="3"/>
        <v>1</v>
      </c>
      <c r="AB11" s="1567">
        <f t="shared" si="4"/>
        <v>1</v>
      </c>
      <c r="AC11" s="1567">
        <f t="shared" si="5"/>
        <v>1</v>
      </c>
    </row>
    <row r="12" spans="1:29" s="1336" customFormat="1" ht="28.8">
      <c r="A12" s="2936"/>
      <c r="B12" s="2941" t="s">
        <v>2756</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17"/>
      <c r="Q12" s="1149" t="str">
        <f t="shared" si="6"/>
        <v>土地使用年限（年）</v>
      </c>
      <c r="R12" s="1564" t="s">
        <v>8</v>
      </c>
      <c r="S12" s="1565">
        <f t="shared" si="0"/>
        <v>102</v>
      </c>
      <c r="T12" s="1564" t="s">
        <v>8</v>
      </c>
      <c r="U12" s="1565">
        <f t="shared" si="1"/>
        <v>102</v>
      </c>
      <c r="V12" s="1564" t="s">
        <v>8</v>
      </c>
      <c r="W12" s="1565">
        <f t="shared" si="2"/>
        <v>102</v>
      </c>
      <c r="X12" s="1566"/>
      <c r="Y12" s="3374"/>
      <c r="Z12" s="1148" t="str">
        <f t="shared" si="7"/>
        <v>土地使用年限（年）</v>
      </c>
      <c r="AA12" s="1567">
        <f t="shared" si="3"/>
        <v>0.98039215686274506</v>
      </c>
      <c r="AB12" s="1567">
        <f t="shared" si="4"/>
        <v>0.98039215686274506</v>
      </c>
      <c r="AC12" s="1567">
        <f t="shared" si="5"/>
        <v>0.98039215686274506</v>
      </c>
    </row>
    <row r="13" spans="1:29" ht="15">
      <c r="A13" s="2937"/>
      <c r="B13" s="2941"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17"/>
      <c r="Q13" s="1149" t="str">
        <f t="shared" si="6"/>
        <v>容积率</v>
      </c>
      <c r="R13" s="1564" t="s">
        <v>8</v>
      </c>
      <c r="S13" s="1565" t="e">
        <f t="shared" si="0"/>
        <v>#N/A</v>
      </c>
      <c r="T13" s="1564" t="s">
        <v>8</v>
      </c>
      <c r="U13" s="1565" t="e">
        <f t="shared" si="1"/>
        <v>#N/A</v>
      </c>
      <c r="V13" s="1564" t="s">
        <v>8</v>
      </c>
      <c r="W13" s="1565" t="e">
        <f t="shared" si="2"/>
        <v>#N/A</v>
      </c>
      <c r="X13" s="1566"/>
      <c r="Y13" s="3374"/>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17"/>
      <c r="Q14" s="1149">
        <f t="shared" si="6"/>
        <v>111</v>
      </c>
      <c r="R14" s="1564" t="s">
        <v>8</v>
      </c>
      <c r="S14" s="1565">
        <f t="shared" si="0"/>
        <v>100</v>
      </c>
      <c r="T14" s="1564" t="s">
        <v>8</v>
      </c>
      <c r="U14" s="1565">
        <f t="shared" si="1"/>
        <v>100</v>
      </c>
      <c r="V14" s="1564" t="s">
        <v>8</v>
      </c>
      <c r="W14" s="1565">
        <f t="shared" si="2"/>
        <v>100</v>
      </c>
      <c r="X14" s="1566"/>
      <c r="Y14" s="3374"/>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17"/>
      <c r="Q15" s="1149">
        <f t="shared" si="6"/>
        <v>111</v>
      </c>
      <c r="R15" s="1564" t="s">
        <v>8</v>
      </c>
      <c r="S15" s="1565">
        <f t="shared" si="0"/>
        <v>100</v>
      </c>
      <c r="T15" s="1564" t="s">
        <v>8</v>
      </c>
      <c r="U15" s="1565">
        <f t="shared" si="1"/>
        <v>100</v>
      </c>
      <c r="V15" s="1564" t="s">
        <v>8</v>
      </c>
      <c r="W15" s="1565">
        <f t="shared" si="2"/>
        <v>100</v>
      </c>
      <c r="X15" s="1566"/>
      <c r="Y15" s="3374"/>
      <c r="Z15" s="1148">
        <f t="shared" si="7"/>
        <v>111</v>
      </c>
      <c r="AA15" s="1567">
        <f t="shared" si="3"/>
        <v>1</v>
      </c>
      <c r="AB15" s="1567">
        <f t="shared" si="4"/>
        <v>1</v>
      </c>
      <c r="AC15" s="1567">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17"/>
      <c r="Q16" s="1149">
        <f t="shared" si="6"/>
        <v>111</v>
      </c>
      <c r="R16" s="1564" t="s">
        <v>8</v>
      </c>
      <c r="S16" s="1565">
        <f t="shared" si="0"/>
        <v>100</v>
      </c>
      <c r="T16" s="1564" t="s">
        <v>8</v>
      </c>
      <c r="U16" s="1565">
        <f t="shared" si="1"/>
        <v>100</v>
      </c>
      <c r="V16" s="1564" t="s">
        <v>8</v>
      </c>
      <c r="W16" s="1565">
        <f t="shared" si="2"/>
        <v>100</v>
      </c>
      <c r="X16" s="1566"/>
      <c r="Y16" s="3374"/>
      <c r="Z16" s="1148">
        <f t="shared" si="7"/>
        <v>111</v>
      </c>
      <c r="AA16" s="1567">
        <f t="shared" si="3"/>
        <v>1</v>
      </c>
      <c r="AB16" s="1567">
        <f t="shared" si="4"/>
        <v>1</v>
      </c>
      <c r="AC16" s="1567">
        <f t="shared" si="5"/>
        <v>1</v>
      </c>
    </row>
    <row r="17" spans="1:29" ht="69">
      <c r="A17" s="2931" t="s">
        <v>2753</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19" t="s">
        <v>536</v>
      </c>
      <c r="Q17" s="1568" t="str">
        <f t="shared" si="6"/>
        <v>产业集聚程度</v>
      </c>
      <c r="R17" s="1569" t="s">
        <v>8</v>
      </c>
      <c r="S17" s="1570">
        <f t="shared" si="0"/>
        <v>100</v>
      </c>
      <c r="T17" s="1569" t="s">
        <v>8</v>
      </c>
      <c r="U17" s="1570">
        <f t="shared" si="1"/>
        <v>100</v>
      </c>
      <c r="V17" s="1569" t="s">
        <v>8</v>
      </c>
      <c r="W17" s="1570">
        <f t="shared" si="2"/>
        <v>100</v>
      </c>
      <c r="X17" s="1563"/>
      <c r="Y17" s="3419"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20"/>
      <c r="Q18" s="1568"/>
      <c r="R18" s="1569"/>
      <c r="S18" s="1570"/>
      <c r="T18" s="1569"/>
      <c r="U18" s="1570"/>
      <c r="V18" s="1569"/>
      <c r="W18" s="1570"/>
      <c r="X18" s="1563"/>
      <c r="Y18" s="3420"/>
      <c r="Z18" s="1571"/>
      <c r="AA18" s="1572">
        <v>1</v>
      </c>
      <c r="AB18" s="1572">
        <v>1</v>
      </c>
      <c r="AC18" s="1572">
        <v>1</v>
      </c>
    </row>
    <row r="19" spans="1:29" ht="96.6">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20"/>
      <c r="Q19" s="1568" t="str">
        <f>B19</f>
        <v>交通便捷度</v>
      </c>
      <c r="R19" s="1569" t="s">
        <v>8</v>
      </c>
      <c r="S19" s="1570">
        <f>F19</f>
        <v>100</v>
      </c>
      <c r="T19" s="1569" t="s">
        <v>8</v>
      </c>
      <c r="U19" s="1570">
        <f>H19</f>
        <v>100</v>
      </c>
      <c r="V19" s="1569" t="s">
        <v>8</v>
      </c>
      <c r="W19" s="1570">
        <f>J19</f>
        <v>100</v>
      </c>
      <c r="X19" s="1563"/>
      <c r="Y19" s="3420"/>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20"/>
      <c r="Q20" s="1568"/>
      <c r="R20" s="1569"/>
      <c r="S20" s="1570"/>
      <c r="T20" s="1569"/>
      <c r="U20" s="1570"/>
      <c r="V20" s="1569"/>
      <c r="W20" s="1570"/>
      <c r="X20" s="1563"/>
      <c r="Y20" s="3420"/>
      <c r="Z20" s="1571"/>
      <c r="AA20" s="1572">
        <v>1</v>
      </c>
      <c r="AB20" s="1572">
        <v>1</v>
      </c>
      <c r="AC20" s="1572">
        <v>1</v>
      </c>
    </row>
    <row r="21" spans="1:29" ht="28.8">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20"/>
      <c r="Q21" s="1568" t="str">
        <f t="shared" ref="Q21:Q35" si="8">B21</f>
        <v>区域土地利用方向</v>
      </c>
      <c r="R21" s="1569" t="s">
        <v>8</v>
      </c>
      <c r="S21" s="1570">
        <f>F21</f>
        <v>100</v>
      </c>
      <c r="T21" s="1569" t="s">
        <v>8</v>
      </c>
      <c r="U21" s="1570">
        <f>H21</f>
        <v>100</v>
      </c>
      <c r="V21" s="1569" t="s">
        <v>8</v>
      </c>
      <c r="W21" s="1570">
        <f>J21</f>
        <v>100</v>
      </c>
      <c r="X21" s="1563"/>
      <c r="Y21" s="3420"/>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20"/>
      <c r="Q22" s="1568"/>
      <c r="R22" s="1569"/>
      <c r="S22" s="1570"/>
      <c r="T22" s="1569"/>
      <c r="U22" s="1570"/>
      <c r="V22" s="1569"/>
      <c r="W22" s="1570"/>
      <c r="X22" s="1563"/>
      <c r="Y22" s="3420"/>
      <c r="Z22" s="1571"/>
      <c r="AA22" s="1572"/>
      <c r="AB22" s="1572"/>
      <c r="AC22" s="1572"/>
    </row>
    <row r="23" spans="1:29" ht="82.8">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20"/>
      <c r="Q23" s="1568" t="str">
        <f t="shared" si="8"/>
        <v>环境状况</v>
      </c>
      <c r="R23" s="1569" t="s">
        <v>8</v>
      </c>
      <c r="S23" s="1570">
        <f>F23</f>
        <v>100</v>
      </c>
      <c r="T23" s="1569" t="s">
        <v>8</v>
      </c>
      <c r="U23" s="1570">
        <f>H23</f>
        <v>100</v>
      </c>
      <c r="V23" s="1569" t="s">
        <v>8</v>
      </c>
      <c r="W23" s="1570">
        <f>J23</f>
        <v>100</v>
      </c>
      <c r="X23" s="1563"/>
      <c r="Y23" s="3420"/>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20"/>
      <c r="Q24" s="1568"/>
      <c r="R24" s="1569"/>
      <c r="S24" s="1570"/>
      <c r="T24" s="1569"/>
      <c r="U24" s="1570"/>
      <c r="V24" s="1569"/>
      <c r="W24" s="1570"/>
      <c r="X24" s="1563"/>
      <c r="Y24" s="3420"/>
      <c r="Z24" s="1571"/>
      <c r="AA24" s="1572">
        <v>1</v>
      </c>
      <c r="AB24" s="1572">
        <v>1</v>
      </c>
      <c r="AC24" s="1572">
        <v>1</v>
      </c>
    </row>
    <row r="25" spans="1:29" s="1218"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20"/>
      <c r="Q25" s="1149" t="str">
        <f t="shared" si="8"/>
        <v>公共配套设施</v>
      </c>
      <c r="R25" s="1564" t="s">
        <v>8</v>
      </c>
      <c r="S25" s="1565">
        <f>F25</f>
        <v>100</v>
      </c>
      <c r="T25" s="1564" t="s">
        <v>8</v>
      </c>
      <c r="U25" s="1565">
        <f>H25</f>
        <v>100</v>
      </c>
      <c r="V25" s="1564" t="s">
        <v>8</v>
      </c>
      <c r="W25" s="1565">
        <f>J25</f>
        <v>100</v>
      </c>
      <c r="X25" s="1566"/>
      <c r="Y25" s="3420"/>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20"/>
      <c r="Q26" s="1149"/>
      <c r="R26" s="1564"/>
      <c r="S26" s="1565"/>
      <c r="T26" s="1564"/>
      <c r="U26" s="1565"/>
      <c r="V26" s="1564"/>
      <c r="W26" s="1565"/>
      <c r="X26" s="1566"/>
      <c r="Y26" s="3420"/>
      <c r="Z26" s="1148"/>
      <c r="AA26" s="1567">
        <v>1</v>
      </c>
      <c r="AB26" s="1567">
        <v>1</v>
      </c>
      <c r="AC26" s="1567">
        <v>1</v>
      </c>
    </row>
    <row r="27" spans="1:29" s="1218"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20"/>
      <c r="Q27" s="2599" t="str">
        <f t="shared" ref="Q27" si="9">B27</f>
        <v>基础设施水平</v>
      </c>
      <c r="R27" s="1564" t="s">
        <v>8</v>
      </c>
      <c r="S27" s="1565">
        <f>F27</f>
        <v>100</v>
      </c>
      <c r="T27" s="1564" t="s">
        <v>8</v>
      </c>
      <c r="U27" s="1565">
        <f>H27</f>
        <v>100</v>
      </c>
      <c r="V27" s="1564" t="s">
        <v>8</v>
      </c>
      <c r="W27" s="1565">
        <f>J27</f>
        <v>100</v>
      </c>
      <c r="X27" s="1566"/>
      <c r="Y27" s="3420"/>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20"/>
      <c r="Q28" s="2599"/>
      <c r="R28" s="1564"/>
      <c r="S28" s="1565"/>
      <c r="T28" s="1564"/>
      <c r="U28" s="1565"/>
      <c r="V28" s="1564"/>
      <c r="W28" s="1565"/>
      <c r="X28" s="1566"/>
      <c r="Y28" s="3420"/>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20"/>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20"/>
      <c r="Z29" s="1571" t="str">
        <f t="shared" ref="Z29:Z42" si="13">Q29</f>
        <v>临街状况</v>
      </c>
      <c r="AA29" s="1572">
        <f t="shared" si="3"/>
        <v>1</v>
      </c>
      <c r="AB29" s="1572">
        <f t="shared" si="4"/>
        <v>1</v>
      </c>
      <c r="AC29" s="1572">
        <f t="shared" si="5"/>
        <v>1</v>
      </c>
    </row>
    <row r="30" spans="1:29" ht="28.8">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20"/>
      <c r="Q30" s="1568" t="str">
        <f t="shared" si="8"/>
        <v>毗邻道路的类型与等级</v>
      </c>
      <c r="R30" s="1569" t="s">
        <v>8</v>
      </c>
      <c r="S30" s="1570">
        <f t="shared" si="10"/>
        <v>100</v>
      </c>
      <c r="T30" s="1569" t="s">
        <v>8</v>
      </c>
      <c r="U30" s="1570">
        <f t="shared" si="11"/>
        <v>100</v>
      </c>
      <c r="V30" s="1569" t="s">
        <v>8</v>
      </c>
      <c r="W30" s="1570">
        <f t="shared" si="12"/>
        <v>100</v>
      </c>
      <c r="X30" s="1563"/>
      <c r="Y30" s="3420"/>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20"/>
      <c r="Q31" s="1568"/>
      <c r="R31" s="1569"/>
      <c r="S31" s="1570"/>
      <c r="T31" s="1569"/>
      <c r="U31" s="1570"/>
      <c r="V31" s="1569"/>
      <c r="W31" s="1570"/>
      <c r="X31" s="1563"/>
      <c r="Y31" s="3420"/>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20"/>
      <c r="Q32" s="1568" t="str">
        <f t="shared" si="8"/>
        <v>土地级别</v>
      </c>
      <c r="R32" s="1569" t="s">
        <v>8</v>
      </c>
      <c r="S32" s="1570">
        <f t="shared" si="10"/>
        <v>100</v>
      </c>
      <c r="T32" s="1569" t="s">
        <v>8</v>
      </c>
      <c r="U32" s="1570">
        <f t="shared" si="11"/>
        <v>100</v>
      </c>
      <c r="V32" s="1569" t="s">
        <v>8</v>
      </c>
      <c r="W32" s="1570">
        <f t="shared" si="12"/>
        <v>100</v>
      </c>
      <c r="X32" s="1563"/>
      <c r="Y32" s="3420"/>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20"/>
      <c r="Q33" s="1568">
        <f t="shared" si="8"/>
        <v>111</v>
      </c>
      <c r="R33" s="1569" t="s">
        <v>8</v>
      </c>
      <c r="S33" s="1570">
        <f t="shared" si="10"/>
        <v>100</v>
      </c>
      <c r="T33" s="1569" t="s">
        <v>8</v>
      </c>
      <c r="U33" s="1570">
        <f t="shared" si="11"/>
        <v>100</v>
      </c>
      <c r="V33" s="1569" t="s">
        <v>8</v>
      </c>
      <c r="W33" s="1570">
        <f t="shared" si="12"/>
        <v>100</v>
      </c>
      <c r="X33" s="1563"/>
      <c r="Y33" s="3420"/>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21" t="s">
        <v>546</v>
      </c>
      <c r="Q34" s="1568">
        <f t="shared" si="8"/>
        <v>111</v>
      </c>
      <c r="R34" s="1569" t="s">
        <v>8</v>
      </c>
      <c r="S34" s="1570">
        <f t="shared" si="10"/>
        <v>100</v>
      </c>
      <c r="T34" s="1569" t="s">
        <v>8</v>
      </c>
      <c r="U34" s="1570">
        <f t="shared" si="11"/>
        <v>100</v>
      </c>
      <c r="V34" s="1569" t="s">
        <v>8</v>
      </c>
      <c r="W34" s="1570">
        <f t="shared" si="12"/>
        <v>100</v>
      </c>
      <c r="X34" s="1563"/>
      <c r="Y34" s="3422" t="s">
        <v>546</v>
      </c>
      <c r="Z34" s="1571">
        <f t="shared" si="13"/>
        <v>111</v>
      </c>
      <c r="AA34" s="1572">
        <f t="shared" si="3"/>
        <v>1</v>
      </c>
      <c r="AB34" s="1572">
        <f t="shared" si="4"/>
        <v>1</v>
      </c>
      <c r="AC34" s="1572">
        <f t="shared" si="5"/>
        <v>1</v>
      </c>
    </row>
    <row r="35" spans="1:29" s="1337" customFormat="1" ht="15.6"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22"/>
      <c r="Q35" s="1568">
        <f t="shared" si="8"/>
        <v>111</v>
      </c>
      <c r="R35" s="1573" t="s">
        <v>8</v>
      </c>
      <c r="S35" s="1574">
        <f t="shared" si="10"/>
        <v>100</v>
      </c>
      <c r="T35" s="1573" t="s">
        <v>8</v>
      </c>
      <c r="U35" s="1574">
        <f t="shared" si="11"/>
        <v>100</v>
      </c>
      <c r="V35" s="1573" t="s">
        <v>8</v>
      </c>
      <c r="W35" s="1574">
        <f t="shared" si="12"/>
        <v>100</v>
      </c>
      <c r="X35" s="1575"/>
      <c r="Y35" s="3422"/>
      <c r="Z35" s="1576">
        <f t="shared" si="13"/>
        <v>111</v>
      </c>
      <c r="AA35" s="1572">
        <f t="shared" si="3"/>
        <v>1</v>
      </c>
      <c r="AB35" s="1572">
        <f t="shared" si="4"/>
        <v>1</v>
      </c>
      <c r="AC35" s="1572">
        <f t="shared" si="5"/>
        <v>1</v>
      </c>
    </row>
    <row r="36" spans="1:29" ht="15">
      <c r="A36" s="2928" t="s">
        <v>2754</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22"/>
      <c r="Q36" s="1568" t="str">
        <f>B36</f>
        <v>宗地面积</v>
      </c>
      <c r="R36" s="1569" t="s">
        <v>8</v>
      </c>
      <c r="S36" s="1570" t="e">
        <f t="shared" si="10"/>
        <v>#N/A</v>
      </c>
      <c r="T36" s="1569" t="s">
        <v>8</v>
      </c>
      <c r="U36" s="1570" t="e">
        <f t="shared" si="11"/>
        <v>#N/A</v>
      </c>
      <c r="V36" s="1569" t="s">
        <v>8</v>
      </c>
      <c r="W36" s="1570" t="e">
        <f t="shared" si="12"/>
        <v>#N/A</v>
      </c>
      <c r="X36" s="1563"/>
      <c r="Y36" s="3422"/>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22"/>
      <c r="Q37" s="1568" t="str">
        <f t="shared" ref="Q37:Q42" si="14">B37</f>
        <v>宗地形状</v>
      </c>
      <c r="R37" s="1569" t="s">
        <v>8</v>
      </c>
      <c r="S37" s="1570">
        <f t="shared" si="10"/>
        <v>100</v>
      </c>
      <c r="T37" s="1569" t="s">
        <v>8</v>
      </c>
      <c r="U37" s="1570">
        <f t="shared" si="11"/>
        <v>100</v>
      </c>
      <c r="V37" s="1569" t="s">
        <v>8</v>
      </c>
      <c r="W37" s="1570">
        <f t="shared" si="12"/>
        <v>100</v>
      </c>
      <c r="X37" s="1563"/>
      <c r="Y37" s="3422"/>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22"/>
      <c r="Q38" s="1568" t="str">
        <f t="shared" si="14"/>
        <v>宗地开发程度</v>
      </c>
      <c r="R38" s="1564" t="s">
        <v>8</v>
      </c>
      <c r="S38" s="1565">
        <f t="shared" si="10"/>
        <v>100</v>
      </c>
      <c r="T38" s="1564" t="s">
        <v>8</v>
      </c>
      <c r="U38" s="1565">
        <f t="shared" si="11"/>
        <v>100</v>
      </c>
      <c r="V38" s="1564" t="s">
        <v>8</v>
      </c>
      <c r="W38" s="1565">
        <f t="shared" si="12"/>
        <v>100</v>
      </c>
      <c r="X38" s="1566"/>
      <c r="Y38" s="3422"/>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22" t="s">
        <v>597</v>
      </c>
      <c r="Q39" s="1568" t="str">
        <f t="shared" si="14"/>
        <v>工程地质条件</v>
      </c>
      <c r="R39" s="1569" t="s">
        <v>8</v>
      </c>
      <c r="S39" s="1570">
        <f t="shared" si="10"/>
        <v>100</v>
      </c>
      <c r="T39" s="1569" t="s">
        <v>8</v>
      </c>
      <c r="U39" s="1570">
        <f t="shared" si="11"/>
        <v>100</v>
      </c>
      <c r="V39" s="1569" t="s">
        <v>8</v>
      </c>
      <c r="W39" s="1570">
        <f t="shared" si="12"/>
        <v>100</v>
      </c>
      <c r="X39" s="1563"/>
      <c r="Y39" s="3422"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22"/>
      <c r="Q40" s="1568">
        <f t="shared" si="14"/>
        <v>111</v>
      </c>
      <c r="R40" s="1569" t="s">
        <v>8</v>
      </c>
      <c r="S40" s="1570">
        <f t="shared" si="10"/>
        <v>100</v>
      </c>
      <c r="T40" s="1569" t="s">
        <v>8</v>
      </c>
      <c r="U40" s="1570">
        <f t="shared" si="11"/>
        <v>100</v>
      </c>
      <c r="V40" s="1569" t="s">
        <v>8</v>
      </c>
      <c r="W40" s="1570">
        <f t="shared" si="12"/>
        <v>100</v>
      </c>
      <c r="X40" s="1563"/>
      <c r="Y40" s="3422"/>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22"/>
      <c r="Q41" s="1568">
        <f t="shared" si="14"/>
        <v>111</v>
      </c>
      <c r="R41" s="1569" t="s">
        <v>8</v>
      </c>
      <c r="S41" s="1570">
        <f t="shared" si="10"/>
        <v>100</v>
      </c>
      <c r="T41" s="1569" t="s">
        <v>8</v>
      </c>
      <c r="U41" s="1570">
        <f t="shared" si="11"/>
        <v>100</v>
      </c>
      <c r="V41" s="1569" t="s">
        <v>8</v>
      </c>
      <c r="W41" s="1570">
        <f t="shared" si="12"/>
        <v>100</v>
      </c>
      <c r="X41" s="1563"/>
      <c r="Y41" s="3422"/>
      <c r="Z41" s="1571">
        <f t="shared" si="13"/>
        <v>111</v>
      </c>
      <c r="AA41" s="1572">
        <f t="shared" si="3"/>
        <v>1</v>
      </c>
      <c r="AB41" s="1572">
        <f t="shared" si="4"/>
        <v>1</v>
      </c>
      <c r="AC41" s="1572">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22"/>
      <c r="Q42" s="1568">
        <f t="shared" si="14"/>
        <v>111</v>
      </c>
      <c r="R42" s="1573" t="s">
        <v>8</v>
      </c>
      <c r="S42" s="1574">
        <f t="shared" si="10"/>
        <v>100</v>
      </c>
      <c r="T42" s="1573" t="s">
        <v>8</v>
      </c>
      <c r="U42" s="1574">
        <f t="shared" si="11"/>
        <v>100</v>
      </c>
      <c r="V42" s="1573" t="s">
        <v>8</v>
      </c>
      <c r="W42" s="1574">
        <f t="shared" si="12"/>
        <v>100</v>
      </c>
      <c r="X42" s="1575"/>
      <c r="Y42" s="3422"/>
      <c r="Z42" s="1576">
        <f t="shared" si="13"/>
        <v>111</v>
      </c>
      <c r="AA42" s="1572">
        <f t="shared" si="3"/>
        <v>1</v>
      </c>
      <c r="AB42" s="1572">
        <f t="shared" si="4"/>
        <v>1</v>
      </c>
      <c r="AC42" s="1572">
        <f t="shared" si="5"/>
        <v>1</v>
      </c>
    </row>
    <row r="43" spans="1:29" ht="14.4">
      <c r="A43" s="606" t="s">
        <v>552</v>
      </c>
      <c r="B43" s="607" t="s">
        <v>2929</v>
      </c>
      <c r="C43" s="608" t="s">
        <v>1</v>
      </c>
      <c r="D43" s="609"/>
      <c r="E43" s="610"/>
      <c r="F43" s="611"/>
      <c r="G43" s="612"/>
      <c r="H43" s="613"/>
      <c r="I43" s="610"/>
      <c r="J43" s="613"/>
      <c r="K43" s="1338"/>
      <c r="L43" s="2141"/>
      <c r="M43" s="2131"/>
      <c r="N43" s="2131"/>
      <c r="O43" s="2142"/>
      <c r="P43" s="3417" t="str">
        <f>A43</f>
        <v>成交单价</v>
      </c>
      <c r="Q43" s="3417"/>
      <c r="R43" s="3431">
        <f>E43</f>
        <v>0</v>
      </c>
      <c r="S43" s="3431"/>
      <c r="T43" s="3431">
        <f>G43</f>
        <v>0</v>
      </c>
      <c r="U43" s="3431"/>
      <c r="V43" s="3431">
        <f>I43</f>
        <v>0</v>
      </c>
      <c r="W43" s="3431"/>
      <c r="X43" s="1555"/>
      <c r="Y43" s="1577"/>
      <c r="Z43" s="1555"/>
      <c r="AA43" s="1555"/>
      <c r="AB43" s="1555"/>
      <c r="AC43" s="1555"/>
    </row>
    <row r="44" spans="1:29" ht="15" thickBot="1">
      <c r="A44" s="614" t="s">
        <v>2692</v>
      </c>
      <c r="B44" s="615"/>
      <c r="C44" s="616" t="e">
        <f>R45</f>
        <v>#DIV/0!</v>
      </c>
      <c r="D44" s="617"/>
      <c r="E44" s="616" t="e">
        <f>R44</f>
        <v>#DIV/0!</v>
      </c>
      <c r="F44" s="618"/>
      <c r="G44" s="619" t="e">
        <f>T44</f>
        <v>#DIV/0!</v>
      </c>
      <c r="H44" s="617"/>
      <c r="I44" s="616" t="e">
        <f>V44</f>
        <v>#DIV/0!</v>
      </c>
      <c r="J44" s="617"/>
      <c r="K44" s="1339"/>
      <c r="L44" s="2141"/>
      <c r="M44" s="2131"/>
      <c r="N44" s="2131"/>
      <c r="O44" s="2142"/>
      <c r="P44" s="3417" t="str">
        <f>A44</f>
        <v>比较价格（元/平方米）</v>
      </c>
      <c r="Q44" s="3417"/>
      <c r="R44" s="3442" t="e">
        <f>ROUND(PRODUCT(R43,AA9:AA42),0)</f>
        <v>#DIV/0!</v>
      </c>
      <c r="S44" s="3442"/>
      <c r="T44" s="3442" t="e">
        <f>ROUND(PRODUCT(T43,AB9:AB42),0)</f>
        <v>#DIV/0!</v>
      </c>
      <c r="U44" s="3442"/>
      <c r="V44" s="3442" t="e">
        <f>ROUND(PRODUCT(V43,AC9:AC42),0)</f>
        <v>#DIV/0!</v>
      </c>
      <c r="W44" s="3442"/>
      <c r="X44" s="1555"/>
      <c r="Y44" s="1555"/>
      <c r="Z44" s="1555"/>
      <c r="AA44" s="1555"/>
      <c r="AB44" s="1555"/>
      <c r="AC44" s="1555"/>
    </row>
    <row r="45" spans="1:29" ht="15" thickBot="1">
      <c r="A45" s="620" t="s">
        <v>2930</v>
      </c>
      <c r="B45" s="621"/>
      <c r="C45" s="622" t="e">
        <f>R45</f>
        <v>#DIV/0!</v>
      </c>
      <c r="D45" s="622"/>
      <c r="E45" s="622"/>
      <c r="F45" s="622"/>
      <c r="G45" s="622"/>
      <c r="H45" s="622"/>
      <c r="I45" s="622"/>
      <c r="J45" s="622"/>
      <c r="K45" s="1340"/>
      <c r="L45" s="2141"/>
      <c r="M45" s="2131"/>
      <c r="N45" s="2131"/>
      <c r="O45" s="2142"/>
      <c r="P45" s="3439" t="str">
        <f>A45</f>
        <v>估价对象XX用房的比较价格（楼面单价，元/平方米）</v>
      </c>
      <c r="Q45" s="3440"/>
      <c r="R45" s="3441" t="e">
        <f>ROUND(AVERAGE(R44:V44),0)</f>
        <v>#DIV/0!</v>
      </c>
      <c r="S45" s="3441"/>
      <c r="T45" s="3441"/>
      <c r="U45" s="3441"/>
      <c r="V45" s="3441"/>
      <c r="W45" s="3441"/>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556</v>
      </c>
      <c r="B52" s="629" t="s">
        <v>557</v>
      </c>
      <c r="C52" s="1556" t="s">
        <v>1721</v>
      </c>
      <c r="D52" s="2224" t="s">
        <v>2292</v>
      </c>
      <c r="E52" s="630" t="s">
        <v>558</v>
      </c>
      <c r="F52" s="1948" t="s">
        <v>559</v>
      </c>
      <c r="G52" s="3443" t="s">
        <v>2283</v>
      </c>
      <c r="H52" s="3444"/>
      <c r="I52" s="1949" t="s">
        <v>1944</v>
      </c>
      <c r="J52" s="1551" t="str">
        <f>项目基本情况!F41</f>
        <v>湖北省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3.2">
      <c r="A53" s="632" t="s">
        <v>560</v>
      </c>
      <c r="B53" s="633" t="e">
        <f>C45</f>
        <v>#DIV/0!</v>
      </c>
      <c r="C53" s="634">
        <v>1</v>
      </c>
      <c r="D53" s="2225">
        <v>1</v>
      </c>
      <c r="E53" s="634">
        <f>'数据-汇总表'!E8+'数据-汇总表'!E9</f>
        <v>388765.69</v>
      </c>
      <c r="F53" s="1947" t="e">
        <f t="shared" ref="F53:F62" si="15">ROUND(B53*E53/10000,0)</f>
        <v>#DIV/0!</v>
      </c>
      <c r="G53" s="3445"/>
      <c r="H53" s="3446"/>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3.2">
      <c r="A54" s="636" t="s">
        <v>561</v>
      </c>
      <c r="B54" s="637" t="e">
        <f>ROUND($C$45*C54*D54,0)</f>
        <v>#DIV/0!</v>
      </c>
      <c r="C54" s="377">
        <f t="shared" ref="C54:C62" si="16">IF($C$52="北京市系数",I54,J54)</f>
        <v>0.6</v>
      </c>
      <c r="D54" s="2226">
        <v>0.25</v>
      </c>
      <c r="E54" s="638"/>
      <c r="F54" s="1947" t="e">
        <f t="shared" si="15"/>
        <v>#DIV/0!</v>
      </c>
      <c r="G54" s="3447"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3.2">
      <c r="A55" s="636" t="s">
        <v>562</v>
      </c>
      <c r="B55" s="637" t="e">
        <f t="shared" ref="B55:B62" si="17">ROUND($C$45*C55*D55,0)</f>
        <v>#DIV/0!</v>
      </c>
      <c r="C55" s="377">
        <f t="shared" si="16"/>
        <v>0.3</v>
      </c>
      <c r="D55" s="2226">
        <v>0.25</v>
      </c>
      <c r="E55" s="638"/>
      <c r="F55" s="1947" t="e">
        <f t="shared" si="15"/>
        <v>#DIV/0!</v>
      </c>
      <c r="G55" s="3447"/>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3.2">
      <c r="A56" s="636" t="s">
        <v>563</v>
      </c>
      <c r="B56" s="637" t="e">
        <f t="shared" si="17"/>
        <v>#DIV/0!</v>
      </c>
      <c r="C56" s="377">
        <f t="shared" si="16"/>
        <v>0.2</v>
      </c>
      <c r="D56" s="2226">
        <v>0.25</v>
      </c>
      <c r="E56" s="638"/>
      <c r="F56" s="1947" t="e">
        <f t="shared" si="15"/>
        <v>#DIV/0!</v>
      </c>
      <c r="G56" s="3447"/>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3.2">
      <c r="A57" s="636" t="s">
        <v>564</v>
      </c>
      <c r="B57" s="637" t="e">
        <f t="shared" si="17"/>
        <v>#DIV/0!</v>
      </c>
      <c r="C57" s="377">
        <f t="shared" si="16"/>
        <v>0.2</v>
      </c>
      <c r="D57" s="2226">
        <v>0.25</v>
      </c>
      <c r="E57" s="638"/>
      <c r="F57" s="1947" t="e">
        <f t="shared" si="15"/>
        <v>#DIV/0!</v>
      </c>
      <c r="G57" s="3447"/>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3.2">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566</v>
      </c>
      <c r="B60" s="637" t="e">
        <f t="shared" si="17"/>
        <v>#DIV/0!</v>
      </c>
      <c r="C60" s="377">
        <f t="shared" si="16"/>
        <v>0.15</v>
      </c>
      <c r="D60" s="2226">
        <v>0.25</v>
      </c>
      <c r="E60" s="640">
        <f>'数据-汇总表'!E13</f>
        <v>0</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thickBot="1">
      <c r="A63" s="641" t="s">
        <v>569</v>
      </c>
      <c r="B63" s="642" t="s">
        <v>17</v>
      </c>
      <c r="C63" s="642" t="s">
        <v>18</v>
      </c>
      <c r="D63" s="642" t="s">
        <v>2293</v>
      </c>
      <c r="E63" s="642">
        <f>IF(B43="楼面地价",SUM(E53:E62),'数据-汇总表'!D3)</f>
        <v>148860.29999999999</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2018-9-1</v>
      </c>
      <c r="D65" s="2820">
        <f>EDATE(C65,-3)</f>
        <v>43252</v>
      </c>
      <c r="E65" s="2820">
        <f t="shared" ref="E65:N65" si="18">EDATE(D65,-3)</f>
        <v>43160</v>
      </c>
      <c r="F65" s="2820">
        <f t="shared" si="18"/>
        <v>43070</v>
      </c>
      <c r="G65" s="2820">
        <f t="shared" si="18"/>
        <v>42979</v>
      </c>
      <c r="H65" s="2820">
        <f t="shared" si="18"/>
        <v>42887</v>
      </c>
      <c r="I65" s="2820">
        <f t="shared" si="18"/>
        <v>42795</v>
      </c>
      <c r="J65" s="2820">
        <f t="shared" si="18"/>
        <v>42705</v>
      </c>
      <c r="K65" s="2820">
        <f t="shared" si="18"/>
        <v>42614</v>
      </c>
      <c r="L65" s="2820">
        <f t="shared" si="18"/>
        <v>42522</v>
      </c>
      <c r="M65" s="2820">
        <f t="shared" si="18"/>
        <v>42430</v>
      </c>
      <c r="N65" s="2820">
        <f t="shared" si="18"/>
        <v>42339</v>
      </c>
      <c r="O65" s="2142"/>
      <c r="P65" s="2142"/>
      <c r="Q65" s="2142"/>
      <c r="R65" s="2142"/>
      <c r="S65" s="2142"/>
      <c r="T65" s="2142"/>
      <c r="U65" s="2142"/>
      <c r="V65" s="2142"/>
      <c r="W65" s="2142"/>
      <c r="X65" s="2142"/>
      <c r="Y65" s="2142"/>
      <c r="Z65" s="2142"/>
      <c r="AA65" s="2142"/>
      <c r="AB65" s="2142"/>
      <c r="AC65" s="2142"/>
    </row>
    <row r="66" spans="1:29" ht="22.2"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4.4">
      <c r="A67" s="2589" t="s">
        <v>2532</v>
      </c>
      <c r="B67" s="645"/>
      <c r="C67" s="2815" t="str">
        <f>YEAR(C65)&amp;"-"&amp;ROUNDUP(MONTH(C65)/3,0)</f>
        <v>2018-3</v>
      </c>
      <c r="D67" s="2822" t="str">
        <f t="shared" ref="D67:N67" si="19">YEAR(D65)&amp;"-"&amp;ROUNDUP(MONTH(D65)/3,0)</f>
        <v>2018-2</v>
      </c>
      <c r="E67" s="2822" t="str">
        <f t="shared" si="19"/>
        <v>2018-1</v>
      </c>
      <c r="F67" s="2822" t="str">
        <f t="shared" si="19"/>
        <v>2017-4</v>
      </c>
      <c r="G67" s="2822" t="str">
        <f t="shared" si="19"/>
        <v>2017-3</v>
      </c>
      <c r="H67" s="2822" t="str">
        <f t="shared" si="19"/>
        <v>2017-2</v>
      </c>
      <c r="I67" s="2822" t="str">
        <f t="shared" si="19"/>
        <v>2017-1</v>
      </c>
      <c r="J67" s="2822" t="str">
        <f t="shared" si="19"/>
        <v>2016-4</v>
      </c>
      <c r="K67" s="2822" t="str">
        <f t="shared" si="19"/>
        <v>2016-3</v>
      </c>
      <c r="L67" s="2822" t="str">
        <f t="shared" si="19"/>
        <v>2016-2</v>
      </c>
      <c r="M67" s="2822" t="str">
        <f t="shared" si="19"/>
        <v>2016-1</v>
      </c>
      <c r="N67" s="2822" t="str">
        <f t="shared" si="19"/>
        <v>2015-4</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2648</v>
      </c>
      <c r="B68" s="478" t="str">
        <f>"北京市平均增长率"&amp;TEXT(基准地价!P24,"0.00%")</f>
        <v>北京市平均增长率0.00%</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4.4">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9.4"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9.4"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 thickTop="1">
      <c r="A93" s="686"/>
      <c r="B93" s="1893" t="s">
        <v>2547</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2761</v>
      </c>
      <c r="S1" s="2957" t="s">
        <v>2762</v>
      </c>
      <c r="T1" s="2957" t="s">
        <v>2783</v>
      </c>
      <c r="U1" s="2957" t="s">
        <v>2784</v>
      </c>
      <c r="V1" s="2957" t="s">
        <v>2785</v>
      </c>
      <c r="W1" s="2186"/>
      <c r="X1" s="2186"/>
      <c r="Y1" s="2186"/>
      <c r="Z1" s="2186"/>
      <c r="AA1" s="2186"/>
      <c r="AB1" s="2186"/>
      <c r="AC1" s="2187"/>
    </row>
    <row r="2" spans="1:39" ht="15.6">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7" t="s">
        <v>1684</v>
      </c>
      <c r="B3" s="1036" t="e">
        <f>ROUND(B2*10000/D1,0)</f>
        <v>#DIV/0!</v>
      </c>
      <c r="C3" s="1403" t="s">
        <v>923</v>
      </c>
      <c r="D3" s="1404" t="s">
        <v>924</v>
      </c>
      <c r="E3" s="1408"/>
      <c r="F3" s="1409" t="s">
        <v>2931</v>
      </c>
      <c r="G3" s="1037">
        <f>IF(F3="宗地容积率",'数据-汇总表'!I4,IF(F3="估价对象容积率",'数据-汇总表'!I6,'数据-汇总表'!I7))</f>
        <v>2.64</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6"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56"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2.64</v>
      </c>
      <c r="AA7" s="2189"/>
      <c r="AB7" s="2189"/>
      <c r="AC7" s="2190"/>
      <c r="AD7" s="2950"/>
      <c r="AE7" s="2950"/>
      <c r="AF7" s="2950"/>
      <c r="AG7" s="2950"/>
      <c r="AH7" s="2950"/>
      <c r="AI7" s="2950"/>
      <c r="AJ7" s="2951"/>
    </row>
    <row r="8" spans="1:39" ht="15">
      <c r="A8" s="3457"/>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66" t="s">
        <v>2782</v>
      </c>
      <c r="X8" s="3467"/>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457"/>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65" t="s">
        <v>2778</v>
      </c>
      <c r="X9" s="2952" t="s">
        <v>2779</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57"/>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65"/>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57"/>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65" t="s">
        <v>2780</v>
      </c>
      <c r="X11" s="1046" t="s">
        <v>2765</v>
      </c>
      <c r="Y11" s="1649">
        <f>$G$3</f>
        <v>2.64</v>
      </c>
      <c r="Z11" s="1649">
        <f t="shared" ref="Z11:AJ11" si="3">$G$3</f>
        <v>2.64</v>
      </c>
      <c r="AA11" s="1649">
        <f t="shared" si="3"/>
        <v>2.64</v>
      </c>
      <c r="AB11" s="1649">
        <f t="shared" si="3"/>
        <v>2.64</v>
      </c>
      <c r="AC11" s="1649">
        <f t="shared" si="3"/>
        <v>2.64</v>
      </c>
      <c r="AD11" s="1649">
        <f t="shared" si="3"/>
        <v>2.64</v>
      </c>
      <c r="AE11" s="1649">
        <f t="shared" si="3"/>
        <v>2.64</v>
      </c>
      <c r="AF11" s="1649">
        <f t="shared" si="3"/>
        <v>2.64</v>
      </c>
      <c r="AG11" s="1649">
        <f t="shared" si="3"/>
        <v>2.64</v>
      </c>
      <c r="AH11" s="1649">
        <f t="shared" si="3"/>
        <v>2.64</v>
      </c>
      <c r="AI11" s="1649">
        <f t="shared" si="3"/>
        <v>2.64</v>
      </c>
      <c r="AJ11" s="1649">
        <f t="shared" si="3"/>
        <v>2.64</v>
      </c>
    </row>
    <row r="12" spans="1:39" ht="25.8" thickBot="1">
      <c r="A12" s="3456"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65"/>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58"/>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65"/>
      <c r="X13" s="2955"/>
      <c r="Y13" s="2954">
        <f>(-0.163*(Y12^2)-0.59*Y12+7617)*(10^(-4))/Y11</f>
        <v>0.28852272727272726</v>
      </c>
      <c r="Z13" s="2954">
        <f t="shared" ref="Z13:AJ13" si="5">(-0.163*(Z12^2)-0.59*Z12+7617)*(10^(-4))/Z11</f>
        <v>0.28852272727272726</v>
      </c>
      <c r="AA13" s="2954">
        <f t="shared" si="5"/>
        <v>0.28852272727272726</v>
      </c>
      <c r="AB13" s="2954">
        <f t="shared" si="5"/>
        <v>0.28852272727272726</v>
      </c>
      <c r="AC13" s="2954">
        <f t="shared" si="5"/>
        <v>0.28852272727272726</v>
      </c>
      <c r="AD13" s="2954">
        <f t="shared" si="5"/>
        <v>0.28852272727272726</v>
      </c>
      <c r="AE13" s="2954">
        <f t="shared" si="5"/>
        <v>0.28852272727272726</v>
      </c>
      <c r="AF13" s="2954">
        <f t="shared" si="5"/>
        <v>0.28852272727272726</v>
      </c>
      <c r="AG13" s="2954">
        <f t="shared" si="5"/>
        <v>0.28852272727272726</v>
      </c>
      <c r="AH13" s="2954">
        <f t="shared" si="5"/>
        <v>0.28852272727272726</v>
      </c>
      <c r="AI13" s="2954">
        <f t="shared" si="5"/>
        <v>0.28852272727272726</v>
      </c>
      <c r="AJ13" s="2954">
        <f t="shared" si="5"/>
        <v>0.28852272727272726</v>
      </c>
    </row>
    <row r="14" spans="1:39" ht="12.75" customHeight="1" thickBot="1">
      <c r="A14" s="3458"/>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59"/>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56"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57"/>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43353</v>
      </c>
      <c r="H19" s="1471" t="s">
        <v>2932</v>
      </c>
      <c r="I19" s="2805" t="str">
        <f>IF(H19="季度增幅（自定义）",SUMIF(N21:N24,E2,O21:O24),"")</f>
        <v/>
      </c>
      <c r="J19" s="1467"/>
      <c r="K19" s="1477"/>
      <c r="L19" s="3057" t="s">
        <v>2840</v>
      </c>
      <c r="M19" s="3058">
        <f>ROUND(SUMIF(地价!B2:F2,E2,地价!B22:F22),0)</f>
        <v>0</v>
      </c>
      <c r="N19" s="2807" t="s">
        <v>1673</v>
      </c>
      <c r="O19" s="2806">
        <f>ROUNDDOWN(DATEDIF(E19,G19,"M")/3,0)</f>
        <v>18</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2841</v>
      </c>
      <c r="M20" s="3060">
        <f>ROUND(SUMPRODUCT((地价!A4:A22=YEAR(G19)&amp;"-"&amp;ROUNDUP(MONTH(G19)/3,0))*(地价!B2:F2=E2)*(地价!B4:F22)),0)</f>
        <v>0</v>
      </c>
      <c r="N20" s="2810" t="s">
        <v>2644</v>
      </c>
      <c r="O20" s="2808" t="s">
        <v>2643</v>
      </c>
      <c r="P20" s="2809" t="s">
        <v>2649</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4">
      <c r="A21" s="1638" t="s">
        <v>1834</v>
      </c>
      <c r="B21" s="1476" t="s">
        <v>2760</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0</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4">
      <c r="A22" s="1639" t="s">
        <v>1867</v>
      </c>
      <c r="B22" s="1479" t="s">
        <v>973</v>
      </c>
      <c r="C22" s="1058" t="s">
        <v>1699</v>
      </c>
      <c r="D22" s="1058">
        <f>IF(E22=G22,F22,IF(G3&lt;=10,ROUND(F22+(H22-F22)*(G3-E22)/(G22-E22),4),"——"))</f>
        <v>0</v>
      </c>
      <c r="E22" s="1037">
        <f>ROUNDDOWN(G3,1)</f>
        <v>2.6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2.7</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0</v>
      </c>
      <c r="R22" s="2946"/>
      <c r="S22" s="2946"/>
      <c r="T22" s="2946"/>
      <c r="U22" s="2946"/>
      <c r="V22" s="2946"/>
      <c r="W22" s="2192"/>
      <c r="X22" s="2192"/>
      <c r="Y22" s="2192"/>
      <c r="Z22" s="2192"/>
      <c r="AA22" s="2192"/>
      <c r="AB22" s="2192"/>
      <c r="AC22" s="2192"/>
      <c r="AD22" s="1468"/>
      <c r="AE22" s="1468"/>
      <c r="AF22" s="1468"/>
      <c r="AG22" s="1468"/>
      <c r="AH22" s="1468"/>
      <c r="AI22" s="1468"/>
    </row>
    <row r="23" spans="1:40" ht="29.4"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0</v>
      </c>
      <c r="R23" s="2946"/>
      <c r="S23" s="2946"/>
      <c r="T23" s="2946"/>
      <c r="U23" s="2946"/>
      <c r="V23" s="2946"/>
      <c r="W23" s="2192"/>
      <c r="X23" s="2192"/>
      <c r="Y23" s="2192"/>
      <c r="Z23" s="2192"/>
      <c r="AA23" s="2192"/>
      <c r="AB23" s="2192"/>
      <c r="AC23" s="2192"/>
      <c r="AN23" s="1400"/>
    </row>
    <row r="24" spans="1:40" s="1417" customFormat="1" ht="1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0</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2647</v>
      </c>
      <c r="O25" s="2192"/>
      <c r="P25" s="1537">
        <f>SUMPRODUCT((地价!A3:A22=YEAR(G19)&amp;"-"&amp;ROUNDUP(MONTH(G19)/3,0))*(地价!AD2:AH2=N25)*(地价!AD3:AH22))</f>
        <v>0</v>
      </c>
      <c r="R25" s="2946"/>
      <c r="S25" s="2946"/>
      <c r="T25" s="2946"/>
      <c r="U25" s="2946"/>
      <c r="V25" s="2946"/>
      <c r="W25" s="2192"/>
      <c r="X25" s="2192"/>
      <c r="Y25" s="2192"/>
      <c r="Z25" s="2192"/>
      <c r="AA25" s="2192"/>
      <c r="AB25" s="2192"/>
      <c r="AC25" s="2192"/>
    </row>
    <row r="26" spans="1:40" ht="14.4">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4">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6"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62" t="s">
        <v>2959</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63"/>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63"/>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64"/>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估价对象周边商业氛围较成熟，人流量较一般，有丽港城商业广场，商业繁华度一般</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5" t="s">
        <v>1018</v>
      </c>
      <c r="B48" s="2429" t="str">
        <f>估价对象房地状况!C18</f>
        <v>估价对象周边道路状况、公共交通通达情况：有071、003、030、36等多路公交车，停车便捷程度，综合评价交通便捷度较好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5" t="s">
        <v>1020</v>
      </c>
      <c r="B50" s="3113" t="s">
        <v>2934</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支路-未命名道路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5" t="s">
        <v>1022</v>
      </c>
      <c r="B52" s="3112" t="s">
        <v>2933</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61" t="s">
        <v>1023</v>
      </c>
      <c r="B53" s="2430" t="str">
        <f>估价对象房地状况!C21</f>
        <v>估价对象所在区域公共配套设施齐备情况较好：中山市实验中学</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6" thickBot="1">
      <c r="A55" s="2462" t="s">
        <v>1025</v>
      </c>
      <c r="B55" s="2433" t="str">
        <f>估价对象房地状况!C20</f>
        <v>周边2公里区域自然环境：；人文环境：；综合评价环境状况较好</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5" t="s">
        <v>1018</v>
      </c>
      <c r="B59" s="2429" t="str">
        <f>估价对象房地状况!C18</f>
        <v>估价对象周边道路状况、公共交通通达情况：有071、003、030、36等多路公交车，停车便捷程度，综合评价交通便捷度较好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5" t="s">
        <v>1020</v>
      </c>
      <c r="B61" s="3113" t="s">
        <v>2935</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支路-未命名道路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5" t="s">
        <v>1022</v>
      </c>
      <c r="B63" s="3112" t="s">
        <v>2933</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5" t="s">
        <v>1023</v>
      </c>
      <c r="B64" s="2430" t="str">
        <f>估价对象房地状况!C21</f>
        <v>估价对象所在区域公共配套设施齐备情况较好：中山市实验中学</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6" thickBot="1">
      <c r="A66" s="2462" t="s">
        <v>1025</v>
      </c>
      <c r="B66" s="2434" t="str">
        <f>估价对象房地状况!C20</f>
        <v>周边2公里区域自然环境：；人文环境：；综合评价环境状况较好</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84">
      <c r="A69" s="1065" t="s">
        <v>1029</v>
      </c>
      <c r="B69" s="2432" t="str">
        <f>估价对象房地状况!C15</f>
        <v>估价对象周边居住用地比例高、居住小区规模和社区发展完善程度较好，周边有尚城、聚豪园等多个住宅项目，综合评价居住社区成熟度较好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5" t="s">
        <v>1030</v>
      </c>
      <c r="B70" s="2429" t="str">
        <f>估价对象房地状况!C18</f>
        <v>估价对象周边道路状况、公共交通通达情况：有071、003、030、36等多路公交车，停车便捷程度，综合评价交通便捷度较好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5" t="s">
        <v>1031</v>
      </c>
      <c r="B72" s="2429" t="str">
        <f>估价对象房地状况!C24</f>
        <v>支路-未命名道路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5" t="s">
        <v>1023</v>
      </c>
      <c r="B73" s="2430" t="str">
        <f>估价对象房地状况!C21</f>
        <v>估价对象所在区域公共配套设施齐备情况较好：中山市实验中学</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5" t="s">
        <v>1022</v>
      </c>
      <c r="B75" s="3112" t="s">
        <v>2933</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周边2公里区域自然环境：；人文环境：；综合评价环境状况较好</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4.4">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60">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3.8">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36">
      <c r="A86" s="1065" t="s">
        <v>1022</v>
      </c>
      <c r="B86" s="3112" t="s">
        <v>2933</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48.6"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60" t="s">
        <v>1630</v>
      </c>
      <c r="B90" s="3460"/>
      <c r="C90" s="3460"/>
      <c r="D90" s="3460"/>
      <c r="E90" s="3460"/>
      <c r="F90" s="3460"/>
      <c r="G90" s="3460"/>
      <c r="H90" s="3460"/>
      <c r="I90" s="3460"/>
      <c r="J90" s="3460"/>
      <c r="K90" s="2471"/>
      <c r="L90" s="2471"/>
      <c r="M90" s="2471"/>
      <c r="N90" s="2471"/>
    </row>
    <row r="91" spans="1:40">
      <c r="A91" s="3461" t="s">
        <v>1440</v>
      </c>
      <c r="B91" s="3461" t="s">
        <v>1631</v>
      </c>
      <c r="C91" s="1138" t="s">
        <v>1632</v>
      </c>
      <c r="D91" s="1139"/>
      <c r="E91" s="1139"/>
      <c r="F91" s="1139"/>
      <c r="G91" s="1139"/>
      <c r="H91" s="1139"/>
      <c r="I91" s="1139"/>
      <c r="J91" s="1140"/>
      <c r="K91" s="1132"/>
      <c r="L91" s="1132"/>
      <c r="M91" s="1132"/>
      <c r="N91" s="1132"/>
    </row>
    <row r="92" spans="1:40">
      <c r="A92" s="3461"/>
      <c r="B92" s="3461"/>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68"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9"/>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8" t="s">
        <v>1634</v>
      </c>
      <c r="B101" s="1145" t="s">
        <v>902</v>
      </c>
      <c r="C101" s="1146">
        <f>$G$3</f>
        <v>2.64</v>
      </c>
      <c r="D101" s="1146">
        <f t="shared" ref="D101:N101" si="31">$G$3</f>
        <v>2.64</v>
      </c>
      <c r="E101" s="1146">
        <f t="shared" si="31"/>
        <v>2.64</v>
      </c>
      <c r="F101" s="1146">
        <f t="shared" si="31"/>
        <v>2.64</v>
      </c>
      <c r="G101" s="1146">
        <f t="shared" si="31"/>
        <v>2.64</v>
      </c>
      <c r="H101" s="1146">
        <f t="shared" si="31"/>
        <v>2.64</v>
      </c>
      <c r="I101" s="1146">
        <f t="shared" si="31"/>
        <v>2.64</v>
      </c>
      <c r="J101" s="1146">
        <f t="shared" si="31"/>
        <v>2.64</v>
      </c>
      <c r="K101" s="1146">
        <f t="shared" si="31"/>
        <v>2.64</v>
      </c>
      <c r="L101" s="1146">
        <f t="shared" si="31"/>
        <v>2.64</v>
      </c>
      <c r="M101" s="1146">
        <f t="shared" si="31"/>
        <v>2.64</v>
      </c>
      <c r="N101" s="1146">
        <f t="shared" si="31"/>
        <v>2.64</v>
      </c>
    </row>
    <row r="102" spans="1:14">
      <c r="A102" s="3469"/>
      <c r="B102" s="1141">
        <v>1</v>
      </c>
      <c r="C102" s="1142">
        <f>1.9362/C101</f>
        <v>0.7334090909090909</v>
      </c>
      <c r="D102" s="1142">
        <f>1.9362/D101</f>
        <v>0.7334090909090909</v>
      </c>
      <c r="E102" s="1142">
        <f>1.8629/E101</f>
        <v>0.70564393939393932</v>
      </c>
      <c r="F102" s="1142">
        <f>1.8629/F101</f>
        <v>0.70564393939393932</v>
      </c>
      <c r="G102" s="1142">
        <f>1.8629/G101</f>
        <v>0.70564393939393932</v>
      </c>
      <c r="H102" s="1142">
        <f>1.8629/H101</f>
        <v>0.70564393939393932</v>
      </c>
      <c r="I102" s="1142">
        <f>1.8629/I101</f>
        <v>0.70564393939393932</v>
      </c>
      <c r="J102" s="1142">
        <f>1.942/J101</f>
        <v>0.7356060606060606</v>
      </c>
      <c r="K102" s="1142">
        <f>1.942/K101</f>
        <v>0.7356060606060606</v>
      </c>
      <c r="L102" s="1142">
        <f>1.942/L101</f>
        <v>0.7356060606060606</v>
      </c>
      <c r="M102" s="1142">
        <f>1.942/M101</f>
        <v>0.7356060606060606</v>
      </c>
      <c r="N102" s="1142">
        <f>1.942/N101</f>
        <v>0.7356060606060606</v>
      </c>
    </row>
    <row r="103" spans="1:14">
      <c r="A103" s="3469"/>
      <c r="B103" s="1141">
        <v>2</v>
      </c>
      <c r="C103" s="1142">
        <f>1.4198/C101</f>
        <v>0.53780303030303023</v>
      </c>
      <c r="D103" s="1142">
        <f>1.4198/D101</f>
        <v>0.53780303030303023</v>
      </c>
      <c r="E103" s="1142">
        <f>1.3372/E101</f>
        <v>0.50651515151515147</v>
      </c>
      <c r="F103" s="1142">
        <f>1.3372/F101</f>
        <v>0.50651515151515147</v>
      </c>
      <c r="G103" s="1142">
        <f>1.3372/G101</f>
        <v>0.50651515151515147</v>
      </c>
      <c r="H103" s="1142">
        <f>1.3372/H101</f>
        <v>0.50651515151515147</v>
      </c>
      <c r="I103" s="1142">
        <f>1.3372/I101</f>
        <v>0.50651515151515147</v>
      </c>
      <c r="J103" s="1142">
        <f>1.2799/J101</f>
        <v>0.48481060606060605</v>
      </c>
      <c r="K103" s="1142">
        <f>1.2799/K101</f>
        <v>0.48481060606060605</v>
      </c>
      <c r="L103" s="1142">
        <f>1.2799/L101</f>
        <v>0.48481060606060605</v>
      </c>
      <c r="M103" s="1142">
        <f>1.2799/M101</f>
        <v>0.48481060606060605</v>
      </c>
      <c r="N103" s="1142">
        <f>1.2799/N101</f>
        <v>0.48481060606060605</v>
      </c>
    </row>
    <row r="104" spans="1:14">
      <c r="A104" s="3469"/>
      <c r="B104" s="1141">
        <v>3</v>
      </c>
      <c r="C104" s="1142">
        <f>1.1594/C101</f>
        <v>0.43916666666666665</v>
      </c>
      <c r="D104" s="1142">
        <f>1.1594/D101</f>
        <v>0.43916666666666665</v>
      </c>
      <c r="E104" s="1142">
        <f>1.0788/E101</f>
        <v>0.40863636363636363</v>
      </c>
      <c r="F104" s="1142">
        <f>1.0788/F101</f>
        <v>0.40863636363636363</v>
      </c>
      <c r="G104" s="1142">
        <f>1.0788/G101</f>
        <v>0.40863636363636363</v>
      </c>
      <c r="H104" s="1142">
        <f>1.0788/H101</f>
        <v>0.40863636363636363</v>
      </c>
      <c r="I104" s="1142">
        <f>1.0788/I101</f>
        <v>0.40863636363636363</v>
      </c>
      <c r="J104" s="1142">
        <f>1.0072/J101</f>
        <v>0.38151515151515153</v>
      </c>
      <c r="K104" s="1142">
        <f>1.0072/K101</f>
        <v>0.38151515151515153</v>
      </c>
      <c r="L104" s="1142">
        <f>1.0072/L101</f>
        <v>0.38151515151515153</v>
      </c>
      <c r="M104" s="1142">
        <f>1.0072/M101</f>
        <v>0.38151515151515153</v>
      </c>
      <c r="N104" s="1142">
        <f>1.0072/N101</f>
        <v>0.38151515151515153</v>
      </c>
    </row>
    <row r="105" spans="1:14">
      <c r="A105" s="3469"/>
      <c r="B105" s="1141">
        <v>4</v>
      </c>
      <c r="C105" s="1142">
        <f>0.9622/C101</f>
        <v>0.364469696969697</v>
      </c>
      <c r="D105" s="1142">
        <f>0.9622/D101</f>
        <v>0.364469696969697</v>
      </c>
      <c r="E105" s="1142">
        <f>0.8656/E101</f>
        <v>0.32787878787878788</v>
      </c>
      <c r="F105" s="1142">
        <f>0.8656/F101</f>
        <v>0.32787878787878788</v>
      </c>
      <c r="G105" s="1142">
        <f>0.8656/G101</f>
        <v>0.32787878787878788</v>
      </c>
      <c r="H105" s="1142">
        <f>0.8656/H101</f>
        <v>0.32787878787878788</v>
      </c>
      <c r="I105" s="1142">
        <f>0.8656/I101</f>
        <v>0.32787878787878788</v>
      </c>
      <c r="J105" s="1142">
        <f>0.7525/J101</f>
        <v>0.28503787878787873</v>
      </c>
      <c r="K105" s="1142">
        <f>0.7525/K101</f>
        <v>0.28503787878787873</v>
      </c>
      <c r="L105" s="1142">
        <f>0.7525/L101</f>
        <v>0.28503787878787873</v>
      </c>
      <c r="M105" s="1142">
        <f>0.7525/M101</f>
        <v>0.28503787878787873</v>
      </c>
      <c r="N105" s="1142">
        <f>0.7525/N101</f>
        <v>0.28503787878787873</v>
      </c>
    </row>
    <row r="106" spans="1:14">
      <c r="A106" s="3469"/>
      <c r="B106" s="1141">
        <v>5</v>
      </c>
      <c r="C106" s="1142">
        <f>0.8417/C101</f>
        <v>0.31882575757575754</v>
      </c>
      <c r="D106" s="1142">
        <f>0.8417/D101</f>
        <v>0.31882575757575754</v>
      </c>
      <c r="E106" s="1142">
        <f>0.7371/E101</f>
        <v>0.27920454545454543</v>
      </c>
      <c r="F106" s="1142">
        <f>0.7371/F101</f>
        <v>0.27920454545454543</v>
      </c>
      <c r="G106" s="1142">
        <f>0.7371/G101</f>
        <v>0.27920454545454543</v>
      </c>
      <c r="H106" s="1142">
        <f>0.7371/H101</f>
        <v>0.27920454545454543</v>
      </c>
      <c r="I106" s="1142">
        <f>0.7371/I101</f>
        <v>0.27920454545454543</v>
      </c>
      <c r="J106" s="1142">
        <f>0.5659/J101</f>
        <v>0.21435606060606058</v>
      </c>
      <c r="K106" s="1142">
        <f>0.5659/K101</f>
        <v>0.21435606060606058</v>
      </c>
      <c r="L106" s="1142">
        <f>0.5659/L101</f>
        <v>0.21435606060606058</v>
      </c>
      <c r="M106" s="1142">
        <f>0.5659/M101</f>
        <v>0.21435606060606058</v>
      </c>
      <c r="N106" s="1142">
        <f>0.5659/N101</f>
        <v>0.21435606060606058</v>
      </c>
    </row>
    <row r="107" spans="1:14">
      <c r="A107" s="3469"/>
      <c r="B107" s="1141">
        <v>6</v>
      </c>
      <c r="C107" s="1142">
        <f>0.7608/C101</f>
        <v>0.28818181818181821</v>
      </c>
      <c r="D107" s="1142">
        <f>0.7608/D101</f>
        <v>0.28818181818181821</v>
      </c>
      <c r="E107" s="1142">
        <f>0.6482/E101</f>
        <v>0.24553030303030302</v>
      </c>
      <c r="F107" s="1142">
        <f>0.6482/F101</f>
        <v>0.24553030303030302</v>
      </c>
      <c r="G107" s="1142">
        <f>0.6482/G101</f>
        <v>0.24553030303030302</v>
      </c>
      <c r="H107" s="1142">
        <f>0.6482/H101</f>
        <v>0.24553030303030302</v>
      </c>
      <c r="I107" s="1142">
        <f>0.6482/I101</f>
        <v>0.24553030303030302</v>
      </c>
      <c r="J107" s="1142">
        <f>0.4525/J101</f>
        <v>0.17140151515151514</v>
      </c>
      <c r="K107" s="1142">
        <f>0.4525/K101</f>
        <v>0.17140151515151514</v>
      </c>
      <c r="L107" s="1142">
        <f>0.4525/L101</f>
        <v>0.17140151515151514</v>
      </c>
      <c r="M107" s="1142">
        <f>0.4525/M101</f>
        <v>0.17140151515151514</v>
      </c>
      <c r="N107" s="1142">
        <f>0.4525/N101</f>
        <v>0.17140151515151514</v>
      </c>
    </row>
    <row r="108" spans="1:14">
      <c r="A108" s="3469"/>
      <c r="B108" s="3471"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0"/>
      <c r="B109" s="3472"/>
      <c r="C109" s="1144">
        <f>(-0.163*(C108^2)-0.59*C108+7617)*(10^(-4))/C101</f>
        <v>0.28794878787878786</v>
      </c>
      <c r="D109" s="1144">
        <f>(-0.163*(D108^2)-0.59*D108+7617)*(10^(-4))/D101</f>
        <v>0.28794878787878786</v>
      </c>
      <c r="E109" s="1144">
        <f>(-0.161*(E108^2)-7.509*E108+6533)*(10^(-4))/E101</f>
        <v>0.24479636363636362</v>
      </c>
      <c r="F109" s="1144">
        <f>(-0.161*(F108^2)-7.509*F108+6533)*(10^(-4))/F101</f>
        <v>0.24479636363636362</v>
      </c>
      <c r="G109" s="1144">
        <f>(-0.161*(G108^2)-7.509*G108+6533)*(10^(-4))/G101</f>
        <v>0.24479636363636362</v>
      </c>
      <c r="H109" s="1144">
        <f>(-0.161*(H108^2)-7.509*H108+6533)*(10^(-4))/H101</f>
        <v>0.24479636363636362</v>
      </c>
      <c r="I109" s="1144">
        <f>(-0.161*(I108^2)-7.509*I108+6533)*(10^(-4))/I101</f>
        <v>0.24479636363636362</v>
      </c>
      <c r="J109" s="1144">
        <f>(-0.214*(J108^2)-21.991*J108+4665)*(10^(-4))/J101</f>
        <v>0.16952181818181819</v>
      </c>
      <c r="K109" s="1144">
        <f>(-0.214*(K108^2)-21.991*K108+4665)*(10^(-4))/K101</f>
        <v>0.16952181818181819</v>
      </c>
      <c r="L109" s="1144">
        <f>(-0.214*(L108^2)-21.991*L108+4665)*(10^(-4))/L101</f>
        <v>0.16952181818181819</v>
      </c>
      <c r="M109" s="1144">
        <f>(-0.214*(M108^2)-21.991*M108+4665)*(10^(-4))/M101</f>
        <v>0.16952181818181819</v>
      </c>
      <c r="N109" s="1144">
        <f>(-0.214*(N108^2)-21.991*N108+4665)*(10^(-4))/N101</f>
        <v>0.16952181818181819</v>
      </c>
    </row>
    <row r="110" spans="1:14">
      <c r="A110" s="3455" t="s">
        <v>1636</v>
      </c>
      <c r="B110" s="3455"/>
      <c r="C110" s="3455"/>
      <c r="D110" s="3455"/>
      <c r="E110" s="3455"/>
      <c r="F110" s="3455"/>
      <c r="G110" s="3455"/>
      <c r="H110" s="3455"/>
      <c r="I110" s="3455"/>
      <c r="J110" s="3455"/>
      <c r="K110" s="2469"/>
      <c r="L110" s="2469"/>
      <c r="M110" s="2469"/>
      <c r="N110" s="2469"/>
    </row>
    <row r="112" spans="1:14" ht="12.6" thickBot="1"/>
    <row r="113" spans="1:13" ht="25.8" thickBot="1">
      <c r="A113" s="1014" t="s">
        <v>892</v>
      </c>
      <c r="B113" s="2472">
        <f>G3</f>
        <v>2.64</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3.2">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3.2">
      <c r="A115" s="1027" t="s">
        <v>896</v>
      </c>
      <c r="B115" s="1028">
        <f>ROUND(0.9335-0.0094*B113,4)</f>
        <v>0.90869999999999995</v>
      </c>
      <c r="C115" s="1028">
        <f>B115</f>
        <v>0.90869999999999995</v>
      </c>
      <c r="D115" s="1028">
        <f>ROUND(0.8331-0.0109*B113,4)</f>
        <v>0.80430000000000001</v>
      </c>
      <c r="E115" s="1028">
        <f>D115</f>
        <v>0.80430000000000001</v>
      </c>
      <c r="F115" s="1028">
        <f>E115</f>
        <v>0.80430000000000001</v>
      </c>
      <c r="G115" s="1028">
        <f>F115</f>
        <v>0.80430000000000001</v>
      </c>
      <c r="H115" s="1028">
        <f>G115</f>
        <v>0.80430000000000001</v>
      </c>
      <c r="I115" s="1028">
        <f>ROUND(0.689-0.0155*B113,4)</f>
        <v>0.64810000000000001</v>
      </c>
      <c r="J115" s="1028">
        <f t="shared" ref="J115:M118" si="33">I115</f>
        <v>0.64810000000000001</v>
      </c>
      <c r="K115" s="1028">
        <f t="shared" si="33"/>
        <v>0.64810000000000001</v>
      </c>
      <c r="L115" s="1028">
        <f t="shared" si="33"/>
        <v>0.64810000000000001</v>
      </c>
      <c r="M115" s="1029">
        <f t="shared" si="33"/>
        <v>0.64810000000000001</v>
      </c>
    </row>
    <row r="116" spans="1:13" ht="13.2">
      <c r="A116" s="1027" t="s">
        <v>897</v>
      </c>
      <c r="B116" s="1028">
        <f>ROUND(0.949-0.012*B113,4)</f>
        <v>0.9173</v>
      </c>
      <c r="C116" s="1028">
        <f>B116</f>
        <v>0.9173</v>
      </c>
      <c r="D116" s="1028">
        <f>ROUND(0.8567-0.013*B113,4)</f>
        <v>0.82240000000000002</v>
      </c>
      <c r="E116" s="1028">
        <f t="shared" ref="E116:H117" si="34">D116</f>
        <v>0.82240000000000002</v>
      </c>
      <c r="F116" s="1028">
        <f t="shared" si="34"/>
        <v>0.82240000000000002</v>
      </c>
      <c r="G116" s="1028">
        <f t="shared" si="34"/>
        <v>0.82240000000000002</v>
      </c>
      <c r="H116" s="1028">
        <f t="shared" si="34"/>
        <v>0.82240000000000002</v>
      </c>
      <c r="I116" s="1028">
        <f>ROUND(0.7694-0.014*B113,4)</f>
        <v>0.73240000000000005</v>
      </c>
      <c r="J116" s="1028">
        <f t="shared" si="33"/>
        <v>0.73240000000000005</v>
      </c>
      <c r="K116" s="1028">
        <f t="shared" si="33"/>
        <v>0.73240000000000005</v>
      </c>
      <c r="L116" s="1028">
        <f t="shared" si="33"/>
        <v>0.73240000000000005</v>
      </c>
      <c r="M116" s="1029">
        <f t="shared" si="33"/>
        <v>0.73240000000000005</v>
      </c>
    </row>
    <row r="117" spans="1:13" ht="13.2">
      <c r="A117" s="1030" t="s">
        <v>898</v>
      </c>
      <c r="B117" s="1028">
        <f>ROUND(0.8808-0.006*B113,4)</f>
        <v>0.86499999999999999</v>
      </c>
      <c r="C117" s="1028">
        <f>B117</f>
        <v>0.86499999999999999</v>
      </c>
      <c r="D117" s="1028">
        <f>ROUND(0.8748-0.008*B113,4)</f>
        <v>0.85370000000000001</v>
      </c>
      <c r="E117" s="1028">
        <f t="shared" si="34"/>
        <v>0.85370000000000001</v>
      </c>
      <c r="F117" s="1028">
        <f t="shared" si="34"/>
        <v>0.85370000000000001</v>
      </c>
      <c r="G117" s="1028">
        <f t="shared" si="34"/>
        <v>0.85370000000000001</v>
      </c>
      <c r="H117" s="1028">
        <f t="shared" si="34"/>
        <v>0.85370000000000001</v>
      </c>
      <c r="I117" s="1028">
        <f>ROUND(0.7412-0.0095*B113,4)</f>
        <v>0.71609999999999996</v>
      </c>
      <c r="J117" s="1028">
        <f t="shared" si="33"/>
        <v>0.71609999999999996</v>
      </c>
      <c r="K117" s="1028">
        <f t="shared" si="33"/>
        <v>0.71609999999999996</v>
      </c>
      <c r="L117" s="1028">
        <f t="shared" si="33"/>
        <v>0.71609999999999996</v>
      </c>
      <c r="M117" s="1029">
        <f t="shared" si="33"/>
        <v>0.71609999999999996</v>
      </c>
    </row>
    <row r="118" spans="1:13" ht="13.8" thickBot="1">
      <c r="A118" s="1031" t="s">
        <v>899</v>
      </c>
      <c r="B118" s="1032">
        <f>ROUND(0.7275-0.01*B113,4)</f>
        <v>0.70109999999999995</v>
      </c>
      <c r="C118" s="1032">
        <f>B118</f>
        <v>0.70109999999999995</v>
      </c>
      <c r="D118" s="1032">
        <f>ROUND(0.7043-0.012*B113,4)</f>
        <v>0.67259999999999998</v>
      </c>
      <c r="E118" s="1032">
        <f>D118</f>
        <v>0.67259999999999998</v>
      </c>
      <c r="F118" s="1032">
        <f>E118</f>
        <v>0.67259999999999998</v>
      </c>
      <c r="G118" s="1032">
        <f>ROUND(0.6299-0.0122*B113,4)</f>
        <v>0.59770000000000001</v>
      </c>
      <c r="H118" s="1032">
        <f>G118</f>
        <v>0.59770000000000001</v>
      </c>
      <c r="I118" s="1032">
        <f>ROUND(0.5667-0.0136*B113,4)</f>
        <v>0.53080000000000005</v>
      </c>
      <c r="J118" s="1032">
        <f t="shared" si="33"/>
        <v>0.53080000000000005</v>
      </c>
      <c r="K118" s="1032">
        <f t="shared" si="33"/>
        <v>0.53080000000000005</v>
      </c>
      <c r="L118" s="1032">
        <f t="shared" si="33"/>
        <v>0.53080000000000005</v>
      </c>
      <c r="M118" s="1033">
        <f t="shared" si="33"/>
        <v>0.53080000000000005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61" t="s">
        <v>1004</v>
      </c>
      <c r="B18" s="1152" t="s">
        <v>1443</v>
      </c>
      <c r="C18" s="1129" t="s">
        <v>1444</v>
      </c>
      <c r="D18" s="1130"/>
      <c r="E18" s="1152">
        <v>1</v>
      </c>
      <c r="F18" s="1131" t="s">
        <v>1445</v>
      </c>
      <c r="G18" s="1132"/>
      <c r="H18" s="1103"/>
      <c r="I18" s="1103"/>
    </row>
    <row r="19" spans="1:9" s="1595" customFormat="1" ht="19.5" customHeight="1">
      <c r="A19" s="3461"/>
      <c r="B19" s="3461" t="s">
        <v>1446</v>
      </c>
      <c r="C19" s="1129" t="s">
        <v>1447</v>
      </c>
      <c r="D19" s="1130"/>
      <c r="E19" s="1152">
        <v>0.9</v>
      </c>
      <c r="F19" s="1131" t="s">
        <v>1448</v>
      </c>
      <c r="G19" s="1132"/>
      <c r="H19" s="1103"/>
      <c r="I19" s="1103"/>
    </row>
    <row r="20" spans="1:9" s="1595" customFormat="1" ht="19.5" customHeight="1">
      <c r="A20" s="3461"/>
      <c r="B20" s="3461"/>
      <c r="C20" s="1129" t="s">
        <v>1449</v>
      </c>
      <c r="D20" s="1130"/>
      <c r="E20" s="1152">
        <v>1.1000000000000001</v>
      </c>
      <c r="F20" s="1131" t="s">
        <v>1450</v>
      </c>
      <c r="G20" s="1132"/>
      <c r="H20" s="1103"/>
      <c r="I20" s="1103"/>
    </row>
    <row r="21" spans="1:9" s="1595" customFormat="1" ht="19.5" customHeight="1">
      <c r="A21" s="3461"/>
      <c r="B21" s="3461"/>
      <c r="C21" s="1129" t="s">
        <v>1451</v>
      </c>
      <c r="D21" s="1130"/>
      <c r="E21" s="1152">
        <v>0.8</v>
      </c>
      <c r="F21" s="1131" t="s">
        <v>1452</v>
      </c>
      <c r="G21" s="1132"/>
      <c r="H21" s="1103"/>
      <c r="I21" s="1103"/>
    </row>
    <row r="22" spans="1:9" s="1595" customFormat="1" ht="19.5" customHeight="1">
      <c r="A22" s="3461"/>
      <c r="B22" s="3461"/>
      <c r="C22" s="1129" t="s">
        <v>1453</v>
      </c>
      <c r="D22" s="1130"/>
      <c r="E22" s="1152">
        <v>0.5</v>
      </c>
      <c r="F22" s="1131"/>
      <c r="G22" s="1132"/>
      <c r="H22" s="1103"/>
      <c r="I22" s="1103"/>
    </row>
    <row r="23" spans="1:9" s="1595" customFormat="1" ht="19.5" customHeight="1">
      <c r="A23" s="3461" t="s">
        <v>1026</v>
      </c>
      <c r="B23" s="1152" t="s">
        <v>1443</v>
      </c>
      <c r="C23" s="1129" t="s">
        <v>1454</v>
      </c>
      <c r="D23" s="1130"/>
      <c r="E23" s="1152">
        <v>1</v>
      </c>
      <c r="F23" s="1131" t="s">
        <v>1455</v>
      </c>
      <c r="G23" s="1132"/>
      <c r="H23" s="1103"/>
      <c r="I23" s="1103"/>
    </row>
    <row r="24" spans="1:9" s="1595" customFormat="1" ht="19.5" customHeight="1">
      <c r="A24" s="3461"/>
      <c r="B24" s="3461" t="s">
        <v>1446</v>
      </c>
      <c r="C24" s="1129" t="s">
        <v>1456</v>
      </c>
      <c r="D24" s="1130"/>
      <c r="E24" s="1152">
        <v>0.5</v>
      </c>
      <c r="F24" s="1131"/>
      <c r="G24" s="1132"/>
      <c r="H24" s="1103"/>
      <c r="I24" s="1103"/>
    </row>
    <row r="25" spans="1:9" s="1595" customFormat="1" ht="19.5" customHeight="1">
      <c r="A25" s="3461"/>
      <c r="B25" s="3461"/>
      <c r="C25" s="1129" t="s">
        <v>1457</v>
      </c>
      <c r="D25" s="1130"/>
      <c r="E25" s="1152">
        <v>1.1000000000000001</v>
      </c>
      <c r="F25" s="1131"/>
      <c r="G25" s="1132"/>
      <c r="H25" s="1103"/>
      <c r="I25" s="1103"/>
    </row>
    <row r="26" spans="1:9" s="1595" customFormat="1" ht="19.5" customHeight="1">
      <c r="A26" s="3461"/>
      <c r="B26" s="3461"/>
      <c r="C26" s="1129" t="s">
        <v>1458</v>
      </c>
      <c r="D26" s="1130"/>
      <c r="E26" s="1152">
        <v>1.1000000000000001</v>
      </c>
      <c r="F26" s="1131"/>
      <c r="G26" s="1132"/>
      <c r="H26" s="1103"/>
      <c r="I26" s="1103"/>
    </row>
    <row r="27" spans="1:9" s="1595" customFormat="1" ht="19.5" customHeight="1">
      <c r="A27" s="3461"/>
      <c r="B27" s="3461"/>
      <c r="C27" s="1129" t="s">
        <v>1459</v>
      </c>
      <c r="D27" s="1130"/>
      <c r="E27" s="1152">
        <v>0.9</v>
      </c>
      <c r="F27" s="1131" t="s">
        <v>1460</v>
      </c>
      <c r="G27" s="1132"/>
      <c r="H27" s="1103"/>
      <c r="I27" s="1103"/>
    </row>
    <row r="28" spans="1:9" s="1595" customFormat="1" ht="19.5" customHeight="1">
      <c r="A28" s="3461"/>
      <c r="B28" s="3461"/>
      <c r="C28" s="1129" t="s">
        <v>1461</v>
      </c>
      <c r="D28" s="1130"/>
      <c r="E28" s="1152">
        <v>0.9</v>
      </c>
      <c r="F28" s="1131" t="s">
        <v>1462</v>
      </c>
      <c r="G28" s="1132"/>
      <c r="H28" s="1103"/>
      <c r="I28" s="1103"/>
    </row>
    <row r="29" spans="1:9" s="1595" customFormat="1" ht="19.5" customHeight="1">
      <c r="A29" s="3461"/>
      <c r="B29" s="3461"/>
      <c r="C29" s="1129" t="s">
        <v>1463</v>
      </c>
      <c r="D29" s="1130"/>
      <c r="E29" s="1152">
        <v>0.9</v>
      </c>
      <c r="F29" s="1131" t="s">
        <v>1464</v>
      </c>
      <c r="G29" s="1132"/>
      <c r="H29" s="1103"/>
      <c r="I29" s="1103"/>
    </row>
    <row r="30" spans="1:9" s="1595" customFormat="1" ht="19.5" customHeight="1">
      <c r="A30" s="3461"/>
      <c r="B30" s="3461"/>
      <c r="C30" s="1129" t="s">
        <v>1465</v>
      </c>
      <c r="D30" s="1130"/>
      <c r="E30" s="1152">
        <v>0.9</v>
      </c>
      <c r="F30" s="1131" t="s">
        <v>1466</v>
      </c>
      <c r="G30" s="1132"/>
      <c r="H30" s="1103"/>
      <c r="I30" s="1103"/>
    </row>
    <row r="31" spans="1:9" s="1595" customFormat="1" ht="19.5" customHeight="1">
      <c r="A31" s="3461"/>
      <c r="B31" s="3461"/>
      <c r="C31" s="1129" t="s">
        <v>1467</v>
      </c>
      <c r="D31" s="1130"/>
      <c r="E31" s="1152">
        <v>0.8</v>
      </c>
      <c r="F31" s="1131" t="s">
        <v>1468</v>
      </c>
      <c r="G31" s="1132"/>
      <c r="H31" s="1103"/>
      <c r="I31" s="1103"/>
    </row>
    <row r="32" spans="1:9" s="1595" customFormat="1" ht="19.5" customHeight="1">
      <c r="A32" s="3461"/>
      <c r="B32" s="3461"/>
      <c r="C32" s="1129" t="s">
        <v>1469</v>
      </c>
      <c r="D32" s="1130"/>
      <c r="E32" s="1152">
        <v>0.8</v>
      </c>
      <c r="F32" s="1131" t="s">
        <v>1470</v>
      </c>
      <c r="G32" s="1132"/>
      <c r="H32" s="1103"/>
      <c r="I32" s="1103"/>
    </row>
    <row r="33" spans="1:9" s="1595" customFormat="1" ht="19.5" customHeight="1">
      <c r="A33" s="3461" t="s">
        <v>1471</v>
      </c>
      <c r="B33" s="1152" t="s">
        <v>1443</v>
      </c>
      <c r="C33" s="1129" t="s">
        <v>1472</v>
      </c>
      <c r="D33" s="1130"/>
      <c r="E33" s="1152">
        <v>1</v>
      </c>
      <c r="F33" s="1131" t="s">
        <v>1473</v>
      </c>
      <c r="G33" s="1132"/>
      <c r="H33" s="1103"/>
      <c r="I33" s="1103"/>
    </row>
    <row r="34" spans="1:9" s="1595" customFormat="1" ht="19.5" customHeight="1">
      <c r="A34" s="3461"/>
      <c r="B34" s="1152" t="s">
        <v>1446</v>
      </c>
      <c r="C34" s="1129" t="s">
        <v>1474</v>
      </c>
      <c r="D34" s="1130"/>
      <c r="E34" s="1152">
        <v>1.5</v>
      </c>
      <c r="F34" s="1131" t="s">
        <v>1475</v>
      </c>
      <c r="G34" s="1132"/>
      <c r="H34" s="1103"/>
      <c r="I34" s="1103"/>
    </row>
    <row r="35" spans="1:9" s="1595" customFormat="1" ht="19.5" customHeight="1">
      <c r="A35" s="3461" t="s">
        <v>1429</v>
      </c>
      <c r="B35" s="1152" t="s">
        <v>1443</v>
      </c>
      <c r="C35" s="1129" t="s">
        <v>1476</v>
      </c>
      <c r="D35" s="1130"/>
      <c r="E35" s="1152">
        <v>1</v>
      </c>
      <c r="F35" s="1131" t="s">
        <v>1477</v>
      </c>
      <c r="G35" s="1132"/>
      <c r="H35" s="1103"/>
      <c r="I35" s="1103"/>
    </row>
    <row r="36" spans="1:9" s="1595" customFormat="1" ht="19.5" customHeight="1">
      <c r="A36" s="3461"/>
      <c r="B36" s="3461" t="s">
        <v>1446</v>
      </c>
      <c r="C36" s="1129" t="s">
        <v>1478</v>
      </c>
      <c r="D36" s="1130"/>
      <c r="E36" s="1152">
        <v>1</v>
      </c>
      <c r="F36" s="1131" t="s">
        <v>1479</v>
      </c>
      <c r="G36" s="1132"/>
      <c r="H36" s="1103"/>
      <c r="I36" s="1103"/>
    </row>
    <row r="37" spans="1:9" s="1595" customFormat="1" ht="19.5" customHeight="1">
      <c r="A37" s="3461"/>
      <c r="B37" s="3461"/>
      <c r="C37" s="1129" t="s">
        <v>1480</v>
      </c>
      <c r="D37" s="1130"/>
      <c r="E37" s="1152">
        <v>1.5</v>
      </c>
      <c r="F37" s="1131" t="s">
        <v>1481</v>
      </c>
      <c r="G37" s="1132"/>
      <c r="H37" s="1103"/>
      <c r="I37" s="1103"/>
    </row>
    <row r="38" spans="1:9" s="1595" customFormat="1" ht="19.5" customHeight="1">
      <c r="A38" s="3461"/>
      <c r="B38" s="3461"/>
      <c r="C38" s="1129" t="s">
        <v>1482</v>
      </c>
      <c r="D38" s="1130"/>
      <c r="E38" s="1152">
        <v>1</v>
      </c>
      <c r="F38" s="1131" t="s">
        <v>1483</v>
      </c>
      <c r="G38" s="1132"/>
      <c r="H38" s="1103"/>
      <c r="I38" s="1103"/>
    </row>
    <row r="39" spans="1:9" s="1595" customFormat="1" ht="19.5" customHeight="1">
      <c r="A39" s="3461"/>
      <c r="B39" s="3461"/>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36">
      <c r="A61" s="1152">
        <v>1</v>
      </c>
      <c r="B61" s="3461" t="s">
        <v>1498</v>
      </c>
      <c r="C61" s="1066" t="s">
        <v>1499</v>
      </c>
      <c r="D61" s="1066" t="s">
        <v>1500</v>
      </c>
      <c r="E61" s="1137">
        <v>0.5</v>
      </c>
      <c r="F61" s="1152">
        <v>80</v>
      </c>
      <c r="H61" s="1103">
        <f>SUMIF(C59:C119,基准地价!C8,E59:E119)</f>
        <v>0</v>
      </c>
    </row>
    <row r="62" spans="1:8" s="1103" customFormat="1" ht="36">
      <c r="A62" s="1152">
        <v>2</v>
      </c>
      <c r="B62" s="3461"/>
      <c r="C62" s="1066" t="s">
        <v>1501</v>
      </c>
      <c r="D62" s="1066" t="s">
        <v>1502</v>
      </c>
      <c r="E62" s="1137">
        <v>0.5</v>
      </c>
      <c r="F62" s="1152">
        <v>80</v>
      </c>
    </row>
    <row r="63" spans="1:8" s="1103" customFormat="1" ht="48">
      <c r="A63" s="1152">
        <v>3</v>
      </c>
      <c r="B63" s="3461"/>
      <c r="C63" s="1066" t="s">
        <v>1503</v>
      </c>
      <c r="D63" s="1066" t="s">
        <v>1504</v>
      </c>
      <c r="E63" s="1137">
        <v>0.5</v>
      </c>
      <c r="F63" s="1152">
        <v>80</v>
      </c>
    </row>
    <row r="64" spans="1:8" s="1103" customFormat="1" ht="48">
      <c r="A64" s="1152">
        <v>4</v>
      </c>
      <c r="B64" s="3461"/>
      <c r="C64" s="1066" t="s">
        <v>1505</v>
      </c>
      <c r="D64" s="1066" t="s">
        <v>1506</v>
      </c>
      <c r="E64" s="1137">
        <v>0.4</v>
      </c>
      <c r="F64" s="1152">
        <v>60</v>
      </c>
    </row>
    <row r="65" spans="1:6" s="1103" customFormat="1" ht="48">
      <c r="A65" s="1152">
        <v>5</v>
      </c>
      <c r="B65" s="3461"/>
      <c r="C65" s="1066" t="s">
        <v>1507</v>
      </c>
      <c r="D65" s="1066" t="s">
        <v>1508</v>
      </c>
      <c r="E65" s="1137">
        <v>0.2</v>
      </c>
      <c r="F65" s="1152">
        <v>30</v>
      </c>
    </row>
    <row r="66" spans="1:6" s="1103" customFormat="1" ht="48">
      <c r="A66" s="1152">
        <v>6</v>
      </c>
      <c r="B66" s="3461"/>
      <c r="C66" s="1066" t="s">
        <v>1509</v>
      </c>
      <c r="D66" s="1066" t="s">
        <v>1510</v>
      </c>
      <c r="E66" s="1137">
        <v>0.3</v>
      </c>
      <c r="F66" s="1152">
        <v>50</v>
      </c>
    </row>
    <row r="67" spans="1:6" s="1103" customFormat="1" ht="48">
      <c r="A67" s="1152">
        <v>7</v>
      </c>
      <c r="B67" s="3461"/>
      <c r="C67" s="1066" t="s">
        <v>1511</v>
      </c>
      <c r="D67" s="1066" t="s">
        <v>1512</v>
      </c>
      <c r="E67" s="1137">
        <v>0.2</v>
      </c>
      <c r="F67" s="1152">
        <v>30</v>
      </c>
    </row>
    <row r="68" spans="1:6" s="1103" customFormat="1" ht="48">
      <c r="A68" s="1152">
        <v>8</v>
      </c>
      <c r="B68" s="3461"/>
      <c r="C68" s="1066" t="s">
        <v>1513</v>
      </c>
      <c r="D68" s="1066" t="s">
        <v>1514</v>
      </c>
      <c r="E68" s="1137">
        <v>0.2</v>
      </c>
      <c r="F68" s="1152">
        <v>30</v>
      </c>
    </row>
    <row r="69" spans="1:6" s="1103" customFormat="1" ht="48">
      <c r="A69" s="1152">
        <v>9</v>
      </c>
      <c r="B69" s="3461"/>
      <c r="C69" s="1066" t="s">
        <v>1515</v>
      </c>
      <c r="D69" s="1066" t="s">
        <v>1516</v>
      </c>
      <c r="E69" s="1137">
        <v>0.2</v>
      </c>
      <c r="F69" s="1152">
        <v>30</v>
      </c>
    </row>
    <row r="70" spans="1:6" s="1103" customFormat="1" ht="60">
      <c r="A70" s="1152">
        <v>10</v>
      </c>
      <c r="B70" s="3461"/>
      <c r="C70" s="1066" t="s">
        <v>1517</v>
      </c>
      <c r="D70" s="1066" t="s">
        <v>1518</v>
      </c>
      <c r="E70" s="1137">
        <v>0.2</v>
      </c>
      <c r="F70" s="1152">
        <v>30</v>
      </c>
    </row>
    <row r="71" spans="1:6" s="1103" customFormat="1" ht="60">
      <c r="A71" s="1152">
        <v>11</v>
      </c>
      <c r="B71" s="3461"/>
      <c r="C71" s="1066" t="s">
        <v>1519</v>
      </c>
      <c r="D71" s="1066" t="s">
        <v>1520</v>
      </c>
      <c r="E71" s="1137">
        <v>0.2</v>
      </c>
      <c r="F71" s="1152">
        <v>30</v>
      </c>
    </row>
    <row r="72" spans="1:6" s="1103" customFormat="1" ht="36">
      <c r="A72" s="1152">
        <v>12</v>
      </c>
      <c r="B72" s="3461"/>
      <c r="C72" s="1066" t="s">
        <v>1521</v>
      </c>
      <c r="D72" s="1066" t="s">
        <v>1522</v>
      </c>
      <c r="E72" s="1137">
        <v>0.5</v>
      </c>
      <c r="F72" s="1152">
        <v>80</v>
      </c>
    </row>
    <row r="73" spans="1:6" s="1103" customFormat="1" ht="36">
      <c r="A73" s="1152">
        <v>13</v>
      </c>
      <c r="B73" s="3461"/>
      <c r="C73" s="1066" t="s">
        <v>1523</v>
      </c>
      <c r="D73" s="1066" t="s">
        <v>1524</v>
      </c>
      <c r="E73" s="1137">
        <v>0.4</v>
      </c>
      <c r="F73" s="1152">
        <v>60</v>
      </c>
    </row>
    <row r="74" spans="1:6" s="1103" customFormat="1" ht="36">
      <c r="A74" s="1152">
        <v>14</v>
      </c>
      <c r="B74" s="3461"/>
      <c r="C74" s="1066" t="s">
        <v>1525</v>
      </c>
      <c r="D74" s="1066" t="s">
        <v>1526</v>
      </c>
      <c r="E74" s="1137">
        <v>0.2</v>
      </c>
      <c r="F74" s="1152">
        <v>30</v>
      </c>
    </row>
    <row r="75" spans="1:6" s="1103" customFormat="1" ht="36">
      <c r="A75" s="1152">
        <v>15</v>
      </c>
      <c r="B75" s="3461"/>
      <c r="C75" s="1066" t="s">
        <v>1527</v>
      </c>
      <c r="D75" s="1066" t="s">
        <v>1528</v>
      </c>
      <c r="E75" s="1137">
        <v>0.2</v>
      </c>
      <c r="F75" s="1152">
        <v>30</v>
      </c>
    </row>
    <row r="76" spans="1:6" s="1103" customFormat="1" ht="36">
      <c r="A76" s="1152">
        <v>16</v>
      </c>
      <c r="B76" s="3461" t="s">
        <v>1529</v>
      </c>
      <c r="C76" s="1066" t="s">
        <v>1530</v>
      </c>
      <c r="D76" s="1066" t="s">
        <v>1531</v>
      </c>
      <c r="E76" s="1137">
        <v>0.5</v>
      </c>
      <c r="F76" s="1152">
        <v>80</v>
      </c>
    </row>
    <row r="77" spans="1:6" s="1103" customFormat="1" ht="36">
      <c r="A77" s="1152">
        <v>17</v>
      </c>
      <c r="B77" s="3461"/>
      <c r="C77" s="1066" t="s">
        <v>1532</v>
      </c>
      <c r="D77" s="1066" t="s">
        <v>1533</v>
      </c>
      <c r="E77" s="1137">
        <v>0.5</v>
      </c>
      <c r="F77" s="1152">
        <v>80</v>
      </c>
    </row>
    <row r="78" spans="1:6" s="1103" customFormat="1" ht="36">
      <c r="A78" s="1152">
        <v>18</v>
      </c>
      <c r="B78" s="3461"/>
      <c r="C78" s="1066" t="s">
        <v>1534</v>
      </c>
      <c r="D78" s="1066" t="s">
        <v>1535</v>
      </c>
      <c r="E78" s="1137">
        <v>0.2</v>
      </c>
      <c r="F78" s="1152">
        <v>30</v>
      </c>
    </row>
    <row r="79" spans="1:6" s="1103" customFormat="1" ht="36">
      <c r="A79" s="1152">
        <v>19</v>
      </c>
      <c r="B79" s="3461"/>
      <c r="C79" s="1066" t="s">
        <v>1536</v>
      </c>
      <c r="D79" s="1066" t="s">
        <v>1537</v>
      </c>
      <c r="E79" s="1137">
        <v>0.5</v>
      </c>
      <c r="F79" s="1152">
        <v>80</v>
      </c>
    </row>
    <row r="80" spans="1:6" s="1103" customFormat="1" ht="36">
      <c r="A80" s="1152">
        <v>20</v>
      </c>
      <c r="B80" s="3461"/>
      <c r="C80" s="1066" t="s">
        <v>1538</v>
      </c>
      <c r="D80" s="1066" t="s">
        <v>1539</v>
      </c>
      <c r="E80" s="1137">
        <v>0.2</v>
      </c>
      <c r="F80" s="1152">
        <v>30</v>
      </c>
    </row>
    <row r="81" spans="1:6" s="1103" customFormat="1" ht="36">
      <c r="A81" s="1152">
        <v>21</v>
      </c>
      <c r="B81" s="3461"/>
      <c r="C81" s="1066" t="s">
        <v>1540</v>
      </c>
      <c r="D81" s="1066" t="s">
        <v>1541</v>
      </c>
      <c r="E81" s="1137">
        <v>0.2</v>
      </c>
      <c r="F81" s="1152">
        <v>30</v>
      </c>
    </row>
    <row r="82" spans="1:6" s="1103" customFormat="1" ht="60">
      <c r="A82" s="1152">
        <v>22</v>
      </c>
      <c r="B82" s="3461"/>
      <c r="C82" s="1066" t="s">
        <v>1542</v>
      </c>
      <c r="D82" s="1066" t="s">
        <v>1543</v>
      </c>
      <c r="E82" s="1137">
        <v>0.2</v>
      </c>
      <c r="F82" s="1152">
        <v>30</v>
      </c>
    </row>
    <row r="83" spans="1:6" s="1103" customFormat="1" ht="60">
      <c r="A83" s="1152">
        <v>23</v>
      </c>
      <c r="B83" s="3461"/>
      <c r="C83" s="1066" t="s">
        <v>1544</v>
      </c>
      <c r="D83" s="1066" t="s">
        <v>1545</v>
      </c>
      <c r="E83" s="1137">
        <v>0.2</v>
      </c>
      <c r="F83" s="1152">
        <v>30</v>
      </c>
    </row>
    <row r="84" spans="1:6" s="1103" customFormat="1" ht="48">
      <c r="A84" s="1152">
        <v>24</v>
      </c>
      <c r="B84" s="3461"/>
      <c r="C84" s="1066" t="s">
        <v>1546</v>
      </c>
      <c r="D84" s="1066" t="s">
        <v>1547</v>
      </c>
      <c r="E84" s="1137">
        <v>0.2</v>
      </c>
      <c r="F84" s="1152">
        <v>30</v>
      </c>
    </row>
    <row r="85" spans="1:6" s="1103" customFormat="1" ht="36">
      <c r="A85" s="1152">
        <v>25</v>
      </c>
      <c r="B85" s="3461"/>
      <c r="C85" s="1066" t="s">
        <v>1548</v>
      </c>
      <c r="D85" s="1066" t="s">
        <v>1549</v>
      </c>
      <c r="E85" s="1137">
        <v>0.5</v>
      </c>
      <c r="F85" s="1152">
        <v>80</v>
      </c>
    </row>
    <row r="86" spans="1:6" s="1103" customFormat="1" ht="36">
      <c r="A86" s="1152">
        <v>26</v>
      </c>
      <c r="B86" s="3461"/>
      <c r="C86" s="1066" t="s">
        <v>1550</v>
      </c>
      <c r="D86" s="1066" t="s">
        <v>1551</v>
      </c>
      <c r="E86" s="1137">
        <v>0.2</v>
      </c>
      <c r="F86" s="1152">
        <v>30</v>
      </c>
    </row>
    <row r="87" spans="1:6" s="1103" customFormat="1" ht="36">
      <c r="A87" s="1152">
        <v>27</v>
      </c>
      <c r="B87" s="3461"/>
      <c r="C87" s="1066" t="s">
        <v>1552</v>
      </c>
      <c r="D87" s="1066" t="s">
        <v>1553</v>
      </c>
      <c r="E87" s="1137">
        <v>0.2</v>
      </c>
      <c r="F87" s="1152">
        <v>30</v>
      </c>
    </row>
    <row r="88" spans="1:6" s="1103" customFormat="1" ht="36">
      <c r="A88" s="1152">
        <v>28</v>
      </c>
      <c r="B88" s="3461"/>
      <c r="C88" s="1066" t="s">
        <v>1554</v>
      </c>
      <c r="D88" s="1066" t="s">
        <v>1555</v>
      </c>
      <c r="E88" s="1137">
        <v>0.2</v>
      </c>
      <c r="F88" s="1152">
        <v>30</v>
      </c>
    </row>
    <row r="89" spans="1:6" s="1103" customFormat="1" ht="36">
      <c r="A89" s="1152">
        <v>29</v>
      </c>
      <c r="B89" s="3461"/>
      <c r="C89" s="1066" t="s">
        <v>1556</v>
      </c>
      <c r="D89" s="1066" t="s">
        <v>1557</v>
      </c>
      <c r="E89" s="1137">
        <v>0.2</v>
      </c>
      <c r="F89" s="1152">
        <v>30</v>
      </c>
    </row>
    <row r="90" spans="1:6" s="1103" customFormat="1" ht="36">
      <c r="A90" s="1152">
        <v>30</v>
      </c>
      <c r="B90" s="3461"/>
      <c r="C90" s="1066" t="s">
        <v>1558</v>
      </c>
      <c r="D90" s="1066" t="s">
        <v>1559</v>
      </c>
      <c r="E90" s="1137">
        <v>0.2</v>
      </c>
      <c r="F90" s="1152">
        <v>30</v>
      </c>
    </row>
    <row r="91" spans="1:6" s="1103" customFormat="1" ht="48">
      <c r="A91" s="1152">
        <v>31</v>
      </c>
      <c r="B91" s="3461"/>
      <c r="C91" s="1066" t="s">
        <v>1560</v>
      </c>
      <c r="D91" s="1066" t="s">
        <v>1561</v>
      </c>
      <c r="E91" s="1137">
        <v>0.2</v>
      </c>
      <c r="F91" s="1152">
        <v>30</v>
      </c>
    </row>
    <row r="92" spans="1:6" s="1103" customFormat="1" ht="36">
      <c r="A92" s="1152">
        <v>32</v>
      </c>
      <c r="B92" s="3461" t="s">
        <v>1562</v>
      </c>
      <c r="C92" s="1152" t="s">
        <v>1563</v>
      </c>
      <c r="D92" s="1066" t="s">
        <v>1564</v>
      </c>
      <c r="E92" s="1137">
        <v>0.2</v>
      </c>
      <c r="F92" s="1152">
        <v>30</v>
      </c>
    </row>
    <row r="93" spans="1:6" s="1103" customFormat="1" ht="36">
      <c r="A93" s="1152">
        <v>33</v>
      </c>
      <c r="B93" s="3461"/>
      <c r="C93" s="1152" t="s">
        <v>1565</v>
      </c>
      <c r="D93" s="1066" t="s">
        <v>1566</v>
      </c>
      <c r="E93" s="1137">
        <v>0.2</v>
      </c>
      <c r="F93" s="1152">
        <v>30</v>
      </c>
    </row>
    <row r="94" spans="1:6" s="1103" customFormat="1" ht="60">
      <c r="A94" s="1152">
        <v>34</v>
      </c>
      <c r="B94" s="3461"/>
      <c r="C94" s="1152" t="s">
        <v>1567</v>
      </c>
      <c r="D94" s="1066" t="s">
        <v>1568</v>
      </c>
      <c r="E94" s="1137">
        <v>0.2</v>
      </c>
      <c r="F94" s="1152">
        <v>30</v>
      </c>
    </row>
    <row r="95" spans="1:6" s="1103" customFormat="1" ht="48">
      <c r="A95" s="1152">
        <v>35</v>
      </c>
      <c r="B95" s="3461"/>
      <c r="C95" s="1152" t="s">
        <v>1569</v>
      </c>
      <c r="D95" s="1066" t="s">
        <v>1570</v>
      </c>
      <c r="E95" s="1137">
        <v>0.2</v>
      </c>
      <c r="F95" s="1152">
        <v>30</v>
      </c>
    </row>
    <row r="96" spans="1:6" s="1103" customFormat="1" ht="72">
      <c r="A96" s="1152">
        <v>36</v>
      </c>
      <c r="B96" s="3461"/>
      <c r="C96" s="1066" t="s">
        <v>1571</v>
      </c>
      <c r="D96" s="1066" t="s">
        <v>1572</v>
      </c>
      <c r="E96" s="1137">
        <v>0.2</v>
      </c>
      <c r="F96" s="1152">
        <v>30</v>
      </c>
    </row>
    <row r="97" spans="1:6" s="1103" customFormat="1" ht="36">
      <c r="A97" s="1152">
        <v>37</v>
      </c>
      <c r="B97" s="3461"/>
      <c r="C97" s="1152" t="s">
        <v>1573</v>
      </c>
      <c r="D97" s="1066" t="s">
        <v>1574</v>
      </c>
      <c r="E97" s="1137">
        <v>0.2</v>
      </c>
      <c r="F97" s="1152">
        <v>30</v>
      </c>
    </row>
    <row r="98" spans="1:6" s="1103" customFormat="1" ht="36">
      <c r="A98" s="1152">
        <v>38</v>
      </c>
      <c r="B98" s="3461"/>
      <c r="C98" s="1152" t="s">
        <v>1575</v>
      </c>
      <c r="D98" s="1066" t="s">
        <v>1576</v>
      </c>
      <c r="E98" s="1137">
        <v>0.2</v>
      </c>
      <c r="F98" s="1152">
        <v>30</v>
      </c>
    </row>
    <row r="99" spans="1:6" s="1103" customFormat="1" ht="36">
      <c r="A99" s="1152">
        <v>39</v>
      </c>
      <c r="B99" s="3461" t="s">
        <v>1577</v>
      </c>
      <c r="C99" s="1152" t="s">
        <v>1578</v>
      </c>
      <c r="D99" s="1066" t="s">
        <v>1579</v>
      </c>
      <c r="E99" s="1137">
        <v>0.3</v>
      </c>
      <c r="F99" s="1152">
        <v>50</v>
      </c>
    </row>
    <row r="100" spans="1:6" s="1103" customFormat="1" ht="36">
      <c r="A100" s="1152">
        <v>40</v>
      </c>
      <c r="B100" s="3461"/>
      <c r="C100" s="1152" t="s">
        <v>1580</v>
      </c>
      <c r="D100" s="1066" t="s">
        <v>1581</v>
      </c>
      <c r="E100" s="1137">
        <v>0.2</v>
      </c>
      <c r="F100" s="1152">
        <v>30</v>
      </c>
    </row>
    <row r="101" spans="1:6" s="1103" customFormat="1" ht="36">
      <c r="A101" s="1152">
        <v>41</v>
      </c>
      <c r="B101" s="3461"/>
      <c r="C101" s="1152" t="s">
        <v>1582</v>
      </c>
      <c r="D101" s="1066" t="s">
        <v>1579</v>
      </c>
      <c r="E101" s="1137">
        <v>0.2</v>
      </c>
      <c r="F101" s="1152">
        <v>30</v>
      </c>
    </row>
    <row r="102" spans="1:6" s="1103" customFormat="1" ht="72">
      <c r="A102" s="1152">
        <v>42</v>
      </c>
      <c r="B102" s="1152" t="s">
        <v>1583</v>
      </c>
      <c r="C102" s="1066" t="s">
        <v>1584</v>
      </c>
      <c r="D102" s="1066" t="s">
        <v>1585</v>
      </c>
      <c r="E102" s="1137">
        <v>0.2</v>
      </c>
      <c r="F102" s="1152">
        <v>30</v>
      </c>
    </row>
    <row r="103" spans="1:6" s="1103" customFormat="1" ht="36">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48">
      <c r="A105" s="1152">
        <v>45</v>
      </c>
      <c r="B105" s="3461" t="s">
        <v>1592</v>
      </c>
      <c r="C105" s="1152" t="s">
        <v>1593</v>
      </c>
      <c r="D105" s="1066" t="s">
        <v>1594</v>
      </c>
      <c r="E105" s="1137">
        <v>0.2</v>
      </c>
      <c r="F105" s="1152">
        <v>30</v>
      </c>
    </row>
    <row r="106" spans="1:6" s="1103" customFormat="1" ht="48">
      <c r="A106" s="1152">
        <v>46</v>
      </c>
      <c r="B106" s="3461"/>
      <c r="C106" s="1152" t="s">
        <v>1595</v>
      </c>
      <c r="D106" s="1066" t="s">
        <v>1596</v>
      </c>
      <c r="E106" s="1137">
        <v>0.2</v>
      </c>
      <c r="F106" s="1152">
        <v>30</v>
      </c>
    </row>
    <row r="107" spans="1:6" s="1103" customFormat="1" ht="36">
      <c r="A107" s="1152">
        <v>47</v>
      </c>
      <c r="B107" s="3461" t="s">
        <v>1597</v>
      </c>
      <c r="C107" s="1152" t="s">
        <v>1598</v>
      </c>
      <c r="D107" s="1066" t="s">
        <v>1599</v>
      </c>
      <c r="E107" s="1137">
        <v>0.3</v>
      </c>
      <c r="F107" s="1152">
        <v>50</v>
      </c>
    </row>
    <row r="108" spans="1:6" s="1103" customFormat="1" ht="48">
      <c r="A108" s="1152">
        <v>48</v>
      </c>
      <c r="B108" s="3461"/>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48">
      <c r="A110" s="1152">
        <v>50</v>
      </c>
      <c r="B110" s="1152" t="s">
        <v>1605</v>
      </c>
      <c r="C110" s="1152" t="s">
        <v>1606</v>
      </c>
      <c r="D110" s="1066" t="s">
        <v>1607</v>
      </c>
      <c r="E110" s="1137">
        <v>0.2</v>
      </c>
      <c r="F110" s="1152">
        <v>30</v>
      </c>
    </row>
    <row r="111" spans="1:6" s="1103" customFormat="1" ht="48">
      <c r="A111" s="1152">
        <v>51</v>
      </c>
      <c r="B111" s="3461" t="s">
        <v>1608</v>
      </c>
      <c r="C111" s="1152" t="s">
        <v>1609</v>
      </c>
      <c r="D111" s="1066" t="s">
        <v>1610</v>
      </c>
      <c r="E111" s="1137">
        <v>0.2</v>
      </c>
      <c r="F111" s="1152">
        <v>30</v>
      </c>
    </row>
    <row r="112" spans="1:6" s="1103" customFormat="1" ht="36">
      <c r="A112" s="1152">
        <v>52</v>
      </c>
      <c r="B112" s="3461"/>
      <c r="C112" s="1152" t="s">
        <v>1611</v>
      </c>
      <c r="D112" s="1066" t="s">
        <v>1612</v>
      </c>
      <c r="E112" s="1137">
        <v>0.2</v>
      </c>
      <c r="F112" s="1152">
        <v>30</v>
      </c>
    </row>
    <row r="113" spans="1:14" s="1103" customFormat="1" ht="36">
      <c r="A113" s="1152">
        <v>53</v>
      </c>
      <c r="B113" s="3461"/>
      <c r="C113" s="1152" t="s">
        <v>1613</v>
      </c>
      <c r="D113" s="1066" t="s">
        <v>1614</v>
      </c>
      <c r="E113" s="1137">
        <v>0.2</v>
      </c>
      <c r="F113" s="1152">
        <v>30</v>
      </c>
    </row>
    <row r="114" spans="1:14" ht="48">
      <c r="A114" s="1152">
        <v>54</v>
      </c>
      <c r="B114" s="1152" t="s">
        <v>1615</v>
      </c>
      <c r="C114" s="1152" t="s">
        <v>1616</v>
      </c>
      <c r="D114" s="1066" t="s">
        <v>1617</v>
      </c>
      <c r="E114" s="1137">
        <v>0.2</v>
      </c>
      <c r="F114" s="1152">
        <v>30</v>
      </c>
    </row>
    <row r="115" spans="1:14" ht="36">
      <c r="A115" s="1152">
        <v>55</v>
      </c>
      <c r="B115" s="1152" t="s">
        <v>1618</v>
      </c>
      <c r="C115" s="1152" t="s">
        <v>1619</v>
      </c>
      <c r="D115" s="1066" t="s">
        <v>1620</v>
      </c>
      <c r="E115" s="1137">
        <v>0.2</v>
      </c>
      <c r="F115" s="1152">
        <v>30</v>
      </c>
    </row>
    <row r="116" spans="1:14" ht="36">
      <c r="A116" s="1152">
        <v>56</v>
      </c>
      <c r="B116" s="3461" t="s">
        <v>1621</v>
      </c>
      <c r="C116" s="1152" t="s">
        <v>1622</v>
      </c>
      <c r="D116" s="1066" t="s">
        <v>1623</v>
      </c>
      <c r="E116" s="1137">
        <v>0.2</v>
      </c>
      <c r="F116" s="1152">
        <v>30</v>
      </c>
    </row>
    <row r="117" spans="1:14" ht="36">
      <c r="A117" s="1152">
        <v>57</v>
      </c>
      <c r="B117" s="3461"/>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4.4">
      <c r="A119" s="1152"/>
      <c r="B119" s="1152"/>
      <c r="C119" s="1152"/>
      <c r="D119" s="1152"/>
      <c r="E119" s="1137"/>
      <c r="F119" s="1152"/>
    </row>
    <row r="121" spans="1:14" ht="19.5" customHeight="1">
      <c r="A121" s="3460" t="s">
        <v>1630</v>
      </c>
      <c r="B121" s="3460"/>
      <c r="C121" s="3460"/>
      <c r="D121" s="3460"/>
      <c r="E121" s="3460"/>
      <c r="F121" s="3460"/>
      <c r="G121" s="3460"/>
      <c r="H121" s="3460"/>
      <c r="I121" s="3460"/>
      <c r="J121" s="346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73" t="s">
        <v>1036</v>
      </c>
      <c r="B1" s="3473"/>
      <c r="C1" s="3473"/>
      <c r="D1" s="3473"/>
      <c r="E1" s="3473"/>
      <c r="F1" s="3473"/>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5" thickBot="1">
      <c r="A2" s="3474" t="s">
        <v>1049</v>
      </c>
      <c r="B2" s="3474"/>
      <c r="C2" s="3474"/>
      <c r="D2" s="3474"/>
      <c r="E2" s="3474"/>
      <c r="F2" s="3474"/>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75"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76"/>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900</v>
      </c>
      <c r="B103" s="1008"/>
      <c r="C103" s="1008"/>
      <c r="D103" s="1008"/>
      <c r="E103" s="1008"/>
      <c r="F103" s="1008"/>
      <c r="G103" s="1008"/>
      <c r="H103" s="1008"/>
      <c r="I103" s="1008"/>
      <c r="J103" s="1008"/>
      <c r="K103" s="1008"/>
      <c r="L103" s="1008"/>
      <c r="M103" s="1008"/>
      <c r="N103" s="1008"/>
    </row>
    <row r="104" spans="1:14" ht="15.6">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77" t="s">
        <v>2078</v>
      </c>
      <c r="B1" s="3477"/>
    </row>
    <row r="2" spans="1:6" ht="15" thickBot="1">
      <c r="A2" s="1848"/>
      <c r="B2" s="1848"/>
    </row>
    <row r="3" spans="1:6" ht="15" thickBot="1">
      <c r="A3" s="1848"/>
      <c r="B3" s="1848"/>
      <c r="C3" s="1849" t="s">
        <v>2079</v>
      </c>
      <c r="D3" s="1849" t="s">
        <v>2080</v>
      </c>
      <c r="E3" s="1849" t="s">
        <v>2081</v>
      </c>
      <c r="F3" s="1849" t="s">
        <v>2082</v>
      </c>
    </row>
    <row r="4" spans="1:6" ht="15" thickBot="1">
      <c r="A4" s="1850" t="s">
        <v>2083</v>
      </c>
      <c r="B4" s="1851" t="s">
        <v>2084</v>
      </c>
      <c r="C4" s="1849"/>
      <c r="D4" s="1849"/>
      <c r="E4" s="1849"/>
      <c r="F4" s="1849"/>
    </row>
    <row r="5" spans="1:6" ht="15" thickBot="1">
      <c r="A5" s="1852" t="s">
        <v>2085</v>
      </c>
      <c r="B5" s="1853" t="s">
        <v>2086</v>
      </c>
      <c r="C5" s="1854">
        <v>8.8999999999999996E-2</v>
      </c>
      <c r="D5" s="1854">
        <v>7.3999999999999996E-2</v>
      </c>
      <c r="E5" s="1854">
        <v>7.4999999999999997E-2</v>
      </c>
      <c r="F5" s="1855">
        <v>0.1</v>
      </c>
    </row>
    <row r="6" spans="1:6" ht="15" thickBot="1">
      <c r="A6" s="1852" t="s">
        <v>1093</v>
      </c>
      <c r="B6" s="1856" t="s">
        <v>2087</v>
      </c>
      <c r="C6" s="1857">
        <v>0.1</v>
      </c>
      <c r="D6" s="1857">
        <v>9.0999999999999998E-2</v>
      </c>
      <c r="E6" s="1857">
        <v>9.0999999999999998E-2</v>
      </c>
      <c r="F6" s="1858">
        <v>0.1</v>
      </c>
    </row>
    <row r="7" spans="1:6" ht="15" thickBot="1">
      <c r="A7" s="1852" t="s">
        <v>1093</v>
      </c>
      <c r="B7" s="1859" t="s">
        <v>1081</v>
      </c>
      <c r="C7" s="1857">
        <v>8.5999999999999993E-2</v>
      </c>
      <c r="D7" s="1857">
        <v>9.6000000000000002E-2</v>
      </c>
      <c r="E7" s="1857">
        <v>7.5999999999999998E-2</v>
      </c>
      <c r="F7" s="1858">
        <v>0.1</v>
      </c>
    </row>
    <row r="8" spans="1:6" ht="15" thickBot="1">
      <c r="A8" s="1852" t="s">
        <v>1093</v>
      </c>
      <c r="B8" s="1856" t="s">
        <v>1094</v>
      </c>
      <c r="C8" s="1857">
        <v>9.9000000000000005E-2</v>
      </c>
      <c r="D8" s="1857">
        <v>9.8000000000000004E-2</v>
      </c>
      <c r="E8" s="1857">
        <v>9.8000000000000004E-2</v>
      </c>
      <c r="F8" s="1858">
        <v>0.1</v>
      </c>
    </row>
    <row r="9" spans="1:6" ht="15" thickBot="1">
      <c r="A9" s="1860" t="s">
        <v>1093</v>
      </c>
      <c r="B9" s="1861" t="s">
        <v>1108</v>
      </c>
      <c r="C9" s="1862">
        <v>0.05</v>
      </c>
      <c r="D9" s="1863"/>
      <c r="E9" s="1863"/>
      <c r="F9" s="1864"/>
    </row>
    <row r="10" spans="1:6" ht="15" thickBot="1">
      <c r="A10" s="1852" t="s">
        <v>1152</v>
      </c>
      <c r="B10" s="1853" t="s">
        <v>2088</v>
      </c>
      <c r="C10" s="1854">
        <v>8.8999999999999996E-2</v>
      </c>
      <c r="D10" s="1854">
        <v>7.2999999999999995E-2</v>
      </c>
      <c r="E10" s="1854">
        <v>8.2000000000000003E-2</v>
      </c>
      <c r="F10" s="1855">
        <v>0.1</v>
      </c>
    </row>
    <row r="11" spans="1:6" ht="15" thickBot="1">
      <c r="A11" s="1852" t="s">
        <v>1152</v>
      </c>
      <c r="B11" s="1859" t="s">
        <v>1068</v>
      </c>
      <c r="C11" s="1857">
        <v>8.8999999999999996E-2</v>
      </c>
      <c r="D11" s="1857">
        <v>7.2999999999999995E-2</v>
      </c>
      <c r="E11" s="1857">
        <v>8.2000000000000003E-2</v>
      </c>
      <c r="F11" s="1858">
        <v>0.1</v>
      </c>
    </row>
    <row r="12" spans="1:6" ht="15" thickBot="1">
      <c r="A12" s="1852" t="s">
        <v>1152</v>
      </c>
      <c r="B12" s="1859" t="s">
        <v>1082</v>
      </c>
      <c r="C12" s="1857">
        <v>6.0999999999999999E-2</v>
      </c>
      <c r="D12" s="1857">
        <v>7.0999999999999994E-2</v>
      </c>
      <c r="E12" s="1857">
        <v>9.6000000000000002E-2</v>
      </c>
      <c r="F12" s="1858">
        <v>0.1</v>
      </c>
    </row>
    <row r="13" spans="1:6" ht="15" thickBot="1">
      <c r="A13" s="1852" t="s">
        <v>1152</v>
      </c>
      <c r="B13" s="1859" t="s">
        <v>1095</v>
      </c>
      <c r="C13" s="1857">
        <v>6.9000000000000006E-2</v>
      </c>
      <c r="D13" s="1857">
        <v>6.5000000000000002E-2</v>
      </c>
      <c r="E13" s="1857">
        <v>6.6000000000000003E-2</v>
      </c>
      <c r="F13" s="1858">
        <v>0.1</v>
      </c>
    </row>
    <row r="14" spans="1:6" ht="15" thickBot="1">
      <c r="A14" s="1852" t="s">
        <v>1152</v>
      </c>
      <c r="B14" s="1859" t="s">
        <v>1109</v>
      </c>
      <c r="C14" s="1857">
        <v>0.1</v>
      </c>
      <c r="D14" s="1857">
        <v>6.5000000000000002E-2</v>
      </c>
      <c r="E14" s="1857">
        <v>7.0000000000000007E-2</v>
      </c>
      <c r="F14" s="1858">
        <v>0.1</v>
      </c>
    </row>
    <row r="15" spans="1:6" ht="15" thickBot="1">
      <c r="A15" s="1852" t="s">
        <v>1152</v>
      </c>
      <c r="B15" s="1859" t="s">
        <v>1120</v>
      </c>
      <c r="C15" s="1857">
        <v>9.8000000000000004E-2</v>
      </c>
      <c r="D15" s="1857">
        <v>8.8999999999999996E-2</v>
      </c>
      <c r="E15" s="1857">
        <v>8.8999999999999996E-2</v>
      </c>
      <c r="F15" s="1858">
        <v>0.1</v>
      </c>
    </row>
    <row r="16" spans="1:6" ht="15" thickBot="1">
      <c r="A16" s="1852" t="s">
        <v>1152</v>
      </c>
      <c r="B16" s="1859" t="s">
        <v>1131</v>
      </c>
      <c r="C16" s="1857">
        <v>7.0000000000000007E-2</v>
      </c>
      <c r="D16" s="1857">
        <v>9.2999999999999999E-2</v>
      </c>
      <c r="E16" s="1857">
        <v>9.6000000000000002E-2</v>
      </c>
      <c r="F16" s="1858">
        <v>0.1</v>
      </c>
    </row>
    <row r="17" spans="1:6" ht="15" thickBot="1">
      <c r="A17" s="1852" t="s">
        <v>1152</v>
      </c>
      <c r="B17" s="1859" t="s">
        <v>1142</v>
      </c>
      <c r="C17" s="1857">
        <v>9.5000000000000001E-2</v>
      </c>
      <c r="D17" s="1857">
        <v>0.1</v>
      </c>
      <c r="E17" s="1857">
        <v>0.1</v>
      </c>
      <c r="F17" s="1865"/>
    </row>
    <row r="18" spans="1:6" ht="15" thickBot="1">
      <c r="A18" s="1852" t="s">
        <v>1152</v>
      </c>
      <c r="B18" s="1859" t="s">
        <v>1154</v>
      </c>
      <c r="C18" s="1857">
        <v>7.3999999999999996E-2</v>
      </c>
      <c r="D18" s="1857">
        <v>9.9000000000000005E-2</v>
      </c>
      <c r="E18" s="1857">
        <v>0.1</v>
      </c>
      <c r="F18" s="1865"/>
    </row>
    <row r="19" spans="1:6" ht="15" thickBot="1">
      <c r="A19" s="1852" t="s">
        <v>1152</v>
      </c>
      <c r="B19" s="1859" t="s">
        <v>1164</v>
      </c>
      <c r="C19" s="1857">
        <v>9.9000000000000005E-2</v>
      </c>
      <c r="D19" s="1857">
        <v>7.5999999999999998E-2</v>
      </c>
      <c r="E19" s="1857">
        <v>8.6999999999999994E-2</v>
      </c>
      <c r="F19" s="1865"/>
    </row>
    <row r="20" spans="1:6" ht="15" thickBot="1">
      <c r="A20" s="1852" t="s">
        <v>1152</v>
      </c>
      <c r="B20" s="1859" t="s">
        <v>1174</v>
      </c>
      <c r="C20" s="1857">
        <v>9.8000000000000004E-2</v>
      </c>
      <c r="D20" s="1857">
        <v>8.5000000000000006E-2</v>
      </c>
      <c r="E20" s="1857">
        <v>8.2000000000000003E-2</v>
      </c>
      <c r="F20" s="1865"/>
    </row>
    <row r="21" spans="1:6" ht="15" thickBot="1">
      <c r="A21" s="1852" t="s">
        <v>1152</v>
      </c>
      <c r="B21" s="1859" t="s">
        <v>1184</v>
      </c>
      <c r="C21" s="1857">
        <v>6.6000000000000003E-2</v>
      </c>
      <c r="D21" s="1857">
        <v>6.4000000000000001E-2</v>
      </c>
      <c r="E21" s="1857">
        <v>6.5000000000000002E-2</v>
      </c>
      <c r="F21" s="1865"/>
    </row>
    <row r="22" spans="1:6" ht="15" thickBot="1">
      <c r="A22" s="1852" t="s">
        <v>1152</v>
      </c>
      <c r="B22" s="1859" t="s">
        <v>2089</v>
      </c>
      <c r="C22" s="1857">
        <v>0.08</v>
      </c>
      <c r="D22" s="1857">
        <v>9.8000000000000004E-2</v>
      </c>
      <c r="E22" s="1857">
        <v>9.8000000000000004E-2</v>
      </c>
      <c r="F22" s="1865"/>
    </row>
    <row r="23" spans="1:6" ht="15" thickBot="1">
      <c r="A23" s="1852" t="s">
        <v>1152</v>
      </c>
      <c r="B23" s="1859" t="s">
        <v>1204</v>
      </c>
      <c r="C23" s="1857">
        <v>9.9000000000000005E-2</v>
      </c>
      <c r="D23" s="1857">
        <v>9.8000000000000004E-2</v>
      </c>
      <c r="E23" s="1857">
        <v>9.0999999999999998E-2</v>
      </c>
      <c r="F23" s="1865"/>
    </row>
    <row r="24" spans="1:6" ht="15" thickBot="1">
      <c r="A24" s="1852" t="s">
        <v>1152</v>
      </c>
      <c r="B24" s="1859" t="s">
        <v>1214</v>
      </c>
      <c r="C24" s="1857">
        <v>8.8999999999999996E-2</v>
      </c>
      <c r="D24" s="1857">
        <v>9.7000000000000003E-2</v>
      </c>
      <c r="E24" s="1857">
        <v>7.0000000000000007E-2</v>
      </c>
      <c r="F24" s="1865"/>
    </row>
    <row r="25" spans="1:6" ht="15" thickBot="1">
      <c r="A25" s="1852" t="s">
        <v>1152</v>
      </c>
      <c r="B25" s="1859" t="s">
        <v>1224</v>
      </c>
      <c r="C25" s="1857">
        <v>8.8999999999999996E-2</v>
      </c>
      <c r="D25" s="1857">
        <v>0.1</v>
      </c>
      <c r="E25" s="1857">
        <v>8.1000000000000003E-2</v>
      </c>
      <c r="F25" s="1865"/>
    </row>
    <row r="26" spans="1:6" ht="15" thickBot="1">
      <c r="A26" s="1852" t="s">
        <v>1152</v>
      </c>
      <c r="B26" s="1859" t="s">
        <v>1234</v>
      </c>
      <c r="C26" s="1866"/>
      <c r="D26" s="1857">
        <v>9.6000000000000002E-2</v>
      </c>
      <c r="E26" s="1857">
        <v>9.2999999999999999E-2</v>
      </c>
      <c r="F26" s="1865"/>
    </row>
    <row r="27" spans="1:6" ht="15" thickBot="1">
      <c r="A27" s="1852" t="s">
        <v>1152</v>
      </c>
      <c r="B27" s="1859" t="s">
        <v>1244</v>
      </c>
      <c r="C27" s="1866"/>
      <c r="D27" s="1857">
        <v>7.5999999999999998E-2</v>
      </c>
      <c r="E27" s="1857">
        <v>9.1999999999999998E-2</v>
      </c>
      <c r="F27" s="1865"/>
    </row>
    <row r="28" spans="1:6" ht="15" thickBot="1">
      <c r="A28" s="1860" t="s">
        <v>1152</v>
      </c>
      <c r="B28" s="1861" t="s">
        <v>1254</v>
      </c>
      <c r="C28" s="1863"/>
      <c r="D28" s="1862">
        <v>7.5999999999999998E-2</v>
      </c>
      <c r="E28" s="1862">
        <v>9.1999999999999998E-2</v>
      </c>
      <c r="F28" s="1864"/>
    </row>
    <row r="29" spans="1:6" ht="15" thickBot="1">
      <c r="A29" s="1852" t="s">
        <v>1323</v>
      </c>
      <c r="B29" s="1853" t="s">
        <v>2090</v>
      </c>
      <c r="C29" s="1854">
        <v>6.4000000000000001E-2</v>
      </c>
      <c r="D29" s="1854">
        <v>6.5000000000000002E-2</v>
      </c>
      <c r="E29" s="1854">
        <v>6.9000000000000006E-2</v>
      </c>
      <c r="F29" s="1855">
        <v>0.1</v>
      </c>
    </row>
    <row r="30" spans="1:6" ht="15" thickBot="1">
      <c r="A30" s="1852" t="s">
        <v>1323</v>
      </c>
      <c r="B30" s="1859" t="s">
        <v>1069</v>
      </c>
      <c r="C30" s="1857">
        <v>6.4000000000000001E-2</v>
      </c>
      <c r="D30" s="1857">
        <v>9.9000000000000005E-2</v>
      </c>
      <c r="E30" s="1857">
        <v>0.1</v>
      </c>
      <c r="F30" s="1858">
        <v>0.1</v>
      </c>
    </row>
    <row r="31" spans="1:6" ht="15" thickBot="1">
      <c r="A31" s="1852" t="s">
        <v>1323</v>
      </c>
      <c r="B31" s="1859" t="s">
        <v>1083</v>
      </c>
      <c r="C31" s="1857">
        <v>0.1</v>
      </c>
      <c r="D31" s="1857">
        <v>9.5000000000000001E-2</v>
      </c>
      <c r="E31" s="1857">
        <v>8.8999999999999996E-2</v>
      </c>
      <c r="F31" s="1858">
        <v>0.1</v>
      </c>
    </row>
    <row r="32" spans="1:6" ht="15" thickBot="1">
      <c r="A32" s="1852" t="s">
        <v>1323</v>
      </c>
      <c r="B32" s="1859" t="s">
        <v>1096</v>
      </c>
      <c r="C32" s="1857">
        <v>0.05</v>
      </c>
      <c r="D32" s="1857">
        <v>0.05</v>
      </c>
      <c r="E32" s="1857">
        <v>8.7999999999999995E-2</v>
      </c>
      <c r="F32" s="1858">
        <v>0.1</v>
      </c>
    </row>
    <row r="33" spans="1:6" ht="15" thickBot="1">
      <c r="A33" s="1852" t="s">
        <v>1323</v>
      </c>
      <c r="B33" s="1859" t="s">
        <v>1110</v>
      </c>
      <c r="C33" s="1857">
        <v>7.4999999999999997E-2</v>
      </c>
      <c r="D33" s="1857">
        <v>9.4E-2</v>
      </c>
      <c r="E33" s="1857">
        <v>9.7000000000000003E-2</v>
      </c>
      <c r="F33" s="1858">
        <v>0.1</v>
      </c>
    </row>
    <row r="34" spans="1:6" ht="15" thickBot="1">
      <c r="A34" s="1852" t="s">
        <v>1323</v>
      </c>
      <c r="B34" s="1859" t="s">
        <v>1121</v>
      </c>
      <c r="C34" s="1857">
        <v>9.8000000000000004E-2</v>
      </c>
      <c r="D34" s="1857">
        <v>8.5999999999999993E-2</v>
      </c>
      <c r="E34" s="1857">
        <v>9.7000000000000003E-2</v>
      </c>
      <c r="F34" s="1858">
        <v>0.1</v>
      </c>
    </row>
    <row r="35" spans="1:6" ht="15" thickBot="1">
      <c r="A35" s="1852" t="s">
        <v>1323</v>
      </c>
      <c r="B35" s="1859" t="s">
        <v>1132</v>
      </c>
      <c r="C35" s="1857">
        <v>5.8999999999999997E-2</v>
      </c>
      <c r="D35" s="1857">
        <v>6.5000000000000002E-2</v>
      </c>
      <c r="E35" s="1857">
        <v>7.0000000000000007E-2</v>
      </c>
      <c r="F35" s="1858">
        <v>0.1</v>
      </c>
    </row>
    <row r="36" spans="1:6" ht="15" thickBot="1">
      <c r="A36" s="1852" t="s">
        <v>1323</v>
      </c>
      <c r="B36" s="1859" t="s">
        <v>1143</v>
      </c>
      <c r="C36" s="1857">
        <v>6.3E-2</v>
      </c>
      <c r="D36" s="1857">
        <v>0.1</v>
      </c>
      <c r="E36" s="1857">
        <v>0.1</v>
      </c>
      <c r="F36" s="1858">
        <v>0.1</v>
      </c>
    </row>
    <row r="37" spans="1:6" ht="15" thickBot="1">
      <c r="A37" s="1852" t="s">
        <v>1323</v>
      </c>
      <c r="B37" s="1859" t="s">
        <v>1155</v>
      </c>
      <c r="C37" s="1857">
        <v>7.3999999999999996E-2</v>
      </c>
      <c r="D37" s="1857">
        <v>0.1</v>
      </c>
      <c r="E37" s="1857">
        <v>0.1</v>
      </c>
      <c r="F37" s="1858">
        <v>0.1</v>
      </c>
    </row>
    <row r="38" spans="1:6" ht="15" thickBot="1">
      <c r="A38" s="1852" t="s">
        <v>1323</v>
      </c>
      <c r="B38" s="1859" t="s">
        <v>1165</v>
      </c>
      <c r="C38" s="1857">
        <v>0.1</v>
      </c>
      <c r="D38" s="1857">
        <v>9.6000000000000002E-2</v>
      </c>
      <c r="E38" s="1857">
        <v>9.6000000000000002E-2</v>
      </c>
      <c r="F38" s="1865"/>
    </row>
    <row r="39" spans="1:6" ht="15" thickBot="1">
      <c r="A39" s="1852" t="s">
        <v>1323</v>
      </c>
      <c r="B39" s="1859" t="s">
        <v>1175</v>
      </c>
      <c r="C39" s="1857">
        <v>0.1</v>
      </c>
      <c r="D39" s="1857">
        <v>9.6000000000000002E-2</v>
      </c>
      <c r="E39" s="1857">
        <v>9.6000000000000002E-2</v>
      </c>
      <c r="F39" s="1865"/>
    </row>
    <row r="40" spans="1:6" ht="15" thickBot="1">
      <c r="A40" s="1852" t="s">
        <v>1323</v>
      </c>
      <c r="B40" s="1859" t="s">
        <v>1185</v>
      </c>
      <c r="C40" s="1857">
        <v>9.6000000000000002E-2</v>
      </c>
      <c r="D40" s="1857">
        <v>0.1</v>
      </c>
      <c r="E40" s="1857">
        <v>9.9000000000000005E-2</v>
      </c>
      <c r="F40" s="1865"/>
    </row>
    <row r="41" spans="1:6" ht="15" thickBot="1">
      <c r="A41" s="1852" t="s">
        <v>1323</v>
      </c>
      <c r="B41" s="1859" t="s">
        <v>1195</v>
      </c>
      <c r="C41" s="1857">
        <v>9.6000000000000002E-2</v>
      </c>
      <c r="D41" s="1857">
        <v>9.8000000000000004E-2</v>
      </c>
      <c r="E41" s="1857">
        <v>9.8000000000000004E-2</v>
      </c>
      <c r="F41" s="1865"/>
    </row>
    <row r="42" spans="1:6" ht="15" thickBot="1">
      <c r="A42" s="1852" t="s">
        <v>1323</v>
      </c>
      <c r="B42" s="1859" t="s">
        <v>1205</v>
      </c>
      <c r="C42" s="1857">
        <v>0.1</v>
      </c>
      <c r="D42" s="1857">
        <v>8.7999999999999995E-2</v>
      </c>
      <c r="E42" s="1857">
        <v>0.1</v>
      </c>
      <c r="F42" s="1865"/>
    </row>
    <row r="43" spans="1:6" ht="15" thickBot="1">
      <c r="A43" s="1852" t="s">
        <v>1323</v>
      </c>
      <c r="B43" s="1859" t="s">
        <v>1215</v>
      </c>
      <c r="C43" s="1857">
        <v>9.8000000000000004E-2</v>
      </c>
      <c r="D43" s="1857">
        <v>9.7000000000000003E-2</v>
      </c>
      <c r="E43" s="1857">
        <v>9.6000000000000002E-2</v>
      </c>
      <c r="F43" s="1865"/>
    </row>
    <row r="44" spans="1:6" ht="15" thickBot="1">
      <c r="A44" s="1852" t="s">
        <v>1323</v>
      </c>
      <c r="B44" s="1859" t="s">
        <v>1225</v>
      </c>
      <c r="C44" s="1857">
        <v>8.5999999999999993E-2</v>
      </c>
      <c r="D44" s="1857">
        <v>7.9000000000000001E-2</v>
      </c>
      <c r="E44" s="1857">
        <v>7.0999999999999994E-2</v>
      </c>
      <c r="F44" s="1865"/>
    </row>
    <row r="45" spans="1:6" ht="15" thickBot="1">
      <c r="A45" s="1852" t="s">
        <v>1323</v>
      </c>
      <c r="B45" s="1859" t="s">
        <v>1235</v>
      </c>
      <c r="C45" s="1857">
        <v>9.8000000000000004E-2</v>
      </c>
      <c r="D45" s="1857">
        <v>9.6000000000000002E-2</v>
      </c>
      <c r="E45" s="1857">
        <v>9.6000000000000002E-2</v>
      </c>
      <c r="F45" s="1865"/>
    </row>
    <row r="46" spans="1:6" ht="15" thickBot="1">
      <c r="A46" s="1852" t="s">
        <v>1323</v>
      </c>
      <c r="B46" s="1859" t="s">
        <v>1245</v>
      </c>
      <c r="C46" s="1857">
        <v>8.5999999999999993E-2</v>
      </c>
      <c r="D46" s="1857">
        <v>9.8000000000000004E-2</v>
      </c>
      <c r="E46" s="1857">
        <v>8.7999999999999995E-2</v>
      </c>
      <c r="F46" s="1865"/>
    </row>
    <row r="47" spans="1:6" ht="15" thickBot="1">
      <c r="A47" s="1852" t="s">
        <v>1323</v>
      </c>
      <c r="B47" s="1859" t="s">
        <v>1255</v>
      </c>
      <c r="C47" s="1857">
        <v>9.6000000000000002E-2</v>
      </c>
      <c r="D47" s="1866"/>
      <c r="E47" s="1857">
        <v>6.9000000000000006E-2</v>
      </c>
      <c r="F47" s="1865"/>
    </row>
    <row r="48" spans="1:6" ht="15" thickBot="1">
      <c r="A48" s="1860" t="s">
        <v>1323</v>
      </c>
      <c r="B48" s="1861" t="s">
        <v>1264</v>
      </c>
      <c r="C48" s="1862">
        <v>9.8000000000000004E-2</v>
      </c>
      <c r="D48" s="1863"/>
      <c r="E48" s="1862">
        <v>9.5000000000000001E-2</v>
      </c>
      <c r="F48" s="1864"/>
    </row>
    <row r="49" spans="1:6" ht="15" thickBot="1">
      <c r="A49" s="1852" t="s">
        <v>921</v>
      </c>
      <c r="B49" s="1853" t="s">
        <v>2091</v>
      </c>
      <c r="C49" s="1854">
        <v>9.7000000000000003E-2</v>
      </c>
      <c r="D49" s="1854">
        <v>9.5000000000000001E-2</v>
      </c>
      <c r="E49" s="1854">
        <v>9.7000000000000003E-2</v>
      </c>
      <c r="F49" s="1855">
        <v>0.1</v>
      </c>
    </row>
    <row r="50" spans="1:6" ht="15" thickBot="1">
      <c r="A50" s="1852" t="s">
        <v>921</v>
      </c>
      <c r="B50" s="1856" t="s">
        <v>1070</v>
      </c>
      <c r="C50" s="1857">
        <v>7.4999999999999997E-2</v>
      </c>
      <c r="D50" s="1857">
        <v>9.5000000000000001E-2</v>
      </c>
      <c r="E50" s="1857">
        <v>0.1</v>
      </c>
      <c r="F50" s="1858">
        <v>0.1</v>
      </c>
    </row>
    <row r="51" spans="1:6" ht="15" thickBot="1">
      <c r="A51" s="1852" t="s">
        <v>921</v>
      </c>
      <c r="B51" s="1856" t="s">
        <v>1084</v>
      </c>
      <c r="C51" s="1857">
        <v>9.8000000000000004E-2</v>
      </c>
      <c r="D51" s="1857">
        <v>8.8999999999999996E-2</v>
      </c>
      <c r="E51" s="1857">
        <v>0.1</v>
      </c>
      <c r="F51" s="1858">
        <v>0.1</v>
      </c>
    </row>
    <row r="52" spans="1:6" ht="15" thickBot="1">
      <c r="A52" s="1852" t="s">
        <v>921</v>
      </c>
      <c r="B52" s="1856" t="s">
        <v>1097</v>
      </c>
      <c r="C52" s="1857">
        <v>9.8000000000000004E-2</v>
      </c>
      <c r="D52" s="1857">
        <v>9.7000000000000003E-2</v>
      </c>
      <c r="E52" s="1857">
        <v>8.1000000000000003E-2</v>
      </c>
      <c r="F52" s="1858">
        <v>0.1</v>
      </c>
    </row>
    <row r="53" spans="1:6" ht="15" thickBot="1">
      <c r="A53" s="1852" t="s">
        <v>921</v>
      </c>
      <c r="B53" s="1856" t="s">
        <v>1111</v>
      </c>
      <c r="C53" s="1857">
        <v>9.7000000000000003E-2</v>
      </c>
      <c r="D53" s="1857">
        <v>7.5999999999999998E-2</v>
      </c>
      <c r="E53" s="1857">
        <v>7.0999999999999994E-2</v>
      </c>
      <c r="F53" s="1858">
        <v>0.1</v>
      </c>
    </row>
    <row r="54" spans="1:6" ht="15" thickBot="1">
      <c r="A54" s="1852" t="s">
        <v>921</v>
      </c>
      <c r="B54" s="1856" t="s">
        <v>1122</v>
      </c>
      <c r="C54" s="1857">
        <v>7.5999999999999998E-2</v>
      </c>
      <c r="D54" s="1857">
        <v>0.1</v>
      </c>
      <c r="E54" s="1857">
        <v>9.9000000000000005E-2</v>
      </c>
      <c r="F54" s="1858">
        <v>0.1</v>
      </c>
    </row>
    <row r="55" spans="1:6" ht="15" thickBot="1">
      <c r="A55" s="1852" t="s">
        <v>921</v>
      </c>
      <c r="B55" s="1856" t="s">
        <v>1133</v>
      </c>
      <c r="C55" s="1857">
        <v>0.1</v>
      </c>
      <c r="D55" s="1857">
        <v>0.1</v>
      </c>
      <c r="E55" s="1857">
        <v>9.6000000000000002E-2</v>
      </c>
      <c r="F55" s="1858">
        <v>0.1</v>
      </c>
    </row>
    <row r="56" spans="1:6" ht="15" thickBot="1">
      <c r="A56" s="1852" t="s">
        <v>921</v>
      </c>
      <c r="B56" s="1856" t="s">
        <v>1144</v>
      </c>
      <c r="C56" s="1857">
        <v>0.1</v>
      </c>
      <c r="D56" s="1857">
        <v>9.6000000000000002E-2</v>
      </c>
      <c r="E56" s="1857">
        <v>5.1999999999999998E-2</v>
      </c>
      <c r="F56" s="1858">
        <v>0.1</v>
      </c>
    </row>
    <row r="57" spans="1:6" ht="15" thickBot="1">
      <c r="A57" s="1852" t="s">
        <v>921</v>
      </c>
      <c r="B57" s="1856" t="s">
        <v>1156</v>
      </c>
      <c r="C57" s="1857">
        <v>9.7000000000000003E-2</v>
      </c>
      <c r="D57" s="1857">
        <v>9.6000000000000002E-2</v>
      </c>
      <c r="E57" s="1857">
        <v>9.6000000000000002E-2</v>
      </c>
      <c r="F57" s="1858">
        <v>0.1</v>
      </c>
    </row>
    <row r="58" spans="1:6" ht="15" thickBot="1">
      <c r="A58" s="1852" t="s">
        <v>921</v>
      </c>
      <c r="B58" s="1856" t="s">
        <v>1166</v>
      </c>
      <c r="C58" s="1857">
        <v>9.6000000000000002E-2</v>
      </c>
      <c r="D58" s="1857">
        <v>9.9000000000000005E-2</v>
      </c>
      <c r="E58" s="1857">
        <v>9.6000000000000002E-2</v>
      </c>
      <c r="F58" s="1858">
        <v>0.1</v>
      </c>
    </row>
    <row r="59" spans="1:6" ht="15" thickBot="1">
      <c r="A59" s="1852" t="s">
        <v>921</v>
      </c>
      <c r="B59" s="1856" t="s">
        <v>1176</v>
      </c>
      <c r="C59" s="1857">
        <v>7.1999999999999995E-2</v>
      </c>
      <c r="D59" s="1857">
        <v>9.6000000000000002E-2</v>
      </c>
      <c r="E59" s="1857">
        <v>7.0999999999999994E-2</v>
      </c>
      <c r="F59" s="1858">
        <v>0.1</v>
      </c>
    </row>
    <row r="60" spans="1:6" ht="15" thickBot="1">
      <c r="A60" s="1852" t="s">
        <v>921</v>
      </c>
      <c r="B60" s="1856" t="s">
        <v>1186</v>
      </c>
      <c r="C60" s="1857">
        <v>9.6000000000000002E-2</v>
      </c>
      <c r="D60" s="1857">
        <v>8.8999999999999996E-2</v>
      </c>
      <c r="E60" s="1857">
        <v>9.6000000000000002E-2</v>
      </c>
      <c r="F60" s="1858">
        <v>0.1</v>
      </c>
    </row>
    <row r="61" spans="1:6" ht="15" thickBot="1">
      <c r="A61" s="1852" t="s">
        <v>921</v>
      </c>
      <c r="B61" s="1856" t="s">
        <v>1196</v>
      </c>
      <c r="C61" s="1857">
        <v>8.8999999999999996E-2</v>
      </c>
      <c r="D61" s="1857">
        <v>9.8000000000000004E-2</v>
      </c>
      <c r="E61" s="1857">
        <v>8.7999999999999995E-2</v>
      </c>
      <c r="F61" s="1865"/>
    </row>
    <row r="62" spans="1:6" ht="15" thickBot="1">
      <c r="A62" s="1852" t="s">
        <v>921</v>
      </c>
      <c r="B62" s="1856" t="s">
        <v>1206</v>
      </c>
      <c r="C62" s="1857">
        <v>9.8000000000000004E-2</v>
      </c>
      <c r="D62" s="1857">
        <v>9.2999999999999999E-2</v>
      </c>
      <c r="E62" s="1857">
        <v>9.7000000000000003E-2</v>
      </c>
      <c r="F62" s="1865"/>
    </row>
    <row r="63" spans="1:6" ht="15" thickBot="1">
      <c r="A63" s="1852" t="s">
        <v>921</v>
      </c>
      <c r="B63" s="1856" t="s">
        <v>1216</v>
      </c>
      <c r="C63" s="1857">
        <v>9.6000000000000002E-2</v>
      </c>
      <c r="D63" s="1857">
        <v>9.8000000000000004E-2</v>
      </c>
      <c r="E63" s="1857">
        <v>0.09</v>
      </c>
      <c r="F63" s="1865"/>
    </row>
    <row r="64" spans="1:6" ht="15" thickBot="1">
      <c r="A64" s="1852" t="s">
        <v>921</v>
      </c>
      <c r="B64" s="1856" t="s">
        <v>1226</v>
      </c>
      <c r="C64" s="1857">
        <v>9.9000000000000005E-2</v>
      </c>
      <c r="D64" s="1857">
        <v>9.7000000000000003E-2</v>
      </c>
      <c r="E64" s="1857">
        <v>9.9000000000000005E-2</v>
      </c>
      <c r="F64" s="1865"/>
    </row>
    <row r="65" spans="1:6" ht="15" thickBot="1">
      <c r="A65" s="1852" t="s">
        <v>921</v>
      </c>
      <c r="B65" s="1856" t="s">
        <v>1236</v>
      </c>
      <c r="C65" s="1857">
        <v>9.8000000000000004E-2</v>
      </c>
      <c r="D65" s="1857">
        <v>9.6000000000000002E-2</v>
      </c>
      <c r="E65" s="1857">
        <v>9.6000000000000002E-2</v>
      </c>
      <c r="F65" s="1865"/>
    </row>
    <row r="66" spans="1:6" ht="15" thickBot="1">
      <c r="A66" s="1852" t="s">
        <v>921</v>
      </c>
      <c r="B66" s="1856" t="s">
        <v>1246</v>
      </c>
      <c r="C66" s="1857">
        <v>9.6000000000000002E-2</v>
      </c>
      <c r="D66" s="1857">
        <v>9.1999999999999998E-2</v>
      </c>
      <c r="E66" s="1857">
        <v>9.6000000000000002E-2</v>
      </c>
      <c r="F66" s="1865"/>
    </row>
    <row r="67" spans="1:6" ht="15" thickBot="1">
      <c r="A67" s="1852" t="s">
        <v>921</v>
      </c>
      <c r="B67" s="1856" t="s">
        <v>1256</v>
      </c>
      <c r="C67" s="1857">
        <v>9.4E-2</v>
      </c>
      <c r="D67" s="1857">
        <v>0.1</v>
      </c>
      <c r="E67" s="1857">
        <v>8.7999999999999995E-2</v>
      </c>
      <c r="F67" s="1865"/>
    </row>
    <row r="68" spans="1:6" ht="15" thickBot="1">
      <c r="A68" s="1852" t="s">
        <v>921</v>
      </c>
      <c r="B68" s="1856" t="s">
        <v>1265</v>
      </c>
      <c r="C68" s="1857">
        <v>0.1</v>
      </c>
      <c r="D68" s="1857">
        <v>8.7999999999999995E-2</v>
      </c>
      <c r="E68" s="1857">
        <v>9.7000000000000003E-2</v>
      </c>
      <c r="F68" s="1865"/>
    </row>
    <row r="69" spans="1:6" ht="15" thickBot="1">
      <c r="A69" s="1852" t="s">
        <v>921</v>
      </c>
      <c r="B69" s="1856" t="s">
        <v>1274</v>
      </c>
      <c r="C69" s="1857">
        <v>6.4000000000000001E-2</v>
      </c>
      <c r="D69" s="1857">
        <v>0.1</v>
      </c>
      <c r="E69" s="1857">
        <v>0.1</v>
      </c>
      <c r="F69" s="1865"/>
    </row>
    <row r="70" spans="1:6" ht="15" thickBot="1">
      <c r="A70" s="1852" t="s">
        <v>921</v>
      </c>
      <c r="B70" s="1856" t="s">
        <v>1282</v>
      </c>
      <c r="C70" s="1857">
        <v>9.0999999999999998E-2</v>
      </c>
      <c r="D70" s="1866"/>
      <c r="E70" s="1866"/>
      <c r="F70" s="1865"/>
    </row>
    <row r="71" spans="1:6" ht="15" thickBot="1">
      <c r="A71" s="1852" t="s">
        <v>921</v>
      </c>
      <c r="B71" s="1856" t="s">
        <v>1289</v>
      </c>
      <c r="C71" s="1857">
        <v>0.1</v>
      </c>
      <c r="D71" s="1866"/>
      <c r="E71" s="1866"/>
      <c r="F71" s="1865"/>
    </row>
    <row r="72" spans="1:6" ht="24.6" thickBot="1">
      <c r="A72" s="1852" t="s">
        <v>921</v>
      </c>
      <c r="B72" s="1856" t="s">
        <v>2092</v>
      </c>
      <c r="C72" s="1866"/>
      <c r="D72" s="1866"/>
      <c r="E72" s="1866"/>
      <c r="F72" s="1858">
        <v>0.05</v>
      </c>
    </row>
    <row r="73" spans="1:6" ht="24.6" thickBot="1">
      <c r="A73" s="1852" t="s">
        <v>921</v>
      </c>
      <c r="B73" s="1856" t="s">
        <v>2093</v>
      </c>
      <c r="C73" s="1866"/>
      <c r="D73" s="1866"/>
      <c r="E73" s="1866"/>
      <c r="F73" s="1858">
        <v>0.05</v>
      </c>
    </row>
    <row r="74" spans="1:6" ht="24.6" thickBot="1">
      <c r="A74" s="1852" t="s">
        <v>921</v>
      </c>
      <c r="B74" s="1856" t="s">
        <v>2094</v>
      </c>
      <c r="C74" s="1866"/>
      <c r="D74" s="1866"/>
      <c r="E74" s="1866"/>
      <c r="F74" s="1858">
        <v>0.05</v>
      </c>
    </row>
    <row r="75" spans="1:6" ht="24.6" thickBot="1">
      <c r="A75" s="1860" t="s">
        <v>921</v>
      </c>
      <c r="B75" s="1867" t="s">
        <v>2095</v>
      </c>
      <c r="C75" s="1863"/>
      <c r="D75" s="1863"/>
      <c r="E75" s="1863"/>
      <c r="F75" s="1868">
        <v>0.05</v>
      </c>
    </row>
    <row r="76" spans="1:6" ht="15" thickBot="1">
      <c r="A76" s="1852" t="s">
        <v>1404</v>
      </c>
      <c r="B76" s="1853" t="s">
        <v>2096</v>
      </c>
      <c r="C76" s="1854">
        <v>0.1</v>
      </c>
      <c r="D76" s="1854">
        <v>0.1</v>
      </c>
      <c r="E76" s="1854">
        <v>0.1</v>
      </c>
      <c r="F76" s="1855">
        <v>0.1</v>
      </c>
    </row>
    <row r="77" spans="1:6" ht="15" thickBot="1">
      <c r="A77" s="1852" t="s">
        <v>1404</v>
      </c>
      <c r="B77" s="1856" t="s">
        <v>1071</v>
      </c>
      <c r="C77" s="1857">
        <v>8.7999999999999995E-2</v>
      </c>
      <c r="D77" s="1857">
        <v>8.6999999999999994E-2</v>
      </c>
      <c r="E77" s="1857">
        <v>7.9000000000000001E-2</v>
      </c>
      <c r="F77" s="1858">
        <v>0.1</v>
      </c>
    </row>
    <row r="78" spans="1:6" ht="15" thickBot="1">
      <c r="A78" s="1852" t="s">
        <v>1404</v>
      </c>
      <c r="B78" s="1856" t="s">
        <v>1085</v>
      </c>
      <c r="C78" s="1857">
        <v>8.6999999999999994E-2</v>
      </c>
      <c r="D78" s="1857">
        <v>8.4000000000000005E-2</v>
      </c>
      <c r="E78" s="1857">
        <v>9.6000000000000002E-2</v>
      </c>
      <c r="F78" s="1858">
        <v>0.1</v>
      </c>
    </row>
    <row r="79" spans="1:6" ht="15" thickBot="1">
      <c r="A79" s="1852" t="s">
        <v>1404</v>
      </c>
      <c r="B79" s="1856" t="s">
        <v>1098</v>
      </c>
      <c r="C79" s="1857">
        <v>9.8000000000000004E-2</v>
      </c>
      <c r="D79" s="1857">
        <v>9.8000000000000004E-2</v>
      </c>
      <c r="E79" s="1857">
        <v>9.0999999999999998E-2</v>
      </c>
      <c r="F79" s="1858">
        <v>0.1</v>
      </c>
    </row>
    <row r="80" spans="1:6" ht="15" thickBot="1">
      <c r="A80" s="1852" t="s">
        <v>1404</v>
      </c>
      <c r="B80" s="1856" t="s">
        <v>1112</v>
      </c>
      <c r="C80" s="1857">
        <v>9.6000000000000002E-2</v>
      </c>
      <c r="D80" s="1857">
        <v>9.6000000000000002E-2</v>
      </c>
      <c r="E80" s="1857">
        <v>0.1</v>
      </c>
      <c r="F80" s="1858">
        <v>0.1</v>
      </c>
    </row>
    <row r="81" spans="1:6" ht="15" thickBot="1">
      <c r="A81" s="1852" t="s">
        <v>1404</v>
      </c>
      <c r="B81" s="1856" t="s">
        <v>1123</v>
      </c>
      <c r="C81" s="1857">
        <v>9.9000000000000005E-2</v>
      </c>
      <c r="D81" s="1857">
        <v>9.9000000000000005E-2</v>
      </c>
      <c r="E81" s="1857">
        <v>9.8000000000000004E-2</v>
      </c>
      <c r="F81" s="1858">
        <v>0.1</v>
      </c>
    </row>
    <row r="82" spans="1:6" ht="15" thickBot="1">
      <c r="A82" s="1852" t="s">
        <v>1404</v>
      </c>
      <c r="B82" s="1856" t="s">
        <v>1134</v>
      </c>
      <c r="C82" s="1857">
        <v>9.9000000000000005E-2</v>
      </c>
      <c r="D82" s="1857">
        <v>9.9000000000000005E-2</v>
      </c>
      <c r="E82" s="1857">
        <v>9.7000000000000003E-2</v>
      </c>
      <c r="F82" s="1858">
        <v>0.1</v>
      </c>
    </row>
    <row r="83" spans="1:6" ht="15" thickBot="1">
      <c r="A83" s="1852" t="s">
        <v>1404</v>
      </c>
      <c r="B83" s="1856" t="s">
        <v>1145</v>
      </c>
      <c r="C83" s="1857">
        <v>9.8000000000000004E-2</v>
      </c>
      <c r="D83" s="1857">
        <v>9.8000000000000004E-2</v>
      </c>
      <c r="E83" s="1857">
        <v>9.8000000000000004E-2</v>
      </c>
      <c r="F83" s="1858">
        <v>0.1</v>
      </c>
    </row>
    <row r="84" spans="1:6" ht="15" thickBot="1">
      <c r="A84" s="1852" t="s">
        <v>1404</v>
      </c>
      <c r="B84" s="1856" t="s">
        <v>1157</v>
      </c>
      <c r="C84" s="1857">
        <v>9.9000000000000005E-2</v>
      </c>
      <c r="D84" s="1857">
        <v>9.9000000000000005E-2</v>
      </c>
      <c r="E84" s="1857">
        <v>9.9000000000000005E-2</v>
      </c>
      <c r="F84" s="1858">
        <v>0.1</v>
      </c>
    </row>
    <row r="85" spans="1:6" ht="15" thickBot="1">
      <c r="A85" s="1852" t="s">
        <v>1404</v>
      </c>
      <c r="B85" s="1856" t="s">
        <v>1167</v>
      </c>
      <c r="C85" s="1857">
        <v>9.9000000000000005E-2</v>
      </c>
      <c r="D85" s="1857">
        <v>9.9000000000000005E-2</v>
      </c>
      <c r="E85" s="1857">
        <v>9.9000000000000005E-2</v>
      </c>
      <c r="F85" s="1858">
        <v>0.1</v>
      </c>
    </row>
    <row r="86" spans="1:6" ht="15" thickBot="1">
      <c r="A86" s="1852" t="s">
        <v>1404</v>
      </c>
      <c r="B86" s="1856" t="s">
        <v>1177</v>
      </c>
      <c r="C86" s="1857">
        <v>0.1</v>
      </c>
      <c r="D86" s="1857">
        <v>0.1</v>
      </c>
      <c r="E86" s="1857">
        <v>7.6999999999999999E-2</v>
      </c>
      <c r="F86" s="1858">
        <v>0.1</v>
      </c>
    </row>
    <row r="87" spans="1:6" ht="15" thickBot="1">
      <c r="A87" s="1852" t="s">
        <v>1404</v>
      </c>
      <c r="B87" s="1856" t="s">
        <v>1187</v>
      </c>
      <c r="C87" s="1857">
        <v>0.1</v>
      </c>
      <c r="D87" s="1857">
        <v>0.1</v>
      </c>
      <c r="E87" s="1857">
        <v>9.8000000000000004E-2</v>
      </c>
      <c r="F87" s="1865"/>
    </row>
    <row r="88" spans="1:6" ht="15" thickBot="1">
      <c r="A88" s="1852" t="s">
        <v>1404</v>
      </c>
      <c r="B88" s="1856" t="s">
        <v>1197</v>
      </c>
      <c r="C88" s="1857">
        <v>9.1999999999999998E-2</v>
      </c>
      <c r="D88" s="1857">
        <v>8.5000000000000006E-2</v>
      </c>
      <c r="E88" s="1857">
        <v>9.6000000000000002E-2</v>
      </c>
      <c r="F88" s="1865"/>
    </row>
    <row r="89" spans="1:6" ht="15" thickBot="1">
      <c r="A89" s="1852" t="s">
        <v>1404</v>
      </c>
      <c r="B89" s="1856" t="s">
        <v>1207</v>
      </c>
      <c r="C89" s="1857">
        <v>0.1</v>
      </c>
      <c r="D89" s="1857">
        <v>0.1</v>
      </c>
      <c r="E89" s="1857">
        <v>9.7000000000000003E-2</v>
      </c>
      <c r="F89" s="1865"/>
    </row>
    <row r="90" spans="1:6" ht="15" thickBot="1">
      <c r="A90" s="1852" t="s">
        <v>1404</v>
      </c>
      <c r="B90" s="1856" t="s">
        <v>1217</v>
      </c>
      <c r="C90" s="1857">
        <v>9.8000000000000004E-2</v>
      </c>
      <c r="D90" s="1857">
        <v>9.8000000000000004E-2</v>
      </c>
      <c r="E90" s="1857">
        <v>8.7999999999999995E-2</v>
      </c>
      <c r="F90" s="1865"/>
    </row>
    <row r="91" spans="1:6" ht="15" thickBot="1">
      <c r="A91" s="1852" t="s">
        <v>1404</v>
      </c>
      <c r="B91" s="1856" t="s">
        <v>1227</v>
      </c>
      <c r="C91" s="1857">
        <v>9.9000000000000005E-2</v>
      </c>
      <c r="D91" s="1857">
        <v>9.9000000000000005E-2</v>
      </c>
      <c r="E91" s="1857">
        <v>9.0999999999999998E-2</v>
      </c>
      <c r="F91" s="1865"/>
    </row>
    <row r="92" spans="1:6" ht="15" thickBot="1">
      <c r="A92" s="1852" t="s">
        <v>1404</v>
      </c>
      <c r="B92" s="1856" t="s">
        <v>1237</v>
      </c>
      <c r="C92" s="1857">
        <v>9.6000000000000002E-2</v>
      </c>
      <c r="D92" s="1857">
        <v>9.6000000000000002E-2</v>
      </c>
      <c r="E92" s="1857">
        <v>7.2999999999999995E-2</v>
      </c>
      <c r="F92" s="1865"/>
    </row>
    <row r="93" spans="1:6" ht="15" thickBot="1">
      <c r="A93" s="1852" t="s">
        <v>1404</v>
      </c>
      <c r="B93" s="1856" t="s">
        <v>1247</v>
      </c>
      <c r="C93" s="1857">
        <v>9.6000000000000002E-2</v>
      </c>
      <c r="D93" s="1857">
        <v>9.6000000000000002E-2</v>
      </c>
      <c r="E93" s="1857">
        <v>9.9000000000000005E-2</v>
      </c>
      <c r="F93" s="1865"/>
    </row>
    <row r="94" spans="1:6" ht="15" thickBot="1">
      <c r="A94" s="1852" t="s">
        <v>1404</v>
      </c>
      <c r="B94" s="1856" t="s">
        <v>1257</v>
      </c>
      <c r="C94" s="1857">
        <v>7.5999999999999998E-2</v>
      </c>
      <c r="D94" s="1857">
        <v>7.3999999999999996E-2</v>
      </c>
      <c r="E94" s="1857">
        <v>9.7000000000000003E-2</v>
      </c>
      <c r="F94" s="1865"/>
    </row>
    <row r="95" spans="1:6" ht="15" thickBot="1">
      <c r="A95" s="1852" t="s">
        <v>1404</v>
      </c>
      <c r="B95" s="1856" t="s">
        <v>1266</v>
      </c>
      <c r="C95" s="1857">
        <v>9.9000000000000005E-2</v>
      </c>
      <c r="D95" s="1857">
        <v>9.4E-2</v>
      </c>
      <c r="E95" s="1857">
        <v>9.6000000000000002E-2</v>
      </c>
      <c r="F95" s="1865"/>
    </row>
    <row r="96" spans="1:6" ht="15" thickBot="1">
      <c r="A96" s="1852" t="s">
        <v>1404</v>
      </c>
      <c r="B96" s="1856" t="s">
        <v>1275</v>
      </c>
      <c r="C96" s="1857">
        <v>9.9000000000000005E-2</v>
      </c>
      <c r="D96" s="1857">
        <v>9.9000000000000005E-2</v>
      </c>
      <c r="E96" s="1857">
        <v>9.9000000000000005E-2</v>
      </c>
      <c r="F96" s="1865"/>
    </row>
    <row r="97" spans="1:6" ht="15" thickBot="1">
      <c r="A97" s="1852" t="s">
        <v>1404</v>
      </c>
      <c r="B97" s="1856" t="s">
        <v>1283</v>
      </c>
      <c r="C97" s="1857">
        <v>9.8000000000000004E-2</v>
      </c>
      <c r="D97" s="1857">
        <v>9.8000000000000004E-2</v>
      </c>
      <c r="E97" s="1857">
        <v>9.7000000000000003E-2</v>
      </c>
      <c r="F97" s="1865"/>
    </row>
    <row r="98" spans="1:6" ht="15" thickBot="1">
      <c r="A98" s="1852" t="s">
        <v>1404</v>
      </c>
      <c r="B98" s="1856" t="s">
        <v>1290</v>
      </c>
      <c r="C98" s="1857">
        <v>0.1</v>
      </c>
      <c r="D98" s="1857">
        <v>0.1</v>
      </c>
      <c r="E98" s="1857">
        <v>9.7000000000000003E-2</v>
      </c>
      <c r="F98" s="1865"/>
    </row>
    <row r="99" spans="1:6" ht="15" thickBot="1">
      <c r="A99" s="1852" t="s">
        <v>1404</v>
      </c>
      <c r="B99" s="1856" t="s">
        <v>1297</v>
      </c>
      <c r="C99" s="1857">
        <v>0.1</v>
      </c>
      <c r="D99" s="1857">
        <v>0.1</v>
      </c>
      <c r="E99" s="1866"/>
      <c r="F99" s="1865"/>
    </row>
    <row r="100" spans="1:6" ht="15" thickBot="1">
      <c r="A100" s="1852" t="s">
        <v>1404</v>
      </c>
      <c r="B100" s="1856" t="s">
        <v>1304</v>
      </c>
      <c r="C100" s="1857">
        <v>0.09</v>
      </c>
      <c r="D100" s="1857">
        <v>8.8999999999999996E-2</v>
      </c>
      <c r="E100" s="1866"/>
      <c r="F100" s="1865"/>
    </row>
    <row r="101" spans="1:6" ht="15" thickBot="1">
      <c r="A101" s="1852" t="s">
        <v>1404</v>
      </c>
      <c r="B101" s="1856" t="s">
        <v>1311</v>
      </c>
      <c r="C101" s="1857">
        <v>9.8000000000000004E-2</v>
      </c>
      <c r="D101" s="1857">
        <v>9.7000000000000003E-2</v>
      </c>
      <c r="E101" s="1866"/>
      <c r="F101" s="1865"/>
    </row>
    <row r="102" spans="1:6" ht="24.6" thickBot="1">
      <c r="A102" s="1852" t="s">
        <v>1404</v>
      </c>
      <c r="B102" s="1856" t="s">
        <v>2097</v>
      </c>
      <c r="C102" s="1866"/>
      <c r="D102" s="1866"/>
      <c r="E102" s="1866"/>
      <c r="F102" s="1858">
        <v>0.05</v>
      </c>
    </row>
    <row r="103" spans="1:6" ht="24.6" thickBot="1">
      <c r="A103" s="1852" t="s">
        <v>1404</v>
      </c>
      <c r="B103" s="1856" t="s">
        <v>2098</v>
      </c>
      <c r="C103" s="1866"/>
      <c r="D103" s="1866"/>
      <c r="E103" s="1866"/>
      <c r="F103" s="1858">
        <v>0.05</v>
      </c>
    </row>
    <row r="104" spans="1:6" ht="15" thickBot="1">
      <c r="A104" s="1852" t="s">
        <v>1404</v>
      </c>
      <c r="B104" s="1856" t="s">
        <v>2099</v>
      </c>
      <c r="C104" s="1866"/>
      <c r="D104" s="1866"/>
      <c r="E104" s="1866"/>
      <c r="F104" s="1858">
        <v>0.05</v>
      </c>
    </row>
    <row r="105" spans="1:6" ht="24.6" thickBot="1">
      <c r="A105" s="1852" t="s">
        <v>1404</v>
      </c>
      <c r="B105" s="1856" t="s">
        <v>2100</v>
      </c>
      <c r="C105" s="1866"/>
      <c r="D105" s="1866"/>
      <c r="E105" s="1866"/>
      <c r="F105" s="1858">
        <v>0.05</v>
      </c>
    </row>
    <row r="106" spans="1:6" ht="24.6" thickBot="1">
      <c r="A106" s="1852" t="s">
        <v>1404</v>
      </c>
      <c r="B106" s="1856" t="s">
        <v>2101</v>
      </c>
      <c r="C106" s="1866"/>
      <c r="D106" s="1866"/>
      <c r="E106" s="1866"/>
      <c r="F106" s="1858">
        <v>0.05</v>
      </c>
    </row>
    <row r="107" spans="1:6" ht="24.6" thickBot="1">
      <c r="A107" s="1852" t="s">
        <v>1404</v>
      </c>
      <c r="B107" s="1856" t="s">
        <v>2102</v>
      </c>
      <c r="C107" s="1866"/>
      <c r="D107" s="1866"/>
      <c r="E107" s="1866"/>
      <c r="F107" s="1858">
        <v>0.05</v>
      </c>
    </row>
    <row r="108" spans="1:6" ht="24.6" thickBot="1">
      <c r="A108" s="1852" t="s">
        <v>1404</v>
      </c>
      <c r="B108" s="1856" t="s">
        <v>2103</v>
      </c>
      <c r="C108" s="1866"/>
      <c r="D108" s="1866"/>
      <c r="E108" s="1866"/>
      <c r="F108" s="1858">
        <v>0.05</v>
      </c>
    </row>
    <row r="109" spans="1:6" ht="24.6" thickBot="1">
      <c r="A109" s="1860" t="s">
        <v>1404</v>
      </c>
      <c r="B109" s="1867" t="s">
        <v>2104</v>
      </c>
      <c r="C109" s="1863"/>
      <c r="D109" s="1863"/>
      <c r="E109" s="1863"/>
      <c r="F109" s="1868">
        <v>0.05</v>
      </c>
    </row>
    <row r="110" spans="1:6" ht="15" thickBot="1">
      <c r="A110" s="1852" t="s">
        <v>1406</v>
      </c>
      <c r="B110" s="1853" t="s">
        <v>2105</v>
      </c>
      <c r="C110" s="1854">
        <v>0.129</v>
      </c>
      <c r="D110" s="1854">
        <v>0.129</v>
      </c>
      <c r="E110" s="1854">
        <v>0.126</v>
      </c>
      <c r="F110" s="1855">
        <v>0.13</v>
      </c>
    </row>
    <row r="111" spans="1:6" ht="15" thickBot="1">
      <c r="A111" s="1852" t="s">
        <v>1406</v>
      </c>
      <c r="B111" s="1856" t="s">
        <v>1072</v>
      </c>
      <c r="C111" s="1857">
        <v>0.11</v>
      </c>
      <c r="D111" s="1857">
        <v>0.11</v>
      </c>
      <c r="E111" s="1857">
        <v>9.9000000000000005E-2</v>
      </c>
      <c r="F111" s="1858">
        <v>0.128</v>
      </c>
    </row>
    <row r="112" spans="1:6" ht="15" thickBot="1">
      <c r="A112" s="1852" t="s">
        <v>1406</v>
      </c>
      <c r="B112" s="1856" t="s">
        <v>1086</v>
      </c>
      <c r="C112" s="1857">
        <v>0.125</v>
      </c>
      <c r="D112" s="1857">
        <v>0.125</v>
      </c>
      <c r="E112" s="1857">
        <v>0.12</v>
      </c>
      <c r="F112" s="1858">
        <v>0.125</v>
      </c>
    </row>
    <row r="113" spans="1:6" ht="15" thickBot="1">
      <c r="A113" s="1852" t="s">
        <v>1406</v>
      </c>
      <c r="B113" s="1856" t="s">
        <v>1099</v>
      </c>
      <c r="C113" s="1857">
        <v>0.13</v>
      </c>
      <c r="D113" s="1857">
        <v>0.13</v>
      </c>
      <c r="E113" s="1857">
        <v>0.13</v>
      </c>
      <c r="F113" s="1858">
        <v>0.13</v>
      </c>
    </row>
    <row r="114" spans="1:6" ht="15" thickBot="1">
      <c r="A114" s="1852" t="s">
        <v>1406</v>
      </c>
      <c r="B114" s="1856" t="s">
        <v>1113</v>
      </c>
      <c r="C114" s="1857">
        <v>0.123</v>
      </c>
      <c r="D114" s="1857">
        <v>0.123</v>
      </c>
      <c r="E114" s="1857">
        <v>0.12</v>
      </c>
      <c r="F114" s="1858">
        <v>0.13</v>
      </c>
    </row>
    <row r="115" spans="1:6" ht="15" thickBot="1">
      <c r="A115" s="1852" t="s">
        <v>1406</v>
      </c>
      <c r="B115" s="1856" t="s">
        <v>1124</v>
      </c>
      <c r="C115" s="1857">
        <v>0.125</v>
      </c>
      <c r="D115" s="1857">
        <v>0.125</v>
      </c>
      <c r="E115" s="1857">
        <v>0.11700000000000001</v>
      </c>
      <c r="F115" s="1858">
        <v>0.13</v>
      </c>
    </row>
    <row r="116" spans="1:6" ht="15" thickBot="1">
      <c r="A116" s="1852" t="s">
        <v>1406</v>
      </c>
      <c r="B116" s="1856" t="s">
        <v>1135</v>
      </c>
      <c r="C116" s="1857">
        <v>0.11700000000000001</v>
      </c>
      <c r="D116" s="1857">
        <v>0.11700000000000001</v>
      </c>
      <c r="E116" s="1857">
        <v>8.7999999999999995E-2</v>
      </c>
      <c r="F116" s="1858">
        <v>0.13</v>
      </c>
    </row>
    <row r="117" spans="1:6" ht="15" thickBot="1">
      <c r="A117" s="1852" t="s">
        <v>1406</v>
      </c>
      <c r="B117" s="1856" t="s">
        <v>1146</v>
      </c>
      <c r="C117" s="1857">
        <v>0.13</v>
      </c>
      <c r="D117" s="1857">
        <v>0.13</v>
      </c>
      <c r="E117" s="1857">
        <v>0.129</v>
      </c>
      <c r="F117" s="1858">
        <v>0.13</v>
      </c>
    </row>
    <row r="118" spans="1:6" ht="15" thickBot="1">
      <c r="A118" s="1852" t="s">
        <v>1406</v>
      </c>
      <c r="B118" s="1856" t="s">
        <v>1158</v>
      </c>
      <c r="C118" s="1857">
        <v>0.123</v>
      </c>
      <c r="D118" s="1857">
        <v>0.123</v>
      </c>
      <c r="E118" s="1857">
        <v>0.11600000000000001</v>
      </c>
      <c r="F118" s="1858">
        <v>0.13</v>
      </c>
    </row>
    <row r="119" spans="1:6" ht="15" thickBot="1">
      <c r="A119" s="1852" t="s">
        <v>1406</v>
      </c>
      <c r="B119" s="1856" t="s">
        <v>1168</v>
      </c>
      <c r="C119" s="1857">
        <v>0.127</v>
      </c>
      <c r="D119" s="1857">
        <v>0.127</v>
      </c>
      <c r="E119" s="1857">
        <v>0.124</v>
      </c>
      <c r="F119" s="1858">
        <v>0.13</v>
      </c>
    </row>
    <row r="120" spans="1:6" ht="15" thickBot="1">
      <c r="A120" s="1852" t="s">
        <v>1406</v>
      </c>
      <c r="B120" s="1856" t="s">
        <v>1178</v>
      </c>
      <c r="C120" s="1857">
        <v>0.125</v>
      </c>
      <c r="D120" s="1857">
        <v>0.125</v>
      </c>
      <c r="E120" s="1857">
        <v>0.122</v>
      </c>
      <c r="F120" s="1858">
        <v>0.13</v>
      </c>
    </row>
    <row r="121" spans="1:6" ht="15" thickBot="1">
      <c r="A121" s="1852" t="s">
        <v>1406</v>
      </c>
      <c r="B121" s="1856" t="s">
        <v>1188</v>
      </c>
      <c r="C121" s="1857">
        <v>0.13</v>
      </c>
      <c r="D121" s="1857">
        <v>0.13</v>
      </c>
      <c r="E121" s="1857">
        <v>0.13</v>
      </c>
      <c r="F121" s="1858">
        <v>0.13</v>
      </c>
    </row>
    <row r="122" spans="1:6" ht="15" thickBot="1">
      <c r="A122" s="1852" t="s">
        <v>1406</v>
      </c>
      <c r="B122" s="1856" t="s">
        <v>1198</v>
      </c>
      <c r="C122" s="1857">
        <v>0.13</v>
      </c>
      <c r="D122" s="1857">
        <v>0.13</v>
      </c>
      <c r="E122" s="1857">
        <v>0.125</v>
      </c>
      <c r="F122" s="1858">
        <v>0.13</v>
      </c>
    </row>
    <row r="123" spans="1:6" ht="15" thickBot="1">
      <c r="A123" s="1852" t="s">
        <v>1406</v>
      </c>
      <c r="B123" s="1856" t="s">
        <v>1208</v>
      </c>
      <c r="C123" s="1857">
        <v>0.129</v>
      </c>
      <c r="D123" s="1857">
        <v>0.129</v>
      </c>
      <c r="E123" s="1857">
        <v>0.123</v>
      </c>
      <c r="F123" s="1858">
        <v>0.13</v>
      </c>
    </row>
    <row r="124" spans="1:6" ht="15" thickBot="1">
      <c r="A124" s="1852" t="s">
        <v>1406</v>
      </c>
      <c r="B124" s="1856" t="s">
        <v>1218</v>
      </c>
      <c r="C124" s="1857">
        <v>0.10199999999999999</v>
      </c>
      <c r="D124" s="1857">
        <v>0.10100000000000001</v>
      </c>
      <c r="E124" s="1857">
        <v>0.08</v>
      </c>
      <c r="F124" s="1865"/>
    </row>
    <row r="125" spans="1:6" ht="15" thickBot="1">
      <c r="A125" s="1852" t="s">
        <v>1406</v>
      </c>
      <c r="B125" s="1856" t="s">
        <v>1228</v>
      </c>
      <c r="C125" s="1857">
        <v>0.13</v>
      </c>
      <c r="D125" s="1857">
        <v>0.13</v>
      </c>
      <c r="E125" s="1857">
        <v>0.129</v>
      </c>
      <c r="F125" s="1865"/>
    </row>
    <row r="126" spans="1:6" ht="15" thickBot="1">
      <c r="A126" s="1852" t="s">
        <v>1406</v>
      </c>
      <c r="B126" s="1856" t="s">
        <v>1238</v>
      </c>
      <c r="C126" s="1857">
        <v>0.13</v>
      </c>
      <c r="D126" s="1857">
        <v>0.13</v>
      </c>
      <c r="E126" s="1857">
        <v>0.126</v>
      </c>
      <c r="F126" s="1865"/>
    </row>
    <row r="127" spans="1:6" ht="15" thickBot="1">
      <c r="A127" s="1852" t="s">
        <v>1406</v>
      </c>
      <c r="B127" s="1856" t="s">
        <v>1248</v>
      </c>
      <c r="C127" s="1857">
        <v>0.125</v>
      </c>
      <c r="D127" s="1857">
        <v>0.125</v>
      </c>
      <c r="E127" s="1857">
        <v>0.121</v>
      </c>
      <c r="F127" s="1865"/>
    </row>
    <row r="128" spans="1:6" ht="15" thickBot="1">
      <c r="A128" s="1852" t="s">
        <v>1406</v>
      </c>
      <c r="B128" s="1856" t="s">
        <v>1258</v>
      </c>
      <c r="C128" s="1857">
        <v>0.12</v>
      </c>
      <c r="D128" s="1857">
        <v>0.12</v>
      </c>
      <c r="E128" s="1857">
        <v>0.105</v>
      </c>
      <c r="F128" s="1865"/>
    </row>
    <row r="129" spans="1:6" ht="15" thickBot="1">
      <c r="A129" s="1852" t="s">
        <v>1406</v>
      </c>
      <c r="B129" s="1856" t="s">
        <v>1267</v>
      </c>
      <c r="C129" s="1857">
        <v>0.13</v>
      </c>
      <c r="D129" s="1857">
        <v>0.13</v>
      </c>
      <c r="E129" s="1857">
        <v>0.126</v>
      </c>
      <c r="F129" s="1865"/>
    </row>
    <row r="130" spans="1:6" ht="15" thickBot="1">
      <c r="A130" s="1852" t="s">
        <v>1406</v>
      </c>
      <c r="B130" s="1856" t="s">
        <v>1276</v>
      </c>
      <c r="C130" s="1857">
        <v>0.125</v>
      </c>
      <c r="D130" s="1857">
        <v>0.125</v>
      </c>
      <c r="E130" s="1857">
        <v>0.122</v>
      </c>
      <c r="F130" s="1865"/>
    </row>
    <row r="131" spans="1:6" ht="15" thickBot="1">
      <c r="A131" s="1852" t="s">
        <v>1406</v>
      </c>
      <c r="B131" s="1856" t="s">
        <v>1284</v>
      </c>
      <c r="C131" s="1857">
        <v>0.127</v>
      </c>
      <c r="D131" s="1857">
        <v>0.126</v>
      </c>
      <c r="E131" s="1857">
        <v>0.123</v>
      </c>
      <c r="F131" s="1865"/>
    </row>
    <row r="132" spans="1:6" ht="15" thickBot="1">
      <c r="A132" s="1852" t="s">
        <v>1406</v>
      </c>
      <c r="B132" s="1856" t="s">
        <v>1291</v>
      </c>
      <c r="C132" s="1857">
        <v>9.0999999999999998E-2</v>
      </c>
      <c r="D132" s="1857">
        <v>0.121</v>
      </c>
      <c r="E132" s="1857">
        <v>9.9000000000000005E-2</v>
      </c>
      <c r="F132" s="1865"/>
    </row>
    <row r="133" spans="1:6" ht="15" thickBot="1">
      <c r="A133" s="1852" t="s">
        <v>1406</v>
      </c>
      <c r="B133" s="1856" t="s">
        <v>1298</v>
      </c>
      <c r="C133" s="1857">
        <v>0.13</v>
      </c>
      <c r="D133" s="1857">
        <v>0.13</v>
      </c>
      <c r="E133" s="1857">
        <v>0.129</v>
      </c>
      <c r="F133" s="1865"/>
    </row>
    <row r="134" spans="1:6" ht="15" thickBot="1">
      <c r="A134" s="1852" t="s">
        <v>1406</v>
      </c>
      <c r="B134" s="1856" t="s">
        <v>2106</v>
      </c>
      <c r="C134" s="1857">
        <v>6.8000000000000005E-2</v>
      </c>
      <c r="D134" s="1857">
        <v>6.5000000000000002E-2</v>
      </c>
      <c r="E134" s="1857">
        <v>6.5000000000000002E-2</v>
      </c>
      <c r="F134" s="1858">
        <v>0.13</v>
      </c>
    </row>
    <row r="135" spans="1:6" ht="15" thickBot="1">
      <c r="A135" s="1852" t="s">
        <v>1406</v>
      </c>
      <c r="B135" s="1856" t="s">
        <v>1312</v>
      </c>
      <c r="C135" s="1857">
        <v>0.123</v>
      </c>
      <c r="D135" s="1857">
        <v>0.123</v>
      </c>
      <c r="E135" s="1857">
        <v>0.11</v>
      </c>
      <c r="F135" s="1865"/>
    </row>
    <row r="136" spans="1:6" ht="15" thickBot="1">
      <c r="A136" s="1852" t="s">
        <v>1406</v>
      </c>
      <c r="B136" s="1856" t="s">
        <v>1319</v>
      </c>
      <c r="C136" s="1857">
        <v>0.13</v>
      </c>
      <c r="D136" s="1857">
        <v>0.13</v>
      </c>
      <c r="E136" s="1857">
        <v>0.125</v>
      </c>
      <c r="F136" s="1865"/>
    </row>
    <row r="137" spans="1:6" ht="15" thickBot="1">
      <c r="A137" s="1852" t="s">
        <v>1406</v>
      </c>
      <c r="B137" s="1856" t="s">
        <v>1326</v>
      </c>
      <c r="C137" s="1857">
        <v>0.121</v>
      </c>
      <c r="D137" s="1857">
        <v>0.122</v>
      </c>
      <c r="E137" s="1857">
        <v>0.115</v>
      </c>
      <c r="F137" s="1865"/>
    </row>
    <row r="138" spans="1:6" ht="15" thickBot="1">
      <c r="A138" s="1852" t="s">
        <v>1406</v>
      </c>
      <c r="B138" s="1856" t="s">
        <v>2107</v>
      </c>
      <c r="C138" s="1857">
        <v>0.105</v>
      </c>
      <c r="D138" s="1857">
        <v>0.125</v>
      </c>
      <c r="E138" s="1857">
        <v>0.112</v>
      </c>
      <c r="F138" s="1865"/>
    </row>
    <row r="139" spans="1:6" ht="15" thickBot="1">
      <c r="A139" s="1852" t="s">
        <v>1406</v>
      </c>
      <c r="B139" s="1856" t="s">
        <v>2108</v>
      </c>
      <c r="C139" s="1857">
        <v>0.127</v>
      </c>
      <c r="D139" s="1857">
        <v>0.127</v>
      </c>
      <c r="E139" s="1857">
        <v>0.122</v>
      </c>
      <c r="F139" s="1858">
        <v>0.13</v>
      </c>
    </row>
    <row r="140" spans="1:6" ht="15" thickBot="1">
      <c r="A140" s="1852" t="s">
        <v>1406</v>
      </c>
      <c r="B140" s="1856" t="s">
        <v>2109</v>
      </c>
      <c r="C140" s="1857">
        <v>0.125</v>
      </c>
      <c r="D140" s="1857">
        <v>0.125</v>
      </c>
      <c r="E140" s="1857">
        <v>0.11899999999999999</v>
      </c>
      <c r="F140" s="1858">
        <v>0.13</v>
      </c>
    </row>
    <row r="141" spans="1:6" ht="15" thickBot="1">
      <c r="A141" s="1852" t="s">
        <v>1406</v>
      </c>
      <c r="B141" s="1856" t="s">
        <v>1345</v>
      </c>
      <c r="C141" s="1857">
        <v>0.125</v>
      </c>
      <c r="D141" s="1857">
        <v>0.125</v>
      </c>
      <c r="E141" s="1857">
        <v>0.11700000000000001</v>
      </c>
      <c r="F141" s="1865"/>
    </row>
    <row r="142" spans="1:6" ht="15" thickBot="1">
      <c r="A142" s="1852" t="s">
        <v>1406</v>
      </c>
      <c r="B142" s="1856" t="s">
        <v>1350</v>
      </c>
      <c r="C142" s="1857">
        <v>0.125</v>
      </c>
      <c r="D142" s="1857">
        <v>0.125</v>
      </c>
      <c r="E142" s="1857">
        <v>0.115</v>
      </c>
      <c r="F142" s="1865"/>
    </row>
    <row r="143" spans="1:6" ht="15" thickBot="1">
      <c r="A143" s="1852" t="s">
        <v>1406</v>
      </c>
      <c r="B143" s="1856" t="s">
        <v>1355</v>
      </c>
      <c r="C143" s="1857">
        <v>0.121</v>
      </c>
      <c r="D143" s="1857">
        <v>0.121</v>
      </c>
      <c r="E143" s="1857">
        <v>0.108</v>
      </c>
      <c r="F143" s="1865"/>
    </row>
    <row r="144" spans="1:6" ht="15" thickBot="1">
      <c r="A144" s="1852" t="s">
        <v>1406</v>
      </c>
      <c r="B144" s="1869" t="s">
        <v>2110</v>
      </c>
      <c r="C144" s="1870">
        <v>0.126</v>
      </c>
      <c r="D144" s="1870">
        <v>0.126</v>
      </c>
      <c r="E144" s="1870">
        <v>0.121</v>
      </c>
      <c r="F144" s="1865"/>
    </row>
    <row r="145" spans="1:6" ht="15" thickBot="1">
      <c r="A145" s="1860" t="s">
        <v>1406</v>
      </c>
      <c r="B145" s="1871" t="s">
        <v>2111</v>
      </c>
      <c r="C145" s="1872"/>
      <c r="D145" s="1872"/>
      <c r="E145" s="1872"/>
      <c r="F145" s="1873">
        <v>0.05</v>
      </c>
    </row>
    <row r="146" spans="1:6" ht="24.6" thickBot="1">
      <c r="A146" s="1874" t="s">
        <v>1406</v>
      </c>
      <c r="B146" s="1859" t="s">
        <v>2112</v>
      </c>
      <c r="C146" s="1866"/>
      <c r="D146" s="1866"/>
      <c r="E146" s="1866"/>
      <c r="F146" s="1875">
        <v>0.05</v>
      </c>
    </row>
    <row r="147" spans="1:6" ht="24.6" thickBot="1">
      <c r="A147" s="1852" t="s">
        <v>1406</v>
      </c>
      <c r="B147" s="1856" t="s">
        <v>2113</v>
      </c>
      <c r="C147" s="1866"/>
      <c r="D147" s="1866"/>
      <c r="E147" s="1866"/>
      <c r="F147" s="1858">
        <v>0.05</v>
      </c>
    </row>
    <row r="148" spans="1:6" ht="24.6" thickBot="1">
      <c r="A148" s="1852" t="s">
        <v>1406</v>
      </c>
      <c r="B148" s="1856" t="s">
        <v>2114</v>
      </c>
      <c r="C148" s="1866"/>
      <c r="D148" s="1866"/>
      <c r="E148" s="1866"/>
      <c r="F148" s="1858">
        <v>0.05</v>
      </c>
    </row>
    <row r="149" spans="1:6" ht="24.6" thickBot="1">
      <c r="A149" s="1852" t="s">
        <v>1406</v>
      </c>
      <c r="B149" s="1856" t="s">
        <v>2115</v>
      </c>
      <c r="C149" s="1866"/>
      <c r="D149" s="1866"/>
      <c r="E149" s="1866"/>
      <c r="F149" s="1858">
        <v>0.05</v>
      </c>
    </row>
    <row r="150" spans="1:6" ht="24.6" thickBot="1">
      <c r="A150" s="1852" t="s">
        <v>1406</v>
      </c>
      <c r="B150" s="1856" t="s">
        <v>2116</v>
      </c>
      <c r="C150" s="1866"/>
      <c r="D150" s="1866"/>
      <c r="E150" s="1866"/>
      <c r="F150" s="1858">
        <v>0.05</v>
      </c>
    </row>
    <row r="151" spans="1:6" ht="24.6" thickBot="1">
      <c r="A151" s="1852" t="s">
        <v>1406</v>
      </c>
      <c r="B151" s="1856" t="s">
        <v>2117</v>
      </c>
      <c r="C151" s="1866"/>
      <c r="D151" s="1866"/>
      <c r="E151" s="1866"/>
      <c r="F151" s="1858">
        <v>0.05</v>
      </c>
    </row>
    <row r="152" spans="1:6" ht="24.6" thickBot="1">
      <c r="A152" s="1852" t="s">
        <v>1406</v>
      </c>
      <c r="B152" s="1856" t="s">
        <v>1388</v>
      </c>
      <c r="C152" s="1866"/>
      <c r="D152" s="1866"/>
      <c r="E152" s="1866"/>
      <c r="F152" s="1858">
        <v>0.05</v>
      </c>
    </row>
    <row r="153" spans="1:6" ht="15" thickBot="1">
      <c r="A153" s="1852" t="s">
        <v>1406</v>
      </c>
      <c r="B153" s="1856" t="s">
        <v>2118</v>
      </c>
      <c r="C153" s="1866"/>
      <c r="D153" s="1866"/>
      <c r="E153" s="1866"/>
      <c r="F153" s="1858">
        <v>0.05</v>
      </c>
    </row>
    <row r="154" spans="1:6" ht="15" thickBot="1">
      <c r="A154" s="1852" t="s">
        <v>1406</v>
      </c>
      <c r="B154" s="1856" t="s">
        <v>2119</v>
      </c>
      <c r="C154" s="1866"/>
      <c r="D154" s="1866"/>
      <c r="E154" s="1866"/>
      <c r="F154" s="1858">
        <v>0.05</v>
      </c>
    </row>
    <row r="155" spans="1:6" ht="24.6" thickBot="1">
      <c r="A155" s="1852" t="s">
        <v>1406</v>
      </c>
      <c r="B155" s="1856" t="s">
        <v>2120</v>
      </c>
      <c r="C155" s="1866"/>
      <c r="D155" s="1866"/>
      <c r="E155" s="1866"/>
      <c r="F155" s="1858">
        <v>0.05</v>
      </c>
    </row>
    <row r="156" spans="1:6" ht="24.6" thickBot="1">
      <c r="A156" s="1852" t="s">
        <v>1406</v>
      </c>
      <c r="B156" s="1856" t="s">
        <v>2121</v>
      </c>
      <c r="C156" s="1866"/>
      <c r="D156" s="1866"/>
      <c r="E156" s="1866"/>
      <c r="F156" s="1858">
        <v>0.05</v>
      </c>
    </row>
    <row r="157" spans="1:6" ht="24.6" thickBot="1">
      <c r="A157" s="1860" t="s">
        <v>1406</v>
      </c>
      <c r="B157" s="1867" t="s">
        <v>2122</v>
      </c>
      <c r="C157" s="1863"/>
      <c r="D157" s="1863"/>
      <c r="E157" s="1863"/>
      <c r="F157" s="1868">
        <v>0.05</v>
      </c>
    </row>
    <row r="158" spans="1:6" ht="15" thickBot="1">
      <c r="A158" s="1852" t="s">
        <v>1408</v>
      </c>
      <c r="B158" s="1853" t="s">
        <v>2123</v>
      </c>
      <c r="C158" s="1854">
        <v>0.13</v>
      </c>
      <c r="D158" s="1854">
        <v>0.13</v>
      </c>
      <c r="E158" s="1854">
        <v>0.13</v>
      </c>
      <c r="F158" s="1855">
        <v>0.13</v>
      </c>
    </row>
    <row r="159" spans="1:6" ht="15" thickBot="1">
      <c r="A159" s="1852" t="s">
        <v>1408</v>
      </c>
      <c r="B159" s="1856" t="s">
        <v>1073</v>
      </c>
      <c r="C159" s="1857">
        <v>0.13</v>
      </c>
      <c r="D159" s="1857">
        <v>0.13</v>
      </c>
      <c r="E159" s="1857">
        <v>0.13</v>
      </c>
      <c r="F159" s="1858">
        <v>0.13</v>
      </c>
    </row>
    <row r="160" spans="1:6" ht="15" thickBot="1">
      <c r="A160" s="1852" t="s">
        <v>1408</v>
      </c>
      <c r="B160" s="1856" t="s">
        <v>1087</v>
      </c>
      <c r="C160" s="1857">
        <v>0.13</v>
      </c>
      <c r="D160" s="1857">
        <v>0.13</v>
      </c>
      <c r="E160" s="1857">
        <v>0.129</v>
      </c>
      <c r="F160" s="1858">
        <v>0.13</v>
      </c>
    </row>
    <row r="161" spans="1:6" ht="15" thickBot="1">
      <c r="A161" s="1852" t="s">
        <v>1408</v>
      </c>
      <c r="B161" s="1856" t="s">
        <v>1100</v>
      </c>
      <c r="C161" s="1857">
        <v>0.128</v>
      </c>
      <c r="D161" s="1857">
        <v>0.128</v>
      </c>
      <c r="E161" s="1857">
        <v>0.125</v>
      </c>
      <c r="F161" s="1858">
        <v>0.13</v>
      </c>
    </row>
    <row r="162" spans="1:6" ht="15" thickBot="1">
      <c r="A162" s="1852" t="s">
        <v>1408</v>
      </c>
      <c r="B162" s="1856" t="s">
        <v>1114</v>
      </c>
      <c r="C162" s="1857">
        <v>0.122</v>
      </c>
      <c r="D162" s="1857">
        <v>0.122</v>
      </c>
      <c r="E162" s="1857">
        <v>0.126</v>
      </c>
      <c r="F162" s="1858">
        <v>0.122</v>
      </c>
    </row>
    <row r="163" spans="1:6" ht="15" thickBot="1">
      <c r="A163" s="1852" t="s">
        <v>1408</v>
      </c>
      <c r="B163" s="1856" t="s">
        <v>1125</v>
      </c>
      <c r="C163" s="1857">
        <v>0.13</v>
      </c>
      <c r="D163" s="1857">
        <v>0.13</v>
      </c>
      <c r="E163" s="1857">
        <v>0.125</v>
      </c>
      <c r="F163" s="1858">
        <v>0.13</v>
      </c>
    </row>
    <row r="164" spans="1:6" ht="15" thickBot="1">
      <c r="A164" s="1852" t="s">
        <v>1408</v>
      </c>
      <c r="B164" s="1856" t="s">
        <v>1136</v>
      </c>
      <c r="C164" s="1857">
        <v>0.13</v>
      </c>
      <c r="D164" s="1857">
        <v>0.13</v>
      </c>
      <c r="E164" s="1857">
        <v>0.13</v>
      </c>
      <c r="F164" s="1858">
        <v>0.13</v>
      </c>
    </row>
    <row r="165" spans="1:6" ht="15" thickBot="1">
      <c r="A165" s="1852" t="s">
        <v>1408</v>
      </c>
      <c r="B165" s="1856" t="s">
        <v>1147</v>
      </c>
      <c r="C165" s="1857">
        <v>0.13</v>
      </c>
      <c r="D165" s="1857">
        <v>0.13</v>
      </c>
      <c r="E165" s="1857">
        <v>0.124</v>
      </c>
      <c r="F165" s="1858">
        <v>0.13</v>
      </c>
    </row>
    <row r="166" spans="1:6" ht="15" thickBot="1">
      <c r="A166" s="1852" t="s">
        <v>1408</v>
      </c>
      <c r="B166" s="1856" t="s">
        <v>1159</v>
      </c>
      <c r="C166" s="1857">
        <v>0.13</v>
      </c>
      <c r="D166" s="1857">
        <v>0.13</v>
      </c>
      <c r="E166" s="1857">
        <v>0.13</v>
      </c>
      <c r="F166" s="1858">
        <v>0.13</v>
      </c>
    </row>
    <row r="167" spans="1:6" ht="15" thickBot="1">
      <c r="A167" s="1852" t="s">
        <v>1408</v>
      </c>
      <c r="B167" s="1856" t="s">
        <v>1169</v>
      </c>
      <c r="C167" s="1857">
        <v>0.125</v>
      </c>
      <c r="D167" s="1857">
        <v>0.125</v>
      </c>
      <c r="E167" s="1857">
        <v>0.121</v>
      </c>
      <c r="F167" s="1865"/>
    </row>
    <row r="168" spans="1:6" ht="15" thickBot="1">
      <c r="A168" s="1852" t="s">
        <v>1408</v>
      </c>
      <c r="B168" s="1856" t="s">
        <v>1179</v>
      </c>
      <c r="C168" s="1857">
        <v>0.13</v>
      </c>
      <c r="D168" s="1857">
        <v>0.13</v>
      </c>
      <c r="E168" s="1857">
        <v>0.126</v>
      </c>
      <c r="F168" s="1865"/>
    </row>
    <row r="169" spans="1:6" ht="15" thickBot="1">
      <c r="A169" s="1852" t="s">
        <v>1408</v>
      </c>
      <c r="B169" s="1856" t="s">
        <v>1189</v>
      </c>
      <c r="C169" s="1857">
        <v>0.128</v>
      </c>
      <c r="D169" s="1857">
        <v>0.129</v>
      </c>
      <c r="E169" s="1857">
        <v>0.13</v>
      </c>
      <c r="F169" s="1865"/>
    </row>
    <row r="170" spans="1:6" ht="15" thickBot="1">
      <c r="A170" s="1852" t="s">
        <v>1408</v>
      </c>
      <c r="B170" s="1856" t="s">
        <v>1199</v>
      </c>
      <c r="C170" s="1857">
        <v>0.14099999999999999</v>
      </c>
      <c r="D170" s="1857">
        <v>0.13</v>
      </c>
      <c r="E170" s="1857">
        <v>0.125</v>
      </c>
      <c r="F170" s="1865"/>
    </row>
    <row r="171" spans="1:6" ht="15" thickBot="1">
      <c r="A171" s="1852" t="s">
        <v>1408</v>
      </c>
      <c r="B171" s="1856" t="s">
        <v>2124</v>
      </c>
      <c r="C171" s="1857">
        <v>0.127</v>
      </c>
      <c r="D171" s="1857">
        <v>0.126</v>
      </c>
      <c r="E171" s="1857">
        <v>0.126</v>
      </c>
      <c r="F171" s="1858">
        <v>0.11799999999999999</v>
      </c>
    </row>
    <row r="172" spans="1:6" ht="15" thickBot="1">
      <c r="A172" s="1852" t="s">
        <v>1408</v>
      </c>
      <c r="B172" s="1856" t="s">
        <v>2125</v>
      </c>
      <c r="C172" s="1857">
        <v>0.13</v>
      </c>
      <c r="D172" s="1857">
        <v>0.13</v>
      </c>
      <c r="E172" s="1857">
        <v>0.13</v>
      </c>
      <c r="F172" s="1865"/>
    </row>
    <row r="173" spans="1:6" ht="15" thickBot="1">
      <c r="A173" s="1852" t="s">
        <v>1408</v>
      </c>
      <c r="B173" s="1856" t="s">
        <v>1229</v>
      </c>
      <c r="C173" s="1857">
        <v>0.13</v>
      </c>
      <c r="D173" s="1857">
        <v>0.13</v>
      </c>
      <c r="E173" s="1857">
        <v>0.13</v>
      </c>
      <c r="F173" s="1865"/>
    </row>
    <row r="174" spans="1:6" ht="15" thickBot="1">
      <c r="A174" s="1852" t="s">
        <v>1408</v>
      </c>
      <c r="B174" s="1856" t="s">
        <v>2126</v>
      </c>
      <c r="C174" s="1857">
        <v>0.13</v>
      </c>
      <c r="D174" s="1857">
        <v>0.13</v>
      </c>
      <c r="E174" s="1857">
        <v>0.13</v>
      </c>
      <c r="F174" s="1858">
        <v>0.13</v>
      </c>
    </row>
    <row r="175" spans="1:6" ht="15" thickBot="1">
      <c r="A175" s="1852" t="s">
        <v>1408</v>
      </c>
      <c r="B175" s="1856" t="s">
        <v>2127</v>
      </c>
      <c r="C175" s="1857">
        <v>0.13</v>
      </c>
      <c r="D175" s="1857">
        <v>0.13</v>
      </c>
      <c r="E175" s="1857">
        <v>0.13</v>
      </c>
      <c r="F175" s="1858">
        <v>0.13</v>
      </c>
    </row>
    <row r="176" spans="1:6" ht="15" thickBot="1">
      <c r="A176" s="1852" t="s">
        <v>1408</v>
      </c>
      <c r="B176" s="1856" t="s">
        <v>1259</v>
      </c>
      <c r="C176" s="1857">
        <v>0.13</v>
      </c>
      <c r="D176" s="1857">
        <v>0.13</v>
      </c>
      <c r="E176" s="1857">
        <v>0.13</v>
      </c>
      <c r="F176" s="1858">
        <v>0.13</v>
      </c>
    </row>
    <row r="177" spans="1:6" ht="15" thickBot="1">
      <c r="A177" s="1852" t="s">
        <v>1408</v>
      </c>
      <c r="B177" s="1856" t="s">
        <v>2128</v>
      </c>
      <c r="C177" s="1857">
        <v>0.13</v>
      </c>
      <c r="D177" s="1857">
        <v>0.13</v>
      </c>
      <c r="E177" s="1857">
        <v>0.13</v>
      </c>
      <c r="F177" s="1858">
        <v>0.13</v>
      </c>
    </row>
    <row r="178" spans="1:6" ht="15" thickBot="1">
      <c r="A178" s="1852" t="s">
        <v>1408</v>
      </c>
      <c r="B178" s="1856" t="s">
        <v>1277</v>
      </c>
      <c r="C178" s="1857">
        <v>0.13</v>
      </c>
      <c r="D178" s="1857">
        <v>0.13</v>
      </c>
      <c r="E178" s="1857">
        <v>0.13</v>
      </c>
      <c r="F178" s="1858">
        <v>0.127</v>
      </c>
    </row>
    <row r="179" spans="1:6" ht="15" thickBot="1">
      <c r="A179" s="1852" t="s">
        <v>1408</v>
      </c>
      <c r="B179" s="1856" t="s">
        <v>1285</v>
      </c>
      <c r="C179" s="1857">
        <v>0.13</v>
      </c>
      <c r="D179" s="1857">
        <v>0.13</v>
      </c>
      <c r="E179" s="1857">
        <v>0.13</v>
      </c>
      <c r="F179" s="1865"/>
    </row>
    <row r="180" spans="1:6" ht="15" thickBot="1">
      <c r="A180" s="1852" t="s">
        <v>1408</v>
      </c>
      <c r="B180" s="1856" t="s">
        <v>2129</v>
      </c>
      <c r="C180" s="1857">
        <v>0.13</v>
      </c>
      <c r="D180" s="1857">
        <v>0.13</v>
      </c>
      <c r="E180" s="1857">
        <v>0.125</v>
      </c>
      <c r="F180" s="1858">
        <v>0.13</v>
      </c>
    </row>
    <row r="181" spans="1:6" ht="15" thickBot="1">
      <c r="A181" s="1852" t="s">
        <v>1408</v>
      </c>
      <c r="B181" s="1856" t="s">
        <v>1299</v>
      </c>
      <c r="C181" s="1857">
        <v>0.122</v>
      </c>
      <c r="D181" s="1857">
        <v>0.123</v>
      </c>
      <c r="E181" s="1857">
        <v>0.126</v>
      </c>
      <c r="F181" s="1858">
        <v>0.121</v>
      </c>
    </row>
    <row r="182" spans="1:6" ht="15" thickBot="1">
      <c r="A182" s="1852" t="s">
        <v>1408</v>
      </c>
      <c r="B182" s="1856" t="s">
        <v>1306</v>
      </c>
      <c r="C182" s="1857">
        <v>0.125</v>
      </c>
      <c r="D182" s="1857">
        <v>0.125</v>
      </c>
      <c r="E182" s="1857">
        <v>0.11700000000000001</v>
      </c>
      <c r="F182" s="1858">
        <v>0.13</v>
      </c>
    </row>
    <row r="183" spans="1:6" ht="15" thickBot="1">
      <c r="A183" s="1852" t="s">
        <v>1408</v>
      </c>
      <c r="B183" s="1856" t="s">
        <v>1313</v>
      </c>
      <c r="C183" s="1857">
        <v>0.127</v>
      </c>
      <c r="D183" s="1857">
        <v>0.127</v>
      </c>
      <c r="E183" s="1857">
        <v>0.128</v>
      </c>
      <c r="F183" s="1865"/>
    </row>
    <row r="184" spans="1:6" ht="15" thickBot="1">
      <c r="A184" s="1852" t="s">
        <v>1408</v>
      </c>
      <c r="B184" s="1856" t="s">
        <v>1320</v>
      </c>
      <c r="C184" s="1857">
        <v>0.125</v>
      </c>
      <c r="D184" s="1857">
        <v>0.125</v>
      </c>
      <c r="E184" s="1857">
        <v>0.127</v>
      </c>
      <c r="F184" s="1865"/>
    </row>
    <row r="185" spans="1:6" ht="15" thickBot="1">
      <c r="A185" s="1852" t="s">
        <v>1408</v>
      </c>
      <c r="B185" s="1856" t="s">
        <v>2130</v>
      </c>
      <c r="C185" s="1857">
        <v>0.127</v>
      </c>
      <c r="D185" s="1857">
        <v>0.127</v>
      </c>
      <c r="E185" s="1857">
        <v>0.128</v>
      </c>
      <c r="F185" s="1858">
        <v>0.13</v>
      </c>
    </row>
    <row r="186" spans="1:6" ht="24.6" thickBot="1">
      <c r="A186" s="1852" t="s">
        <v>1408</v>
      </c>
      <c r="B186" s="1856" t="s">
        <v>2131</v>
      </c>
      <c r="C186" s="1866"/>
      <c r="D186" s="1866"/>
      <c r="E186" s="1866"/>
      <c r="F186" s="1858">
        <v>0.05</v>
      </c>
    </row>
    <row r="187" spans="1:6" ht="15" thickBot="1">
      <c r="A187" s="1852" t="s">
        <v>1408</v>
      </c>
      <c r="B187" s="1856" t="s">
        <v>2132</v>
      </c>
      <c r="C187" s="1866"/>
      <c r="D187" s="1866"/>
      <c r="E187" s="1866"/>
      <c r="F187" s="1858">
        <v>0.05</v>
      </c>
    </row>
    <row r="188" spans="1:6" ht="24.6" thickBot="1">
      <c r="A188" s="1852" t="s">
        <v>1408</v>
      </c>
      <c r="B188" s="1856" t="s">
        <v>2133</v>
      </c>
      <c r="C188" s="1866"/>
      <c r="D188" s="1866"/>
      <c r="E188" s="1866"/>
      <c r="F188" s="1858">
        <v>0.05</v>
      </c>
    </row>
    <row r="189" spans="1:6" ht="24.6" thickBot="1">
      <c r="A189" s="1852" t="s">
        <v>1408</v>
      </c>
      <c r="B189" s="1856" t="s">
        <v>2134</v>
      </c>
      <c r="C189" s="1866"/>
      <c r="D189" s="1866"/>
      <c r="E189" s="1866"/>
      <c r="F189" s="1858">
        <v>0.05</v>
      </c>
    </row>
    <row r="190" spans="1:6" ht="24.6" thickBot="1">
      <c r="A190" s="1852" t="s">
        <v>1408</v>
      </c>
      <c r="B190" s="1856" t="s">
        <v>2135</v>
      </c>
      <c r="C190" s="1866"/>
      <c r="D190" s="1866"/>
      <c r="E190" s="1866"/>
      <c r="F190" s="1858">
        <v>0.05</v>
      </c>
    </row>
    <row r="191" spans="1:6" ht="24.6" thickBot="1">
      <c r="A191" s="1852" t="s">
        <v>1408</v>
      </c>
      <c r="B191" s="1856" t="s">
        <v>2136</v>
      </c>
      <c r="C191" s="1866"/>
      <c r="D191" s="1866"/>
      <c r="E191" s="1866"/>
      <c r="F191" s="1858">
        <v>0.05</v>
      </c>
    </row>
    <row r="192" spans="1:6" ht="24.6" thickBot="1">
      <c r="A192" s="1852" t="s">
        <v>1408</v>
      </c>
      <c r="B192" s="1856" t="s">
        <v>2137</v>
      </c>
      <c r="C192" s="1866"/>
      <c r="D192" s="1866"/>
      <c r="E192" s="1866"/>
      <c r="F192" s="1858">
        <v>0.05</v>
      </c>
    </row>
    <row r="193" spans="1:6" ht="24.6" thickBot="1">
      <c r="A193" s="1852" t="s">
        <v>1408</v>
      </c>
      <c r="B193" s="1856" t="s">
        <v>2138</v>
      </c>
      <c r="C193" s="1866"/>
      <c r="D193" s="1866"/>
      <c r="E193" s="1866"/>
      <c r="F193" s="1858">
        <v>0.05</v>
      </c>
    </row>
    <row r="194" spans="1:6" ht="24.6" thickBot="1">
      <c r="A194" s="1852" t="s">
        <v>1408</v>
      </c>
      <c r="B194" s="1856" t="s">
        <v>2139</v>
      </c>
      <c r="C194" s="1866"/>
      <c r="D194" s="1866"/>
      <c r="E194" s="1866"/>
      <c r="F194" s="1858">
        <v>0.05</v>
      </c>
    </row>
    <row r="195" spans="1:6" ht="15" thickBot="1">
      <c r="A195" s="1852" t="s">
        <v>1408</v>
      </c>
      <c r="B195" s="1856" t="s">
        <v>2140</v>
      </c>
      <c r="C195" s="1866"/>
      <c r="D195" s="1866"/>
      <c r="E195" s="1866"/>
      <c r="F195" s="1858">
        <v>0.05</v>
      </c>
    </row>
    <row r="196" spans="1:6" ht="24.6" thickBot="1">
      <c r="A196" s="1852" t="s">
        <v>1408</v>
      </c>
      <c r="B196" s="1856" t="s">
        <v>2141</v>
      </c>
      <c r="C196" s="1866"/>
      <c r="D196" s="1866"/>
      <c r="E196" s="1866"/>
      <c r="F196" s="1858">
        <v>0.05</v>
      </c>
    </row>
    <row r="197" spans="1:6" ht="24.6" thickBot="1">
      <c r="A197" s="1852" t="s">
        <v>1408</v>
      </c>
      <c r="B197" s="1856" t="s">
        <v>2142</v>
      </c>
      <c r="C197" s="1866"/>
      <c r="D197" s="1866"/>
      <c r="E197" s="1866"/>
      <c r="F197" s="1858">
        <v>0.05</v>
      </c>
    </row>
    <row r="198" spans="1:6" ht="24.6" thickBot="1">
      <c r="A198" s="1852" t="s">
        <v>1408</v>
      </c>
      <c r="B198" s="1856" t="s">
        <v>2143</v>
      </c>
      <c r="C198" s="1866"/>
      <c r="D198" s="1866"/>
      <c r="E198" s="1866"/>
      <c r="F198" s="1858">
        <v>0.05</v>
      </c>
    </row>
    <row r="199" spans="1:6" ht="24.6" thickBot="1">
      <c r="A199" s="1852" t="s">
        <v>1408</v>
      </c>
      <c r="B199" s="1856" t="s">
        <v>2144</v>
      </c>
      <c r="C199" s="1866"/>
      <c r="D199" s="1866"/>
      <c r="E199" s="1866"/>
      <c r="F199" s="1858">
        <v>0.05</v>
      </c>
    </row>
    <row r="200" spans="1:6" ht="24.6" thickBot="1">
      <c r="A200" s="1852" t="s">
        <v>1408</v>
      </c>
      <c r="B200" s="1856" t="s">
        <v>2145</v>
      </c>
      <c r="C200" s="1866"/>
      <c r="D200" s="1866"/>
      <c r="E200" s="1866"/>
      <c r="F200" s="1858">
        <v>0.05</v>
      </c>
    </row>
    <row r="201" spans="1:6" ht="24.6" thickBot="1">
      <c r="A201" s="1852" t="s">
        <v>1408</v>
      </c>
      <c r="B201" s="1856" t="s">
        <v>2146</v>
      </c>
      <c r="C201" s="1866"/>
      <c r="D201" s="1866"/>
      <c r="E201" s="1866"/>
      <c r="F201" s="1858">
        <v>0.05</v>
      </c>
    </row>
    <row r="202" spans="1:6" ht="24.6" thickBot="1">
      <c r="A202" s="1852" t="s">
        <v>1408</v>
      </c>
      <c r="B202" s="1856" t="s">
        <v>2147</v>
      </c>
      <c r="C202" s="1866"/>
      <c r="D202" s="1866"/>
      <c r="E202" s="1866"/>
      <c r="F202" s="1858">
        <v>0.05</v>
      </c>
    </row>
    <row r="203" spans="1:6" ht="24.6" thickBot="1">
      <c r="A203" s="1852" t="s">
        <v>1408</v>
      </c>
      <c r="B203" s="1856" t="s">
        <v>2148</v>
      </c>
      <c r="C203" s="1866"/>
      <c r="D203" s="1866"/>
      <c r="E203" s="1866"/>
      <c r="F203" s="1858">
        <v>0.05</v>
      </c>
    </row>
    <row r="204" spans="1:6" ht="15" thickBot="1">
      <c r="A204" s="1852" t="s">
        <v>1408</v>
      </c>
      <c r="B204" s="1856" t="s">
        <v>2149</v>
      </c>
      <c r="C204" s="1866"/>
      <c r="D204" s="1866"/>
      <c r="E204" s="1866"/>
      <c r="F204" s="1858">
        <v>0.05</v>
      </c>
    </row>
    <row r="205" spans="1:6" ht="15" thickBot="1">
      <c r="A205" s="1860" t="s">
        <v>1408</v>
      </c>
      <c r="B205" s="1867" t="s">
        <v>2150</v>
      </c>
      <c r="C205" s="1863"/>
      <c r="D205" s="1863"/>
      <c r="E205" s="1863"/>
      <c r="F205" s="1868">
        <v>0.05</v>
      </c>
    </row>
    <row r="206" spans="1:6" ht="15" thickBot="1">
      <c r="A206" s="1852" t="s">
        <v>1410</v>
      </c>
      <c r="B206" s="1853" t="s">
        <v>2151</v>
      </c>
      <c r="C206" s="1854">
        <v>0.15</v>
      </c>
      <c r="D206" s="1854">
        <v>0.15</v>
      </c>
      <c r="E206" s="1854">
        <v>0.15</v>
      </c>
      <c r="F206" s="1855">
        <v>0.15</v>
      </c>
    </row>
    <row r="207" spans="1:6" ht="15" thickBot="1">
      <c r="A207" s="1852" t="s">
        <v>1410</v>
      </c>
      <c r="B207" s="1856" t="s">
        <v>1074</v>
      </c>
      <c r="C207" s="1857">
        <v>0.15</v>
      </c>
      <c r="D207" s="1857">
        <v>0.15</v>
      </c>
      <c r="E207" s="1857">
        <v>0.15</v>
      </c>
      <c r="F207" s="1858">
        <v>0.14399999999999999</v>
      </c>
    </row>
    <row r="208" spans="1:6" ht="15" thickBot="1">
      <c r="A208" s="1852" t="s">
        <v>1410</v>
      </c>
      <c r="B208" s="1856" t="s">
        <v>1088</v>
      </c>
      <c r="C208" s="1857">
        <v>0.15</v>
      </c>
      <c r="D208" s="1857">
        <v>0.15</v>
      </c>
      <c r="E208" s="1857">
        <v>0.15</v>
      </c>
      <c r="F208" s="1858">
        <v>0.15</v>
      </c>
    </row>
    <row r="209" spans="1:6" ht="15" thickBot="1">
      <c r="A209" s="1852" t="s">
        <v>1410</v>
      </c>
      <c r="B209" s="1856" t="s">
        <v>1101</v>
      </c>
      <c r="C209" s="1857">
        <v>0.13700000000000001</v>
      </c>
      <c r="D209" s="1857">
        <v>0.13700000000000001</v>
      </c>
      <c r="E209" s="1857">
        <v>0.14000000000000001</v>
      </c>
      <c r="F209" s="1858">
        <v>0.11700000000000001</v>
      </c>
    </row>
    <row r="210" spans="1:6" ht="15" thickBot="1">
      <c r="A210" s="1852" t="s">
        <v>1410</v>
      </c>
      <c r="B210" s="1856" t="s">
        <v>2152</v>
      </c>
      <c r="C210" s="1857">
        <v>0.15</v>
      </c>
      <c r="D210" s="1857">
        <v>0.15</v>
      </c>
      <c r="E210" s="1857">
        <v>0.15</v>
      </c>
      <c r="F210" s="1858">
        <v>0.13800000000000001</v>
      </c>
    </row>
    <row r="211" spans="1:6" ht="15" thickBot="1">
      <c r="A211" s="1852" t="s">
        <v>1410</v>
      </c>
      <c r="B211" s="1856" t="s">
        <v>2153</v>
      </c>
      <c r="C211" s="1857">
        <v>0.13700000000000001</v>
      </c>
      <c r="D211" s="1857">
        <v>0.13500000000000001</v>
      </c>
      <c r="E211" s="1857">
        <v>0.13600000000000001</v>
      </c>
      <c r="F211" s="1858">
        <v>0.1</v>
      </c>
    </row>
    <row r="212" spans="1:6" ht="15" thickBot="1">
      <c r="A212" s="1852" t="s">
        <v>1410</v>
      </c>
      <c r="B212" s="1856" t="s">
        <v>2154</v>
      </c>
      <c r="C212" s="1857">
        <v>0.15</v>
      </c>
      <c r="D212" s="1857">
        <v>0.15</v>
      </c>
      <c r="E212" s="1857">
        <v>0.14799999999999999</v>
      </c>
      <c r="F212" s="1858">
        <v>0.13600000000000001</v>
      </c>
    </row>
    <row r="213" spans="1:6" ht="15" thickBot="1">
      <c r="A213" s="1852" t="s">
        <v>1410</v>
      </c>
      <c r="B213" s="1856" t="s">
        <v>1148</v>
      </c>
      <c r="C213" s="1857">
        <v>0.15</v>
      </c>
      <c r="D213" s="1857">
        <v>0.15</v>
      </c>
      <c r="E213" s="1857">
        <v>0.15</v>
      </c>
      <c r="F213" s="1858">
        <v>0.13800000000000001</v>
      </c>
    </row>
    <row r="214" spans="1:6" ht="15" thickBot="1">
      <c r="A214" s="1852" t="s">
        <v>1410</v>
      </c>
      <c r="B214" s="1856" t="s">
        <v>1160</v>
      </c>
      <c r="C214" s="1857">
        <v>9.0999999999999998E-2</v>
      </c>
      <c r="D214" s="1857">
        <v>0.09</v>
      </c>
      <c r="E214" s="1857">
        <v>9.1999999999999998E-2</v>
      </c>
      <c r="F214" s="1865"/>
    </row>
    <row r="215" spans="1:6" ht="15" thickBot="1">
      <c r="A215" s="1852" t="s">
        <v>1410</v>
      </c>
      <c r="B215" s="1856" t="s">
        <v>2155</v>
      </c>
      <c r="C215" s="1857">
        <v>0.15</v>
      </c>
      <c r="D215" s="1857">
        <v>0.15</v>
      </c>
      <c r="E215" s="1857">
        <v>0.15</v>
      </c>
      <c r="F215" s="1858">
        <v>0.15</v>
      </c>
    </row>
    <row r="216" spans="1:6" ht="15" thickBot="1">
      <c r="A216" s="1852" t="s">
        <v>1410</v>
      </c>
      <c r="B216" s="1856" t="s">
        <v>1180</v>
      </c>
      <c r="C216" s="1857">
        <v>0.14699999999999999</v>
      </c>
      <c r="D216" s="1857">
        <v>0.14699999999999999</v>
      </c>
      <c r="E216" s="1857">
        <v>0.15</v>
      </c>
      <c r="F216" s="1858">
        <v>0.14000000000000001</v>
      </c>
    </row>
    <row r="217" spans="1:6" ht="15" thickBot="1">
      <c r="A217" s="1852" t="s">
        <v>1410</v>
      </c>
      <c r="B217" s="1856" t="s">
        <v>1190</v>
      </c>
      <c r="C217" s="1857">
        <v>0.15</v>
      </c>
      <c r="D217" s="1857">
        <v>0.15</v>
      </c>
      <c r="E217" s="1857">
        <v>0.15</v>
      </c>
      <c r="F217" s="1858">
        <v>0.15</v>
      </c>
    </row>
    <row r="218" spans="1:6" ht="15" thickBot="1">
      <c r="A218" s="1852" t="s">
        <v>1410</v>
      </c>
      <c r="B218" s="1856" t="s">
        <v>2156</v>
      </c>
      <c r="C218" s="1857">
        <v>0.15</v>
      </c>
      <c r="D218" s="1857">
        <v>0.15</v>
      </c>
      <c r="E218" s="1857">
        <v>0.15</v>
      </c>
      <c r="F218" s="1858">
        <v>0.15</v>
      </c>
    </row>
    <row r="219" spans="1:6" ht="15" thickBot="1">
      <c r="A219" s="1852" t="s">
        <v>1410</v>
      </c>
      <c r="B219" s="1856" t="s">
        <v>1210</v>
      </c>
      <c r="C219" s="1857">
        <v>0.15</v>
      </c>
      <c r="D219" s="1857">
        <v>0.15</v>
      </c>
      <c r="E219" s="1857">
        <v>0.15</v>
      </c>
      <c r="F219" s="1858">
        <v>0.14799999999999999</v>
      </c>
    </row>
    <row r="220" spans="1:6" ht="15" thickBot="1">
      <c r="A220" s="1852" t="s">
        <v>1410</v>
      </c>
      <c r="B220" s="1856" t="s">
        <v>2157</v>
      </c>
      <c r="C220" s="1857">
        <v>0.15</v>
      </c>
      <c r="D220" s="1857">
        <v>0.15</v>
      </c>
      <c r="E220" s="1857">
        <v>0.15</v>
      </c>
      <c r="F220" s="1858">
        <v>0.15</v>
      </c>
    </row>
    <row r="221" spans="1:6" ht="15" thickBot="1">
      <c r="A221" s="1852" t="s">
        <v>1410</v>
      </c>
      <c r="B221" s="1856" t="s">
        <v>1230</v>
      </c>
      <c r="C221" s="1857"/>
      <c r="D221" s="1866"/>
      <c r="E221" s="1866"/>
      <c r="F221" s="1858">
        <v>0.14799999999999999</v>
      </c>
    </row>
    <row r="222" spans="1:6" ht="15" thickBot="1">
      <c r="A222" s="1852" t="s">
        <v>1410</v>
      </c>
      <c r="B222" s="1856" t="s">
        <v>1240</v>
      </c>
      <c r="C222" s="1857"/>
      <c r="D222" s="1866"/>
      <c r="E222" s="1866"/>
      <c r="F222" s="1858">
        <v>0.1</v>
      </c>
    </row>
    <row r="223" spans="1:6" ht="15" thickBot="1">
      <c r="A223" s="1852" t="s">
        <v>1410</v>
      </c>
      <c r="B223" s="1856" t="s">
        <v>1250</v>
      </c>
      <c r="C223" s="1857"/>
      <c r="D223" s="1866"/>
      <c r="E223" s="1866"/>
      <c r="F223" s="1858">
        <v>0.15</v>
      </c>
    </row>
    <row r="224" spans="1:6" ht="15" thickBot="1">
      <c r="A224" s="1852" t="s">
        <v>1410</v>
      </c>
      <c r="B224" s="1856" t="s">
        <v>1260</v>
      </c>
      <c r="C224" s="1857"/>
      <c r="D224" s="1866"/>
      <c r="E224" s="1866"/>
      <c r="F224" s="1858">
        <v>0.15</v>
      </c>
    </row>
    <row r="225" spans="1:6" ht="15" thickBot="1">
      <c r="A225" s="1852" t="s">
        <v>1410</v>
      </c>
      <c r="B225" s="1856" t="s">
        <v>2158</v>
      </c>
      <c r="C225" s="1857">
        <v>0.15</v>
      </c>
      <c r="D225" s="1857">
        <v>0.15</v>
      </c>
      <c r="E225" s="1857">
        <v>0.15</v>
      </c>
      <c r="F225" s="1858">
        <v>0.15</v>
      </c>
    </row>
    <row r="226" spans="1:6" ht="15" thickBot="1">
      <c r="A226" s="1852" t="s">
        <v>1410</v>
      </c>
      <c r="B226" s="1856" t="s">
        <v>1278</v>
      </c>
      <c r="C226" s="1857">
        <v>0.15</v>
      </c>
      <c r="D226" s="1857">
        <v>0.15</v>
      </c>
      <c r="E226" s="1857">
        <v>0.15</v>
      </c>
      <c r="F226" s="1858">
        <v>0.14799999999999999</v>
      </c>
    </row>
    <row r="227" spans="1:6" ht="15" thickBot="1">
      <c r="A227" s="1852" t="s">
        <v>1410</v>
      </c>
      <c r="B227" s="1856" t="s">
        <v>2159</v>
      </c>
      <c r="C227" s="1857">
        <v>0.15</v>
      </c>
      <c r="D227" s="1857">
        <v>0.15</v>
      </c>
      <c r="E227" s="1857">
        <v>0.15</v>
      </c>
      <c r="F227" s="1858">
        <v>0.15</v>
      </c>
    </row>
    <row r="228" spans="1:6" ht="15" thickBot="1">
      <c r="A228" s="1852" t="s">
        <v>1410</v>
      </c>
      <c r="B228" s="1856" t="s">
        <v>1293</v>
      </c>
      <c r="C228" s="1857">
        <v>0.15</v>
      </c>
      <c r="D228" s="1857">
        <v>0.15</v>
      </c>
      <c r="E228" s="1857">
        <v>0.15</v>
      </c>
      <c r="F228" s="1858">
        <v>0.15</v>
      </c>
    </row>
    <row r="229" spans="1:6" ht="15" thickBot="1">
      <c r="A229" s="1852" t="s">
        <v>1410</v>
      </c>
      <c r="B229" s="1856" t="s">
        <v>1300</v>
      </c>
      <c r="C229" s="1857">
        <v>0.15</v>
      </c>
      <c r="D229" s="1857">
        <v>0.15</v>
      </c>
      <c r="E229" s="1857">
        <v>0.15</v>
      </c>
      <c r="F229" s="1865"/>
    </row>
    <row r="230" spans="1:6" ht="15" thickBot="1">
      <c r="A230" s="1852" t="s">
        <v>1410</v>
      </c>
      <c r="B230" s="1856" t="s">
        <v>1307</v>
      </c>
      <c r="C230" s="1857">
        <v>0.14499999999999999</v>
      </c>
      <c r="D230" s="1857">
        <v>0.14499999999999999</v>
      </c>
      <c r="E230" s="1857">
        <v>0.14399999999999999</v>
      </c>
      <c r="F230" s="1865"/>
    </row>
    <row r="231" spans="1:6" ht="15" thickBot="1">
      <c r="A231" s="1852" t="s">
        <v>1410</v>
      </c>
      <c r="B231" s="1856" t="s">
        <v>2160</v>
      </c>
      <c r="C231" s="1857">
        <v>0.128</v>
      </c>
      <c r="D231" s="1857">
        <v>0.125</v>
      </c>
      <c r="E231" s="1857">
        <v>0.13200000000000001</v>
      </c>
      <c r="F231" s="1865"/>
    </row>
    <row r="232" spans="1:6" ht="15" thickBot="1">
      <c r="A232" s="1852" t="s">
        <v>1410</v>
      </c>
      <c r="B232" s="1856" t="s">
        <v>2161</v>
      </c>
      <c r="C232" s="1857">
        <v>0.14499999999999999</v>
      </c>
      <c r="D232" s="1857">
        <v>0.14399999999999999</v>
      </c>
      <c r="E232" s="1857">
        <v>0.14599999999999999</v>
      </c>
      <c r="F232" s="1858">
        <v>0.13800000000000001</v>
      </c>
    </row>
    <row r="233" spans="1:6" ht="15" thickBot="1">
      <c r="A233" s="1852" t="s">
        <v>1410</v>
      </c>
      <c r="B233" s="1856" t="s">
        <v>2162</v>
      </c>
      <c r="C233" s="1857">
        <v>0.14499999999999999</v>
      </c>
      <c r="D233" s="1857">
        <v>0.14299999999999999</v>
      </c>
      <c r="E233" s="1857">
        <v>0.14199999999999999</v>
      </c>
      <c r="F233" s="1865"/>
    </row>
    <row r="234" spans="1:6" ht="15" thickBot="1">
      <c r="A234" s="1852" t="s">
        <v>1410</v>
      </c>
      <c r="B234" s="1856" t="s">
        <v>2163</v>
      </c>
      <c r="C234" s="1857">
        <v>0.14000000000000001</v>
      </c>
      <c r="D234" s="1857">
        <v>0.14000000000000001</v>
      </c>
      <c r="E234" s="1857">
        <v>0.14399999999999999</v>
      </c>
      <c r="F234" s="1865"/>
    </row>
    <row r="235" spans="1:6" ht="15" thickBot="1">
      <c r="A235" s="1852" t="s">
        <v>1410</v>
      </c>
      <c r="B235" s="1856" t="s">
        <v>2164</v>
      </c>
      <c r="C235" s="1857">
        <v>0.14099999999999999</v>
      </c>
      <c r="D235" s="1857">
        <v>0.14199999999999999</v>
      </c>
      <c r="E235" s="1857">
        <v>0.14499999999999999</v>
      </c>
      <c r="F235" s="1858">
        <v>0.15</v>
      </c>
    </row>
    <row r="236" spans="1:6" ht="15" thickBot="1">
      <c r="A236" s="1852" t="s">
        <v>1410</v>
      </c>
      <c r="B236" s="1856" t="s">
        <v>1342</v>
      </c>
      <c r="C236" s="1866"/>
      <c r="D236" s="1866"/>
      <c r="E236" s="1866"/>
      <c r="F236" s="1858">
        <v>0.14299999999999999</v>
      </c>
    </row>
    <row r="237" spans="1:6" ht="24.6" thickBot="1">
      <c r="A237" s="1852" t="s">
        <v>1410</v>
      </c>
      <c r="B237" s="1856" t="s">
        <v>2165</v>
      </c>
      <c r="C237" s="1866"/>
      <c r="D237" s="1866"/>
      <c r="E237" s="1866"/>
      <c r="F237" s="1858">
        <v>0.05</v>
      </c>
    </row>
    <row r="238" spans="1:6" ht="24.6" thickBot="1">
      <c r="A238" s="1852" t="s">
        <v>1410</v>
      </c>
      <c r="B238" s="1856" t="s">
        <v>2166</v>
      </c>
      <c r="C238" s="1866"/>
      <c r="D238" s="1866"/>
      <c r="E238" s="1866"/>
      <c r="F238" s="1858">
        <v>0.05</v>
      </c>
    </row>
    <row r="239" spans="1:6" ht="24.6" thickBot="1">
      <c r="A239" s="1852" t="s">
        <v>1410</v>
      </c>
      <c r="B239" s="1856" t="s">
        <v>2167</v>
      </c>
      <c r="C239" s="1866"/>
      <c r="D239" s="1866"/>
      <c r="E239" s="1866"/>
      <c r="F239" s="1858">
        <v>0.05</v>
      </c>
    </row>
    <row r="240" spans="1:6" ht="24.6" thickBot="1">
      <c r="A240" s="1852" t="s">
        <v>1410</v>
      </c>
      <c r="B240" s="1856" t="s">
        <v>2168</v>
      </c>
      <c r="C240" s="1866"/>
      <c r="D240" s="1866"/>
      <c r="E240" s="1866"/>
      <c r="F240" s="1858">
        <v>0.05</v>
      </c>
    </row>
    <row r="241" spans="1:6" ht="24.6" thickBot="1">
      <c r="A241" s="1852" t="s">
        <v>1410</v>
      </c>
      <c r="B241" s="1856" t="s">
        <v>2169</v>
      </c>
      <c r="C241" s="1866"/>
      <c r="D241" s="1866"/>
      <c r="E241" s="1866"/>
      <c r="F241" s="1858">
        <v>0.05</v>
      </c>
    </row>
    <row r="242" spans="1:6" ht="24.6" thickBot="1">
      <c r="A242" s="1852" t="s">
        <v>1410</v>
      </c>
      <c r="B242" s="1856" t="s">
        <v>2170</v>
      </c>
      <c r="C242" s="1866"/>
      <c r="D242" s="1866"/>
      <c r="E242" s="1866"/>
      <c r="F242" s="1858">
        <v>0.05</v>
      </c>
    </row>
    <row r="243" spans="1:6" ht="24.6" thickBot="1">
      <c r="A243" s="1852" t="s">
        <v>1410</v>
      </c>
      <c r="B243" s="1856" t="s">
        <v>2171</v>
      </c>
      <c r="C243" s="1866"/>
      <c r="D243" s="1866"/>
      <c r="E243" s="1866"/>
      <c r="F243" s="1858">
        <v>0.05</v>
      </c>
    </row>
    <row r="244" spans="1:6" ht="24.6" thickBot="1">
      <c r="A244" s="1860" t="s">
        <v>1410</v>
      </c>
      <c r="B244" s="1867" t="s">
        <v>2172</v>
      </c>
      <c r="C244" s="1863"/>
      <c r="D244" s="1863"/>
      <c r="E244" s="1863"/>
      <c r="F244" s="1868">
        <v>0.05</v>
      </c>
    </row>
    <row r="245" spans="1:6" ht="15" thickBot="1">
      <c r="A245" s="1852" t="s">
        <v>1412</v>
      </c>
      <c r="B245" s="1853" t="s">
        <v>2173</v>
      </c>
      <c r="C245" s="1854">
        <v>0.15</v>
      </c>
      <c r="D245" s="1854">
        <v>0.15</v>
      </c>
      <c r="E245" s="1854">
        <v>0.15</v>
      </c>
      <c r="F245" s="1855">
        <v>0.14299999999999999</v>
      </c>
    </row>
    <row r="246" spans="1:6" ht="15" thickBot="1">
      <c r="A246" s="1852" t="s">
        <v>1412</v>
      </c>
      <c r="B246" s="1856" t="s">
        <v>1075</v>
      </c>
      <c r="C246" s="1857">
        <v>0.15</v>
      </c>
      <c r="D246" s="1857">
        <v>0.15</v>
      </c>
      <c r="E246" s="1857">
        <v>0.15</v>
      </c>
      <c r="F246" s="1858">
        <v>0.114</v>
      </c>
    </row>
    <row r="247" spans="1:6" ht="15" thickBot="1">
      <c r="A247" s="1852" t="s">
        <v>1412</v>
      </c>
      <c r="B247" s="1856" t="s">
        <v>2174</v>
      </c>
      <c r="C247" s="1857">
        <v>0.15</v>
      </c>
      <c r="D247" s="1857">
        <v>0.15</v>
      </c>
      <c r="E247" s="1857">
        <v>0.15</v>
      </c>
      <c r="F247" s="1858">
        <v>0.15</v>
      </c>
    </row>
    <row r="248" spans="1:6" ht="15" thickBot="1">
      <c r="A248" s="1852" t="s">
        <v>1412</v>
      </c>
      <c r="B248" s="1856" t="s">
        <v>2175</v>
      </c>
      <c r="C248" s="1857">
        <v>0.15</v>
      </c>
      <c r="D248" s="1857">
        <v>0.15</v>
      </c>
      <c r="E248" s="1857">
        <v>0.15</v>
      </c>
      <c r="F248" s="1858">
        <v>0.14000000000000001</v>
      </c>
    </row>
    <row r="249" spans="1:6" ht="15" thickBot="1">
      <c r="A249" s="1852" t="s">
        <v>1412</v>
      </c>
      <c r="B249" s="1856" t="s">
        <v>2176</v>
      </c>
      <c r="C249" s="1857">
        <v>0.15</v>
      </c>
      <c r="D249" s="1857">
        <v>0.14899999999999999</v>
      </c>
      <c r="E249" s="1857">
        <v>0.15</v>
      </c>
      <c r="F249" s="1858">
        <v>0.1</v>
      </c>
    </row>
    <row r="250" spans="1:6" ht="15" thickBot="1">
      <c r="A250" s="1852" t="s">
        <v>1412</v>
      </c>
      <c r="B250" s="1856" t="s">
        <v>2177</v>
      </c>
      <c r="C250" s="1857">
        <v>0.15</v>
      </c>
      <c r="D250" s="1857">
        <v>0.15</v>
      </c>
      <c r="E250" s="1857">
        <v>0.15</v>
      </c>
      <c r="F250" s="1858">
        <v>0.14399999999999999</v>
      </c>
    </row>
    <row r="251" spans="1:6" ht="15" thickBot="1">
      <c r="A251" s="1852" t="s">
        <v>1412</v>
      </c>
      <c r="B251" s="1856" t="s">
        <v>1138</v>
      </c>
      <c r="C251" s="1857">
        <v>0.15</v>
      </c>
      <c r="D251" s="1857">
        <v>0.15</v>
      </c>
      <c r="E251" s="1857">
        <v>0.15</v>
      </c>
      <c r="F251" s="1858">
        <v>0.14299999999999999</v>
      </c>
    </row>
    <row r="252" spans="1:6" ht="15" thickBot="1">
      <c r="A252" s="1852" t="s">
        <v>1412</v>
      </c>
      <c r="B252" s="1856" t="s">
        <v>1149</v>
      </c>
      <c r="C252" s="1857">
        <v>0.15</v>
      </c>
      <c r="D252" s="1857">
        <v>0.15</v>
      </c>
      <c r="E252" s="1857">
        <v>0.15</v>
      </c>
      <c r="F252" s="1858">
        <v>0.1</v>
      </c>
    </row>
    <row r="253" spans="1:6" ht="15" thickBot="1">
      <c r="A253" s="1852" t="s">
        <v>1412</v>
      </c>
      <c r="B253" s="1856" t="s">
        <v>1161</v>
      </c>
      <c r="C253" s="1857">
        <v>0.15</v>
      </c>
      <c r="D253" s="1857">
        <v>0.15</v>
      </c>
      <c r="E253" s="1857">
        <v>0.15</v>
      </c>
      <c r="F253" s="1858">
        <v>0.1</v>
      </c>
    </row>
    <row r="254" spans="1:6" ht="15" thickBot="1">
      <c r="A254" s="1852" t="s">
        <v>1412</v>
      </c>
      <c r="B254" s="1856" t="s">
        <v>1171</v>
      </c>
      <c r="C254" s="1866"/>
      <c r="D254" s="1866"/>
      <c r="E254" s="1866"/>
      <c r="F254" s="1858">
        <v>0.15</v>
      </c>
    </row>
    <row r="255" spans="1:6" ht="15" thickBot="1">
      <c r="A255" s="1852" t="s">
        <v>1412</v>
      </c>
      <c r="B255" s="1856" t="s">
        <v>1181</v>
      </c>
      <c r="C255" s="1866"/>
      <c r="D255" s="1866"/>
      <c r="E255" s="1866"/>
      <c r="F255" s="1858">
        <v>0.14299999999999999</v>
      </c>
    </row>
    <row r="256" spans="1:6" ht="15" thickBot="1">
      <c r="A256" s="1852" t="s">
        <v>1412</v>
      </c>
      <c r="B256" s="1856" t="s">
        <v>2178</v>
      </c>
      <c r="C256" s="1857">
        <v>0.14599999999999999</v>
      </c>
      <c r="D256" s="1857">
        <v>0.14699999999999999</v>
      </c>
      <c r="E256" s="1857">
        <v>0.15</v>
      </c>
      <c r="F256" s="1858">
        <v>0.13200000000000001</v>
      </c>
    </row>
    <row r="257" spans="1:6" ht="15" thickBot="1">
      <c r="A257" s="1852" t="s">
        <v>1412</v>
      </c>
      <c r="B257" s="1856" t="s">
        <v>1201</v>
      </c>
      <c r="C257" s="1857">
        <v>0.15</v>
      </c>
      <c r="D257" s="1857">
        <v>0.15</v>
      </c>
      <c r="E257" s="1857">
        <v>0.15</v>
      </c>
      <c r="F257" s="1858">
        <v>0.13900000000000001</v>
      </c>
    </row>
    <row r="258" spans="1:6" ht="15" thickBot="1">
      <c r="A258" s="1852" t="s">
        <v>1412</v>
      </c>
      <c r="B258" s="1856" t="s">
        <v>1211</v>
      </c>
      <c r="C258" s="1857">
        <v>0.15</v>
      </c>
      <c r="D258" s="1857">
        <v>0.15</v>
      </c>
      <c r="E258" s="1857">
        <v>0.15</v>
      </c>
      <c r="F258" s="1858">
        <v>0.13</v>
      </c>
    </row>
    <row r="259" spans="1:6" ht="15" thickBot="1">
      <c r="A259" s="1852" t="s">
        <v>1412</v>
      </c>
      <c r="B259" s="1856" t="s">
        <v>2179</v>
      </c>
      <c r="C259" s="1857">
        <v>0.14799999999999999</v>
      </c>
      <c r="D259" s="1857">
        <v>0.14899999999999999</v>
      </c>
      <c r="E259" s="1857">
        <v>0.15</v>
      </c>
      <c r="F259" s="1858">
        <v>0.13700000000000001</v>
      </c>
    </row>
    <row r="260" spans="1:6" ht="15" thickBot="1">
      <c r="A260" s="1852" t="s">
        <v>1412</v>
      </c>
      <c r="B260" s="1856" t="s">
        <v>1231</v>
      </c>
      <c r="C260" s="1857">
        <v>0.15</v>
      </c>
      <c r="D260" s="1857">
        <v>0.15</v>
      </c>
      <c r="E260" s="1857">
        <v>0.15</v>
      </c>
      <c r="F260" s="1858">
        <v>0.14199999999999999</v>
      </c>
    </row>
    <row r="261" spans="1:6" ht="15" thickBot="1">
      <c r="A261" s="1852" t="s">
        <v>1412</v>
      </c>
      <c r="B261" s="1856" t="s">
        <v>1241</v>
      </c>
      <c r="C261" s="1857">
        <v>0.15</v>
      </c>
      <c r="D261" s="1857">
        <v>0.15</v>
      </c>
      <c r="E261" s="1857">
        <v>0.14899999999999999</v>
      </c>
      <c r="F261" s="1858">
        <v>0.14799999999999999</v>
      </c>
    </row>
    <row r="262" spans="1:6" ht="15" thickBot="1">
      <c r="A262" s="1852" t="s">
        <v>1412</v>
      </c>
      <c r="B262" s="1856" t="s">
        <v>1251</v>
      </c>
      <c r="C262" s="1857">
        <v>0.15</v>
      </c>
      <c r="D262" s="1857">
        <v>0.15</v>
      </c>
      <c r="E262" s="1857">
        <v>0.15</v>
      </c>
      <c r="F262" s="1865"/>
    </row>
    <row r="263" spans="1:6" ht="15" thickBot="1">
      <c r="A263" s="1852" t="s">
        <v>1412</v>
      </c>
      <c r="B263" s="1856" t="s">
        <v>2180</v>
      </c>
      <c r="C263" s="1857">
        <v>0.14899999999999999</v>
      </c>
      <c r="D263" s="1857">
        <v>0.14899999999999999</v>
      </c>
      <c r="E263" s="1857">
        <v>0.15</v>
      </c>
      <c r="F263" s="1858">
        <v>0.13</v>
      </c>
    </row>
    <row r="264" spans="1:6" ht="15" thickBot="1">
      <c r="A264" s="1852" t="s">
        <v>1412</v>
      </c>
      <c r="B264" s="1856" t="s">
        <v>1270</v>
      </c>
      <c r="C264" s="1857">
        <v>0.14799999999999999</v>
      </c>
      <c r="D264" s="1857">
        <v>0.14699999999999999</v>
      </c>
      <c r="E264" s="1857">
        <v>0.15</v>
      </c>
      <c r="F264" s="1858">
        <v>7.8E-2</v>
      </c>
    </row>
    <row r="265" spans="1:6" ht="15" thickBot="1">
      <c r="A265" s="1852" t="s">
        <v>1412</v>
      </c>
      <c r="B265" s="1856" t="s">
        <v>1279</v>
      </c>
      <c r="C265" s="1857">
        <v>0.15</v>
      </c>
      <c r="D265" s="1857">
        <v>0.15</v>
      </c>
      <c r="E265" s="1857">
        <v>0.15</v>
      </c>
      <c r="F265" s="1858">
        <v>7.3999999999999996E-2</v>
      </c>
    </row>
    <row r="266" spans="1:6" ht="15" thickBot="1">
      <c r="A266" s="1852" t="s">
        <v>1412</v>
      </c>
      <c r="B266" s="1856" t="s">
        <v>1287</v>
      </c>
      <c r="C266" s="1857">
        <v>0.14699999999999999</v>
      </c>
      <c r="D266" s="1857">
        <v>0.14699999999999999</v>
      </c>
      <c r="E266" s="1857">
        <v>0.15</v>
      </c>
      <c r="F266" s="1858">
        <v>0.14299999999999999</v>
      </c>
    </row>
    <row r="267" spans="1:6" ht="15" thickBot="1">
      <c r="A267" s="1852" t="s">
        <v>1412</v>
      </c>
      <c r="B267" s="1856" t="s">
        <v>1294</v>
      </c>
      <c r="C267" s="1857">
        <v>0.14199999999999999</v>
      </c>
      <c r="D267" s="1857">
        <v>0.14299999999999999</v>
      </c>
      <c r="E267" s="1857">
        <v>0.15</v>
      </c>
      <c r="F267" s="1865"/>
    </row>
    <row r="268" spans="1:6" ht="15" thickBot="1">
      <c r="A268" s="1852" t="s">
        <v>1412</v>
      </c>
      <c r="B268" s="1856" t="s">
        <v>2181</v>
      </c>
      <c r="C268" s="1857">
        <v>0.15</v>
      </c>
      <c r="D268" s="1857">
        <v>0.15</v>
      </c>
      <c r="E268" s="1857">
        <v>0.15</v>
      </c>
      <c r="F268" s="1858">
        <v>0.13</v>
      </c>
    </row>
    <row r="269" spans="1:6" ht="15" thickBot="1">
      <c r="A269" s="1852" t="s">
        <v>1412</v>
      </c>
      <c r="B269" s="1856" t="s">
        <v>1308</v>
      </c>
      <c r="C269" s="1857">
        <v>0.15</v>
      </c>
      <c r="D269" s="1857">
        <v>0.15</v>
      </c>
      <c r="E269" s="1857">
        <v>0.15</v>
      </c>
      <c r="F269" s="1858">
        <v>0.14299999999999999</v>
      </c>
    </row>
    <row r="270" spans="1:6" ht="15" thickBot="1">
      <c r="A270" s="1852" t="s">
        <v>1412</v>
      </c>
      <c r="B270" s="1856" t="s">
        <v>1315</v>
      </c>
      <c r="C270" s="1857">
        <v>0.14499999999999999</v>
      </c>
      <c r="D270" s="1857">
        <v>0.14499999999999999</v>
      </c>
      <c r="E270" s="1857">
        <v>0.15</v>
      </c>
      <c r="F270" s="1858">
        <v>0.14699999999999999</v>
      </c>
    </row>
    <row r="271" spans="1:6" ht="15" thickBot="1">
      <c r="A271" s="1852" t="s">
        <v>1412</v>
      </c>
      <c r="B271" s="1856" t="s">
        <v>1322</v>
      </c>
      <c r="C271" s="1857">
        <v>0.15</v>
      </c>
      <c r="D271" s="1857">
        <v>0.15</v>
      </c>
      <c r="E271" s="1857">
        <v>0.15</v>
      </c>
      <c r="F271" s="1858">
        <v>0.13800000000000001</v>
      </c>
    </row>
    <row r="272" spans="1:6" ht="15" thickBot="1">
      <c r="A272" s="1852" t="s">
        <v>1412</v>
      </c>
      <c r="B272" s="1856" t="s">
        <v>1329</v>
      </c>
      <c r="C272" s="1866"/>
      <c r="D272" s="1866"/>
      <c r="E272" s="1866"/>
      <c r="F272" s="1858">
        <v>0.14000000000000001</v>
      </c>
    </row>
    <row r="273" spans="1:6" ht="15" thickBot="1">
      <c r="A273" s="1852" t="s">
        <v>1412</v>
      </c>
      <c r="B273" s="1856" t="s">
        <v>2182</v>
      </c>
      <c r="C273" s="1857">
        <v>0.14199999999999999</v>
      </c>
      <c r="D273" s="1857">
        <v>0.14299999999999999</v>
      </c>
      <c r="E273" s="1857">
        <v>0.15</v>
      </c>
      <c r="F273" s="1858">
        <v>0.1</v>
      </c>
    </row>
    <row r="274" spans="1:6" ht="15" thickBot="1">
      <c r="A274" s="1852" t="s">
        <v>1412</v>
      </c>
      <c r="B274" s="1856" t="s">
        <v>2183</v>
      </c>
      <c r="C274" s="1857">
        <v>0.14799999999999999</v>
      </c>
      <c r="D274" s="1857">
        <v>0.14799999999999999</v>
      </c>
      <c r="E274" s="1857">
        <v>0.15</v>
      </c>
      <c r="F274" s="1858">
        <v>6.7000000000000004E-2</v>
      </c>
    </row>
    <row r="275" spans="1:6" ht="15" thickBot="1">
      <c r="A275" s="1852" t="s">
        <v>1412</v>
      </c>
      <c r="B275" s="1856" t="s">
        <v>2184</v>
      </c>
      <c r="C275" s="1857">
        <v>0.15</v>
      </c>
      <c r="D275" s="1857">
        <v>0.15</v>
      </c>
      <c r="E275" s="1857">
        <v>0.15</v>
      </c>
      <c r="F275" s="1858">
        <v>0.15</v>
      </c>
    </row>
    <row r="276" spans="1:6" ht="15" thickBot="1">
      <c r="A276" s="1852" t="s">
        <v>1412</v>
      </c>
      <c r="B276" s="1856" t="s">
        <v>2185</v>
      </c>
      <c r="C276" s="1857">
        <v>0.14499999999999999</v>
      </c>
      <c r="D276" s="1857">
        <v>0.14299999999999999</v>
      </c>
      <c r="E276" s="1857">
        <v>0.15</v>
      </c>
      <c r="F276" s="1858">
        <v>5.8999999999999997E-2</v>
      </c>
    </row>
    <row r="277" spans="1:6" ht="15" thickBot="1">
      <c r="A277" s="1852" t="s">
        <v>1412</v>
      </c>
      <c r="B277" s="1856" t="s">
        <v>2186</v>
      </c>
      <c r="C277" s="1857">
        <v>0.15</v>
      </c>
      <c r="D277" s="1857">
        <v>0.15</v>
      </c>
      <c r="E277" s="1857">
        <v>0.15</v>
      </c>
      <c r="F277" s="1858">
        <v>0.121</v>
      </c>
    </row>
    <row r="278" spans="1:6" ht="15" thickBot="1">
      <c r="A278" s="1852" t="s">
        <v>1412</v>
      </c>
      <c r="B278" s="1856" t="s">
        <v>2187</v>
      </c>
      <c r="C278" s="1857">
        <v>0.15</v>
      </c>
      <c r="D278" s="1857">
        <v>0.15</v>
      </c>
      <c r="E278" s="1857">
        <v>0.15</v>
      </c>
      <c r="F278" s="1858">
        <v>0.13800000000000001</v>
      </c>
    </row>
    <row r="279" spans="1:6" ht="24.6" thickBot="1">
      <c r="A279" s="1852" t="s">
        <v>1412</v>
      </c>
      <c r="B279" s="1856" t="s">
        <v>2188</v>
      </c>
      <c r="C279" s="1866"/>
      <c r="D279" s="1866"/>
      <c r="E279" s="1866"/>
      <c r="F279" s="1858">
        <v>0.05</v>
      </c>
    </row>
    <row r="280" spans="1:6" ht="24.6" thickBot="1">
      <c r="A280" s="1852" t="s">
        <v>1412</v>
      </c>
      <c r="B280" s="1856" t="s">
        <v>2189</v>
      </c>
      <c r="C280" s="1866"/>
      <c r="D280" s="1866"/>
      <c r="E280" s="1866"/>
      <c r="F280" s="1858">
        <v>0.05</v>
      </c>
    </row>
    <row r="281" spans="1:6" ht="24.6" thickBot="1">
      <c r="A281" s="1852" t="s">
        <v>1412</v>
      </c>
      <c r="B281" s="1856" t="s">
        <v>2190</v>
      </c>
      <c r="C281" s="1866"/>
      <c r="D281" s="1866"/>
      <c r="E281" s="1866"/>
      <c r="F281" s="1858">
        <v>0.05</v>
      </c>
    </row>
    <row r="282" spans="1:6" ht="24.6" thickBot="1">
      <c r="A282" s="1852" t="s">
        <v>1412</v>
      </c>
      <c r="B282" s="1856" t="s">
        <v>2191</v>
      </c>
      <c r="C282" s="1866"/>
      <c r="D282" s="1866"/>
      <c r="E282" s="1866"/>
      <c r="F282" s="1858">
        <v>0.05</v>
      </c>
    </row>
    <row r="283" spans="1:6" ht="24.6" thickBot="1">
      <c r="A283" s="1852" t="s">
        <v>1412</v>
      </c>
      <c r="B283" s="1856" t="s">
        <v>2192</v>
      </c>
      <c r="C283" s="1866"/>
      <c r="D283" s="1866"/>
      <c r="E283" s="1866"/>
      <c r="F283" s="1858">
        <v>0.05</v>
      </c>
    </row>
    <row r="284" spans="1:6" ht="24.6" thickBot="1">
      <c r="A284" s="1852" t="s">
        <v>1412</v>
      </c>
      <c r="B284" s="1856" t="s">
        <v>2193</v>
      </c>
      <c r="C284" s="1866"/>
      <c r="D284" s="1866"/>
      <c r="E284" s="1866"/>
      <c r="F284" s="1858">
        <v>0.05</v>
      </c>
    </row>
    <row r="285" spans="1:6" ht="24.6" thickBot="1">
      <c r="A285" s="1852" t="s">
        <v>1412</v>
      </c>
      <c r="B285" s="1856" t="s">
        <v>2194</v>
      </c>
      <c r="C285" s="1866"/>
      <c r="D285" s="1866"/>
      <c r="E285" s="1866"/>
      <c r="F285" s="1858">
        <v>0.05</v>
      </c>
    </row>
    <row r="286" spans="1:6" ht="24.6" thickBot="1">
      <c r="A286" s="1852" t="s">
        <v>1412</v>
      </c>
      <c r="B286" s="1856" t="s">
        <v>2195</v>
      </c>
      <c r="C286" s="1866"/>
      <c r="D286" s="1866"/>
      <c r="E286" s="1866"/>
      <c r="F286" s="1858">
        <v>0.05</v>
      </c>
    </row>
    <row r="287" spans="1:6" ht="24.6" thickBot="1">
      <c r="A287" s="1852" t="s">
        <v>1412</v>
      </c>
      <c r="B287" s="1856" t="s">
        <v>2196</v>
      </c>
      <c r="C287" s="1866"/>
      <c r="D287" s="1866"/>
      <c r="E287" s="1866"/>
      <c r="F287" s="1858">
        <v>0.05</v>
      </c>
    </row>
    <row r="288" spans="1:6" ht="24.6" thickBot="1">
      <c r="A288" s="1852" t="s">
        <v>1412</v>
      </c>
      <c r="B288" s="1856" t="s">
        <v>2197</v>
      </c>
      <c r="C288" s="1866"/>
      <c r="D288" s="1866"/>
      <c r="E288" s="1866"/>
      <c r="F288" s="1858">
        <v>0.05</v>
      </c>
    </row>
    <row r="289" spans="1:6" ht="24.6" thickBot="1">
      <c r="A289" s="1860" t="s">
        <v>1412</v>
      </c>
      <c r="B289" s="1867" t="s">
        <v>2198</v>
      </c>
      <c r="C289" s="1863"/>
      <c r="D289" s="1863"/>
      <c r="E289" s="1863"/>
      <c r="F289" s="1868">
        <v>0.05</v>
      </c>
    </row>
    <row r="290" spans="1:6" ht="15" thickBot="1">
      <c r="A290" s="1852" t="s">
        <v>1416</v>
      </c>
      <c r="B290" s="1853" t="s">
        <v>2199</v>
      </c>
      <c r="C290" s="1854">
        <v>0.15</v>
      </c>
      <c r="D290" s="1854">
        <v>0.15</v>
      </c>
      <c r="E290" s="1854">
        <v>0.15</v>
      </c>
      <c r="F290" s="1876"/>
    </row>
    <row r="291" spans="1:6" ht="15" thickBot="1">
      <c r="A291" s="1852" t="s">
        <v>1416</v>
      </c>
      <c r="B291" s="1856" t="s">
        <v>1076</v>
      </c>
      <c r="C291" s="1857">
        <v>0.15</v>
      </c>
      <c r="D291" s="1857">
        <v>0.15</v>
      </c>
      <c r="E291" s="1857">
        <v>0.15</v>
      </c>
      <c r="F291" s="1865"/>
    </row>
    <row r="292" spans="1:6" ht="15" thickBot="1">
      <c r="A292" s="1852" t="s">
        <v>1416</v>
      </c>
      <c r="B292" s="1856" t="s">
        <v>2200</v>
      </c>
      <c r="C292" s="1857">
        <v>0.15</v>
      </c>
      <c r="D292" s="1857">
        <v>0.15</v>
      </c>
      <c r="E292" s="1857">
        <v>0.15</v>
      </c>
      <c r="F292" s="1858">
        <v>0.14699999999999999</v>
      </c>
    </row>
    <row r="293" spans="1:6" ht="15" thickBot="1">
      <c r="A293" s="1852" t="s">
        <v>1416</v>
      </c>
      <c r="B293" s="1856" t="s">
        <v>2201</v>
      </c>
      <c r="C293" s="1866"/>
      <c r="D293" s="1866"/>
      <c r="E293" s="1866"/>
      <c r="F293" s="1858">
        <v>0.1</v>
      </c>
    </row>
    <row r="294" spans="1:6" ht="15" thickBot="1">
      <c r="A294" s="1852" t="s">
        <v>1416</v>
      </c>
      <c r="B294" s="1856" t="s">
        <v>2202</v>
      </c>
      <c r="C294" s="1857">
        <v>0.15</v>
      </c>
      <c r="D294" s="1857">
        <v>0.15</v>
      </c>
      <c r="E294" s="1857">
        <v>0.15</v>
      </c>
      <c r="F294" s="1858">
        <v>0.15</v>
      </c>
    </row>
    <row r="295" spans="1:6" ht="15" thickBot="1">
      <c r="A295" s="1852" t="s">
        <v>1416</v>
      </c>
      <c r="B295" s="1856" t="s">
        <v>1117</v>
      </c>
      <c r="C295" s="1857">
        <v>0.15</v>
      </c>
      <c r="D295" s="1857">
        <v>0.15</v>
      </c>
      <c r="E295" s="1857">
        <v>0.15</v>
      </c>
      <c r="F295" s="1858">
        <v>0.15</v>
      </c>
    </row>
    <row r="296" spans="1:6" ht="15" thickBot="1">
      <c r="A296" s="1852" t="s">
        <v>1416</v>
      </c>
      <c r="B296" s="1856" t="s">
        <v>2203</v>
      </c>
      <c r="C296" s="1857">
        <v>0.15</v>
      </c>
      <c r="D296" s="1857">
        <v>0.15</v>
      </c>
      <c r="E296" s="1857">
        <v>0.15</v>
      </c>
      <c r="F296" s="1858">
        <v>0.15</v>
      </c>
    </row>
    <row r="297" spans="1:6" ht="15" thickBot="1">
      <c r="A297" s="1852" t="s">
        <v>1416</v>
      </c>
      <c r="B297" s="1856" t="s">
        <v>2204</v>
      </c>
      <c r="C297" s="1857">
        <v>0.14799999999999999</v>
      </c>
      <c r="D297" s="1857">
        <v>0.14899999999999999</v>
      </c>
      <c r="E297" s="1857">
        <v>0.15</v>
      </c>
      <c r="F297" s="1858">
        <v>0.13700000000000001</v>
      </c>
    </row>
    <row r="298" spans="1:6" ht="15" thickBot="1">
      <c r="A298" s="1852" t="s">
        <v>1416</v>
      </c>
      <c r="B298" s="1856" t="s">
        <v>1150</v>
      </c>
      <c r="C298" s="1857">
        <v>0.13400000000000001</v>
      </c>
      <c r="D298" s="1857">
        <v>0.13400000000000001</v>
      </c>
      <c r="E298" s="1857">
        <v>0.14499999999999999</v>
      </c>
      <c r="F298" s="1858">
        <v>0.14799999999999999</v>
      </c>
    </row>
    <row r="299" spans="1:6" ht="15" thickBot="1">
      <c r="A299" s="1852" t="s">
        <v>1416</v>
      </c>
      <c r="B299" s="1856" t="s">
        <v>1162</v>
      </c>
      <c r="C299" s="1857">
        <v>0.15</v>
      </c>
      <c r="D299" s="1857">
        <v>0.15</v>
      </c>
      <c r="E299" s="1857">
        <v>0.15</v>
      </c>
      <c r="F299" s="1865"/>
    </row>
    <row r="300" spans="1:6" ht="15" thickBot="1">
      <c r="A300" s="1852" t="s">
        <v>1416</v>
      </c>
      <c r="B300" s="1856" t="s">
        <v>2205</v>
      </c>
      <c r="C300" s="1857">
        <v>0.15</v>
      </c>
      <c r="D300" s="1857">
        <v>0.15</v>
      </c>
      <c r="E300" s="1857">
        <v>0.15</v>
      </c>
      <c r="F300" s="1858">
        <v>0.15</v>
      </c>
    </row>
    <row r="301" spans="1:6" ht="15" thickBot="1">
      <c r="A301" s="1852" t="s">
        <v>1416</v>
      </c>
      <c r="B301" s="1856" t="s">
        <v>1182</v>
      </c>
      <c r="C301" s="1857">
        <v>0.15</v>
      </c>
      <c r="D301" s="1857">
        <v>0.15</v>
      </c>
      <c r="E301" s="1857">
        <v>0.15</v>
      </c>
      <c r="F301" s="1865"/>
    </row>
    <row r="302" spans="1:6" ht="15" thickBot="1">
      <c r="A302" s="1852" t="s">
        <v>1416</v>
      </c>
      <c r="B302" s="1856" t="s">
        <v>2206</v>
      </c>
      <c r="C302" s="1857">
        <v>0.15</v>
      </c>
      <c r="D302" s="1857">
        <v>0.15</v>
      </c>
      <c r="E302" s="1857">
        <v>0.15</v>
      </c>
      <c r="F302" s="1858">
        <v>0.15</v>
      </c>
    </row>
    <row r="303" spans="1:6" ht="15" thickBot="1">
      <c r="A303" s="1852" t="s">
        <v>1416</v>
      </c>
      <c r="B303" s="1856" t="s">
        <v>1202</v>
      </c>
      <c r="C303" s="1857">
        <v>0.15</v>
      </c>
      <c r="D303" s="1857">
        <v>0.15</v>
      </c>
      <c r="E303" s="1857">
        <v>0.15</v>
      </c>
      <c r="F303" s="1858">
        <v>0.15</v>
      </c>
    </row>
    <row r="304" spans="1:6" ht="15" thickBot="1">
      <c r="A304" s="1852" t="s">
        <v>1416</v>
      </c>
      <c r="B304" s="1856" t="s">
        <v>1212</v>
      </c>
      <c r="C304" s="1857">
        <v>0.15</v>
      </c>
      <c r="D304" s="1857">
        <v>0.15</v>
      </c>
      <c r="E304" s="1857">
        <v>0.15</v>
      </c>
      <c r="F304" s="1865"/>
    </row>
    <row r="305" spans="1:6" ht="15" thickBot="1">
      <c r="A305" s="1852" t="s">
        <v>1416</v>
      </c>
      <c r="B305" s="1856" t="s">
        <v>2207</v>
      </c>
      <c r="C305" s="1857">
        <v>0.15</v>
      </c>
      <c r="D305" s="1857">
        <v>0.15</v>
      </c>
      <c r="E305" s="1857">
        <v>0.15</v>
      </c>
      <c r="F305" s="1858">
        <v>0.14000000000000001</v>
      </c>
    </row>
    <row r="306" spans="1:6" ht="15" thickBot="1">
      <c r="A306" s="1852" t="s">
        <v>1416</v>
      </c>
      <c r="B306" s="1856" t="s">
        <v>1232</v>
      </c>
      <c r="C306" s="1857">
        <v>0.15</v>
      </c>
      <c r="D306" s="1857">
        <v>0.15</v>
      </c>
      <c r="E306" s="1857">
        <v>0.15</v>
      </c>
      <c r="F306" s="1865"/>
    </row>
    <row r="307" spans="1:6" ht="15" thickBot="1">
      <c r="A307" s="1852" t="s">
        <v>1416</v>
      </c>
      <c r="B307" s="1856" t="s">
        <v>2208</v>
      </c>
      <c r="C307" s="1857">
        <v>0.15</v>
      </c>
      <c r="D307" s="1857">
        <v>0.15</v>
      </c>
      <c r="E307" s="1857">
        <v>0.15</v>
      </c>
      <c r="F307" s="1858">
        <v>0.14299999999999999</v>
      </c>
    </row>
    <row r="308" spans="1:6" ht="15" thickBot="1">
      <c r="A308" s="1852" t="s">
        <v>1416</v>
      </c>
      <c r="B308" s="1856" t="s">
        <v>1252</v>
      </c>
      <c r="C308" s="1857">
        <v>0.15</v>
      </c>
      <c r="D308" s="1857">
        <v>0.15</v>
      </c>
      <c r="E308" s="1857">
        <v>0.15</v>
      </c>
      <c r="F308" s="1858">
        <v>0.15</v>
      </c>
    </row>
    <row r="309" spans="1:6" ht="15" thickBot="1">
      <c r="A309" s="1852" t="s">
        <v>1416</v>
      </c>
      <c r="B309" s="1856" t="s">
        <v>1262</v>
      </c>
      <c r="C309" s="1857">
        <v>0.15</v>
      </c>
      <c r="D309" s="1857">
        <v>0.15</v>
      </c>
      <c r="E309" s="1857">
        <v>0.15</v>
      </c>
      <c r="F309" s="1865"/>
    </row>
    <row r="310" spans="1:6" ht="15" thickBot="1">
      <c r="A310" s="1852" t="s">
        <v>1416</v>
      </c>
      <c r="B310" s="1856" t="s">
        <v>2209</v>
      </c>
      <c r="C310" s="1857">
        <v>0.15</v>
      </c>
      <c r="D310" s="1857">
        <v>0.15</v>
      </c>
      <c r="E310" s="1857">
        <v>0.15</v>
      </c>
      <c r="F310" s="1858">
        <v>0.13700000000000001</v>
      </c>
    </row>
    <row r="311" spans="1:6" ht="15" thickBot="1">
      <c r="A311" s="1852" t="s">
        <v>1416</v>
      </c>
      <c r="B311" s="1856" t="s">
        <v>2210</v>
      </c>
      <c r="C311" s="1857">
        <v>0.15</v>
      </c>
      <c r="D311" s="1857">
        <v>0.15</v>
      </c>
      <c r="E311" s="1857">
        <v>0.15</v>
      </c>
      <c r="F311" s="1858">
        <v>0.15</v>
      </c>
    </row>
    <row r="312" spans="1:6" ht="15" thickBot="1">
      <c r="A312" s="1852" t="s">
        <v>1416</v>
      </c>
      <c r="B312" s="1856" t="s">
        <v>1288</v>
      </c>
      <c r="C312" s="1857">
        <v>0.15</v>
      </c>
      <c r="D312" s="1857">
        <v>0.15</v>
      </c>
      <c r="E312" s="1857">
        <v>0.15</v>
      </c>
      <c r="F312" s="1858">
        <v>0.1</v>
      </c>
    </row>
    <row r="313" spans="1:6" ht="15" thickBot="1">
      <c r="A313" s="1852" t="s">
        <v>1416</v>
      </c>
      <c r="B313" s="1856" t="s">
        <v>2211</v>
      </c>
      <c r="C313" s="1857">
        <v>0.15</v>
      </c>
      <c r="D313" s="1857">
        <v>0.15</v>
      </c>
      <c r="E313" s="1857">
        <v>0.15</v>
      </c>
      <c r="F313" s="1858">
        <v>0.15</v>
      </c>
    </row>
    <row r="314" spans="1:6" ht="24.6" thickBot="1">
      <c r="A314" s="1852" t="s">
        <v>1416</v>
      </c>
      <c r="B314" s="1856" t="s">
        <v>2212</v>
      </c>
      <c r="C314" s="1866"/>
      <c r="D314" s="1866"/>
      <c r="E314" s="1866"/>
      <c r="F314" s="1858">
        <v>0.05</v>
      </c>
    </row>
    <row r="315" spans="1:6" ht="24.6" thickBot="1">
      <c r="A315" s="1852" t="s">
        <v>1416</v>
      </c>
      <c r="B315" s="1856" t="s">
        <v>2213</v>
      </c>
      <c r="C315" s="1866"/>
      <c r="D315" s="1866"/>
      <c r="E315" s="1866"/>
      <c r="F315" s="1858">
        <v>0.05</v>
      </c>
    </row>
    <row r="316" spans="1:6" ht="24.6" thickBot="1">
      <c r="A316" s="1860" t="s">
        <v>1416</v>
      </c>
      <c r="B316" s="1867" t="s">
        <v>2214</v>
      </c>
      <c r="C316" s="1863"/>
      <c r="D316" s="1863"/>
      <c r="E316" s="1863"/>
      <c r="F316" s="1868">
        <v>0.05</v>
      </c>
    </row>
    <row r="317" spans="1:6" ht="15" thickBot="1">
      <c r="A317" s="1852" t="s">
        <v>2215</v>
      </c>
      <c r="B317" s="1853" t="s">
        <v>2216</v>
      </c>
      <c r="C317" s="1854">
        <v>0.15</v>
      </c>
      <c r="D317" s="1854">
        <v>0.15</v>
      </c>
      <c r="E317" s="1854">
        <v>0.15</v>
      </c>
      <c r="F317" s="1855">
        <v>0.15</v>
      </c>
    </row>
    <row r="318" spans="1:6" ht="15" thickBot="1">
      <c r="A318" s="1852" t="s">
        <v>2215</v>
      </c>
      <c r="B318" s="1856" t="s">
        <v>2217</v>
      </c>
      <c r="C318" s="1857">
        <v>0.107</v>
      </c>
      <c r="D318" s="1857">
        <v>0.11</v>
      </c>
      <c r="E318" s="1857">
        <v>0.112</v>
      </c>
      <c r="F318" s="1865"/>
    </row>
    <row r="319" spans="1:6" ht="15" thickBot="1">
      <c r="A319" s="1852" t="s">
        <v>2215</v>
      </c>
      <c r="B319" s="1856" t="s">
        <v>2218</v>
      </c>
      <c r="C319" s="1857">
        <v>0.15</v>
      </c>
      <c r="D319" s="1857">
        <v>0.15</v>
      </c>
      <c r="E319" s="1857">
        <v>0.15</v>
      </c>
      <c r="F319" s="1858">
        <v>0.15</v>
      </c>
    </row>
    <row r="320" spans="1:6" ht="15" thickBot="1">
      <c r="A320" s="1852" t="s">
        <v>2215</v>
      </c>
      <c r="B320" s="1856" t="s">
        <v>1104</v>
      </c>
      <c r="C320" s="1857">
        <v>0.15</v>
      </c>
      <c r="D320" s="1857">
        <v>0.15</v>
      </c>
      <c r="E320" s="1857">
        <v>0.15</v>
      </c>
      <c r="F320" s="1865"/>
    </row>
    <row r="321" spans="1:6" ht="15" thickBot="1">
      <c r="A321" s="1852" t="s">
        <v>2215</v>
      </c>
      <c r="B321" s="1856" t="s">
        <v>2219</v>
      </c>
      <c r="C321" s="1857">
        <v>0.15</v>
      </c>
      <c r="D321" s="1857">
        <v>0.15</v>
      </c>
      <c r="E321" s="1857">
        <v>0.15</v>
      </c>
      <c r="F321" s="1865"/>
    </row>
    <row r="322" spans="1:6" ht="15" thickBot="1">
      <c r="A322" s="1852" t="s">
        <v>2215</v>
      </c>
      <c r="B322" s="1856" t="s">
        <v>2220</v>
      </c>
      <c r="C322" s="1857">
        <v>0.15</v>
      </c>
      <c r="D322" s="1857">
        <v>0.15</v>
      </c>
      <c r="E322" s="1857">
        <v>0.15</v>
      </c>
      <c r="F322" s="1858">
        <v>0.15</v>
      </c>
    </row>
    <row r="323" spans="1:6" ht="15" thickBot="1">
      <c r="A323" s="1852" t="s">
        <v>2215</v>
      </c>
      <c r="B323" s="1856" t="s">
        <v>2221</v>
      </c>
      <c r="C323" s="1857">
        <v>0.15</v>
      </c>
      <c r="D323" s="1857">
        <v>0.15</v>
      </c>
      <c r="E323" s="1857">
        <v>0.15</v>
      </c>
      <c r="F323" s="1865"/>
    </row>
    <row r="324" spans="1:6" ht="15" thickBot="1">
      <c r="A324" s="1852" t="s">
        <v>2215</v>
      </c>
      <c r="B324" s="1856" t="s">
        <v>2222</v>
      </c>
      <c r="C324" s="1857">
        <v>0.15</v>
      </c>
      <c r="D324" s="1857">
        <v>0.15</v>
      </c>
      <c r="E324" s="1857">
        <v>0.15</v>
      </c>
      <c r="F324" s="1865"/>
    </row>
    <row r="325" spans="1:6" ht="15" thickBot="1">
      <c r="A325" s="1852" t="s">
        <v>2215</v>
      </c>
      <c r="B325" s="1856" t="s">
        <v>2223</v>
      </c>
      <c r="C325" s="1857">
        <v>0.15</v>
      </c>
      <c r="D325" s="1857">
        <v>0.15</v>
      </c>
      <c r="E325" s="1857">
        <v>0.15</v>
      </c>
      <c r="F325" s="1858">
        <v>0.14699999999999999</v>
      </c>
    </row>
    <row r="326" spans="1:6" ht="15" thickBot="1">
      <c r="A326" s="1852" t="s">
        <v>2215</v>
      </c>
      <c r="B326" s="1856" t="s">
        <v>1173</v>
      </c>
      <c r="C326" s="1857">
        <v>0.15</v>
      </c>
      <c r="D326" s="1857">
        <v>0.15</v>
      </c>
      <c r="E326" s="1857">
        <v>0.15</v>
      </c>
      <c r="F326" s="1865"/>
    </row>
    <row r="327" spans="1:6" ht="15" thickBot="1">
      <c r="A327" s="1852" t="s">
        <v>2215</v>
      </c>
      <c r="B327" s="1856" t="s">
        <v>2224</v>
      </c>
      <c r="C327" s="1857">
        <v>0.15</v>
      </c>
      <c r="D327" s="1857">
        <v>0.15</v>
      </c>
      <c r="E327" s="1857">
        <v>0.15</v>
      </c>
      <c r="F327" s="1858">
        <v>0.15</v>
      </c>
    </row>
    <row r="328" spans="1:6" ht="15" thickBot="1">
      <c r="A328" s="1852" t="s">
        <v>2215</v>
      </c>
      <c r="B328" s="1856" t="s">
        <v>1193</v>
      </c>
      <c r="C328" s="1857">
        <v>0.15</v>
      </c>
      <c r="D328" s="1857">
        <v>0.15</v>
      </c>
      <c r="E328" s="1857">
        <v>0.15</v>
      </c>
      <c r="F328" s="1858">
        <v>0.14099999999999999</v>
      </c>
    </row>
    <row r="329" spans="1:6" ht="15" thickBot="1">
      <c r="A329" s="1852" t="s">
        <v>2215</v>
      </c>
      <c r="B329" s="1856" t="s">
        <v>1203</v>
      </c>
      <c r="C329" s="1857">
        <v>0.15</v>
      </c>
      <c r="D329" s="1857">
        <v>0.15</v>
      </c>
      <c r="E329" s="1857">
        <v>0.15</v>
      </c>
      <c r="F329" s="1858">
        <v>0.15</v>
      </c>
    </row>
    <row r="330" spans="1:6" ht="15" thickBot="1">
      <c r="A330" s="1852" t="s">
        <v>2215</v>
      </c>
      <c r="B330" s="1856" t="s">
        <v>1213</v>
      </c>
      <c r="C330" s="1857">
        <v>0.15</v>
      </c>
      <c r="D330" s="1857">
        <v>0.15</v>
      </c>
      <c r="E330" s="1857">
        <v>0.15</v>
      </c>
      <c r="F330" s="1865"/>
    </row>
    <row r="331" spans="1:6" ht="15" thickBot="1">
      <c r="A331" s="1852" t="s">
        <v>2215</v>
      </c>
      <c r="B331" s="1856" t="s">
        <v>2225</v>
      </c>
      <c r="C331" s="1857">
        <v>0.15</v>
      </c>
      <c r="D331" s="1857">
        <v>0.15</v>
      </c>
      <c r="E331" s="1857">
        <v>0.15</v>
      </c>
      <c r="F331" s="1858">
        <v>0.15</v>
      </c>
    </row>
    <row r="332" spans="1:6" ht="15" thickBot="1">
      <c r="A332" s="1852" t="s">
        <v>2215</v>
      </c>
      <c r="B332" s="1856" t="s">
        <v>1233</v>
      </c>
      <c r="C332" s="1857">
        <v>0.15</v>
      </c>
      <c r="D332" s="1857">
        <v>0.15</v>
      </c>
      <c r="E332" s="1857">
        <v>0.15</v>
      </c>
      <c r="F332" s="1858">
        <v>0.15</v>
      </c>
    </row>
    <row r="333" spans="1:6" ht="15" thickBot="1">
      <c r="A333" s="1852" t="s">
        <v>2215</v>
      </c>
      <c r="B333" s="1856" t="s">
        <v>2226</v>
      </c>
      <c r="C333" s="1857">
        <v>0.15</v>
      </c>
      <c r="D333" s="1857">
        <v>0.15</v>
      </c>
      <c r="E333" s="1857">
        <v>0.15</v>
      </c>
      <c r="F333" s="1858">
        <v>0.14099999999999999</v>
      </c>
    </row>
    <row r="334" spans="1:6" ht="15" thickBot="1">
      <c r="A334" s="1852" t="s">
        <v>2215</v>
      </c>
      <c r="B334" s="1856" t="s">
        <v>1253</v>
      </c>
      <c r="C334" s="1857">
        <v>0.15</v>
      </c>
      <c r="D334" s="1857">
        <v>0.15</v>
      </c>
      <c r="E334" s="1857">
        <v>0.15</v>
      </c>
      <c r="F334" s="1858">
        <v>0.15</v>
      </c>
    </row>
    <row r="335" spans="1:6" ht="15" thickBot="1">
      <c r="A335" s="1852" t="s">
        <v>2215</v>
      </c>
      <c r="B335" s="1856" t="s">
        <v>1263</v>
      </c>
      <c r="C335" s="1857">
        <v>0.15</v>
      </c>
      <c r="D335" s="1857">
        <v>0.15</v>
      </c>
      <c r="E335" s="1857">
        <v>0.15</v>
      </c>
      <c r="F335" s="1865"/>
    </row>
    <row r="336" spans="1:6" ht="15" thickBot="1">
      <c r="A336" s="1852" t="s">
        <v>2215</v>
      </c>
      <c r="B336" s="1856" t="s">
        <v>2227</v>
      </c>
      <c r="C336" s="1857">
        <v>0.15</v>
      </c>
      <c r="D336" s="1857">
        <v>0.15</v>
      </c>
      <c r="E336" s="1857">
        <v>0.15</v>
      </c>
      <c r="F336" s="1858">
        <v>0.11799999999999999</v>
      </c>
    </row>
    <row r="337" spans="1:6" ht="15" thickBot="1">
      <c r="A337" s="1860" t="s">
        <v>2215</v>
      </c>
      <c r="B337" s="1867" t="s">
        <v>1281</v>
      </c>
      <c r="C337" s="1863"/>
      <c r="D337" s="1863"/>
      <c r="E337" s="1863"/>
      <c r="F337" s="1868">
        <v>0.14299999999999999</v>
      </c>
    </row>
    <row r="338" spans="1:6" ht="15" thickBot="1">
      <c r="A338" s="1852" t="s">
        <v>2228</v>
      </c>
      <c r="B338" s="1853" t="s">
        <v>2229</v>
      </c>
      <c r="C338" s="1854">
        <v>0.15</v>
      </c>
      <c r="D338" s="1854">
        <v>0.15</v>
      </c>
      <c r="E338" s="1854">
        <v>0.15</v>
      </c>
      <c r="F338" s="1876"/>
    </row>
    <row r="339" spans="1:6" ht="15" thickBot="1">
      <c r="A339" s="1852" t="s">
        <v>2228</v>
      </c>
      <c r="B339" s="1856" t="s">
        <v>2230</v>
      </c>
      <c r="C339" s="1857">
        <v>0.15</v>
      </c>
      <c r="D339" s="1857">
        <v>0.15</v>
      </c>
      <c r="E339" s="1857">
        <v>0.15</v>
      </c>
      <c r="F339" s="1865"/>
    </row>
    <row r="340" spans="1:6" ht="15" thickBot="1">
      <c r="A340" s="1852" t="s">
        <v>2228</v>
      </c>
      <c r="B340" s="1856" t="s">
        <v>2231</v>
      </c>
      <c r="C340" s="1857">
        <v>0.15</v>
      </c>
      <c r="D340" s="1857">
        <v>0.15</v>
      </c>
      <c r="E340" s="1857">
        <v>0.15</v>
      </c>
      <c r="F340" s="1865"/>
    </row>
    <row r="341" spans="1:6" ht="15" thickBot="1">
      <c r="A341" s="1852" t="s">
        <v>2232</v>
      </c>
      <c r="B341" s="1856" t="s">
        <v>2233</v>
      </c>
      <c r="C341" s="1857">
        <v>0.15</v>
      </c>
      <c r="D341" s="1857">
        <v>0.15</v>
      </c>
      <c r="E341" s="1857">
        <v>0.15</v>
      </c>
      <c r="F341" s="1858">
        <v>0.15</v>
      </c>
    </row>
    <row r="342" spans="1:6" ht="15" thickBot="1">
      <c r="A342" s="1852" t="s">
        <v>2228</v>
      </c>
      <c r="B342" s="1856" t="s">
        <v>2234</v>
      </c>
      <c r="C342" s="1857">
        <v>0.15</v>
      </c>
      <c r="D342" s="1857">
        <v>0.15</v>
      </c>
      <c r="E342" s="1857">
        <v>0.15</v>
      </c>
      <c r="F342" s="1858">
        <v>0.15</v>
      </c>
    </row>
    <row r="343" spans="1:6" ht="15" thickBot="1">
      <c r="A343" s="1852" t="s">
        <v>2228</v>
      </c>
      <c r="B343" s="1856" t="s">
        <v>2235</v>
      </c>
      <c r="C343" s="1857">
        <v>0.15</v>
      </c>
      <c r="D343" s="1857">
        <v>0.15</v>
      </c>
      <c r="E343" s="1857">
        <v>0.15</v>
      </c>
      <c r="F343" s="1858">
        <v>0.15</v>
      </c>
    </row>
    <row r="344" spans="1:6" ht="1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湖北航宇置业发展有限公司：</v>
      </c>
    </row>
    <row r="4" spans="1:4" ht="34.799999999999997">
      <c r="A4" s="1788" t="str">
        <f>"受贵公司委托，我公司对"&amp;项目基本情况!K2&amp;项目基本情况!B9&amp;"进行了预评估。"</f>
        <v>受贵公司委托，我公司对湖北省鄂州市花湖开发区杨叶大道与胄山大道交叉口西侧出让国有建设用地使用权抵押价格进行了预评估。</v>
      </c>
    </row>
    <row r="5" spans="1:4" ht="17.399999999999999">
      <c r="A5" s="1791" t="s">
        <v>1902</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航宇置业发展有限公司使用的、位于湖北省鄂州市花湖开发区杨叶大道与胄山大道交叉口西侧出让国有建设用地使用权。根据《国有土地使用证》[]，估价对象（分摊）出让国有建设用地使用权面积为148860.3平方米。根据《建设工程规划许可证》[]、《出让合同》[]，估价对象规划建筑面积为429582.71平方米。</v>
      </c>
    </row>
    <row r="7" spans="1:4" ht="52.2">
      <c r="A7" s="1792" t="s">
        <v>2746</v>
      </c>
    </row>
    <row r="8" spans="1:4" ht="17.399999999999999">
      <c r="A8" s="1791" t="s">
        <v>1903</v>
      </c>
    </row>
    <row r="9" spans="1:4" ht="52.2">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2018年9月10日（评估专业人员勘察现场之日）</v>
      </c>
    </row>
    <row r="12" spans="1:4" ht="17.399999999999999">
      <c r="A12" s="1794" t="s">
        <v>2024</v>
      </c>
    </row>
    <row r="13" spans="1:4" ht="17.399999999999999">
      <c r="A13" s="1788" t="s">
        <v>2938</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根据《国有土地使用证》[]，估价对象（分摊）出让国有建设用地使用权面积为148860.3平方米。根据《建设工程规划许可证》[]、《出让合同》[]，估价对象规划建筑面积为429582.71平方米。</v>
      </c>
    </row>
    <row r="21" spans="1:1" ht="17.399999999999999">
      <c r="A21" s="1788" t="s">
        <v>2073</v>
      </c>
    </row>
    <row r="22" spans="1:1" ht="69.599999999999994">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本次估价对象为出让国有建设用地使用权，《国有土地使用证》[]证载土地终止日期为住宅2082年6月26日、商业2052年6月26日、办公2052年6月26日。截至估价期日，出让国有建设用地使用权剩余土地使用年限为。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9月10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3" t="s">
        <v>2947</v>
      </c>
      <c r="B1" s="3125"/>
      <c r="C1" s="3125"/>
      <c r="D1" s="3125"/>
      <c r="E1" s="3125"/>
      <c r="F1" s="3125"/>
    </row>
    <row r="2" spans="1:6" ht="15.6">
      <c r="A2" s="3126" t="s">
        <v>2941</v>
      </c>
      <c r="B2" s="3127" t="e">
        <f ca="1">SUMIF(B7:B14,"&lt;&gt;#ref!",B7:B14)</f>
        <v>#DIV/0!</v>
      </c>
      <c r="C2" s="3126" t="s">
        <v>2942</v>
      </c>
      <c r="D2" s="3125"/>
      <c r="E2" s="3125"/>
      <c r="F2" s="3125"/>
    </row>
    <row r="3" spans="1:6" ht="15.6">
      <c r="A3" s="3126" t="s">
        <v>2944</v>
      </c>
      <c r="B3" s="3127" t="e">
        <f ca="1">ROUND(B2*10000/E3,0)</f>
        <v>#DIV/0!</v>
      </c>
      <c r="C3" s="3126" t="s">
        <v>2077</v>
      </c>
      <c r="D3" s="3126" t="s">
        <v>2943</v>
      </c>
      <c r="E3" s="3127" t="e">
        <f ca="1">SUM(E7:E14)</f>
        <v>#REF!</v>
      </c>
      <c r="F3" s="3125"/>
    </row>
    <row r="4" spans="1:6" ht="15.6">
      <c r="A4" s="3126" t="s">
        <v>2951</v>
      </c>
      <c r="B4" s="3127" t="e">
        <f ca="1">ROUND(B2*10000/E4,0)</f>
        <v>#DIV/0!</v>
      </c>
      <c r="C4" s="3126" t="s">
        <v>2077</v>
      </c>
      <c r="D4" s="3126" t="s">
        <v>2952</v>
      </c>
      <c r="E4" s="3127" t="e">
        <f ca="1">SUM(F7:F14)</f>
        <v>#REF!</v>
      </c>
      <c r="F4" s="3125"/>
    </row>
    <row r="5" spans="1:6" ht="15.6">
      <c r="A5" s="3128"/>
      <c r="B5" s="1878"/>
      <c r="C5" s="1878"/>
      <c r="D5" s="1878"/>
      <c r="E5" s="1878"/>
      <c r="F5" s="3125"/>
    </row>
    <row r="6" spans="1:6" ht="31.2">
      <c r="A6" s="3129" t="s">
        <v>2948</v>
      </c>
      <c r="B6" s="3126" t="s">
        <v>2945</v>
      </c>
      <c r="C6" s="3127"/>
      <c r="D6" s="1878"/>
      <c r="E6" s="3126" t="s">
        <v>2946</v>
      </c>
      <c r="F6" s="3126" t="s">
        <v>2950</v>
      </c>
    </row>
    <row r="7" spans="1:6" ht="15.6">
      <c r="A7" s="259" t="s">
        <v>2949</v>
      </c>
      <c r="B7" s="3130" t="e">
        <f ca="1">SUMIF(INDIRECT("'"&amp;A7&amp;"'"&amp;"!A:A"),"总价",INDIRECT("'"&amp;A7&amp;"'"&amp;"!B:B"))</f>
        <v>#DIV/0!</v>
      </c>
      <c r="C7" s="3126" t="s">
        <v>2942</v>
      </c>
      <c r="D7" s="1878"/>
      <c r="E7" s="3131">
        <f ca="1">SUMIF(INDIRECT("'"&amp;A7&amp;"'"&amp;"!C:C"),"建筑面积",INDIRECT("'"&amp;A7&amp;"'"&amp;"!D:D"))</f>
        <v>0</v>
      </c>
      <c r="F7" s="3131">
        <f ca="1">SUMIF(INDIRECT("'"&amp;A7&amp;"'"&amp;"!E:E"),"土地面积",INDIRECT("'"&amp;A7&amp;"'"&amp;"!F:F"))</f>
        <v>0</v>
      </c>
    </row>
    <row r="8" spans="1:6" ht="15.6">
      <c r="A8" s="259"/>
      <c r="B8" s="3130" t="e">
        <f t="shared" ref="B8:B14" ca="1" si="0">SUMIF(INDIRECT("'"&amp;A8&amp;"'"&amp;"!A:A"),"总价",INDIRECT("'"&amp;A8&amp;"'"&amp;"!B:B"))</f>
        <v>#REF!</v>
      </c>
      <c r="C8" s="3126" t="s">
        <v>2942</v>
      </c>
      <c r="D8" s="1878"/>
      <c r="E8" s="3131" t="e">
        <f t="shared" ref="E8:E14" ca="1" si="1">SUMIF(INDIRECT("'"&amp;A8&amp;"'"&amp;"!C:C"),"建筑面积",INDIRECT("'"&amp;A8&amp;"'"&amp;"!D:D"))</f>
        <v>#REF!</v>
      </c>
      <c r="F8" s="3131" t="e">
        <f t="shared" ref="F8:F14" ca="1" si="2">SUMIF(INDIRECT("'"&amp;A8&amp;"'"&amp;"!E:E"),"土地面积",INDIRECT("'"&amp;A8&amp;"'"&amp;"!F:F"))</f>
        <v>#REF!</v>
      </c>
    </row>
    <row r="9" spans="1:6" ht="15.6">
      <c r="A9" s="259"/>
      <c r="B9" s="3130" t="e">
        <f t="shared" ca="1" si="0"/>
        <v>#REF!</v>
      </c>
      <c r="C9" s="3126" t="s">
        <v>2942</v>
      </c>
      <c r="D9" s="1878"/>
      <c r="E9" s="3131" t="e">
        <f t="shared" ca="1" si="1"/>
        <v>#REF!</v>
      </c>
      <c r="F9" s="3131" t="e">
        <f t="shared" ca="1" si="2"/>
        <v>#REF!</v>
      </c>
    </row>
    <row r="10" spans="1:6" ht="15.6">
      <c r="A10" s="259"/>
      <c r="B10" s="3130" t="e">
        <f t="shared" ca="1" si="0"/>
        <v>#REF!</v>
      </c>
      <c r="C10" s="3126" t="s">
        <v>2942</v>
      </c>
      <c r="D10" s="1878"/>
      <c r="E10" s="3131" t="e">
        <f t="shared" ca="1" si="1"/>
        <v>#REF!</v>
      </c>
      <c r="F10" s="3131" t="e">
        <f t="shared" ca="1" si="2"/>
        <v>#REF!</v>
      </c>
    </row>
    <row r="11" spans="1:6" ht="15.6">
      <c r="A11" s="259"/>
      <c r="B11" s="3130" t="e">
        <f t="shared" ca="1" si="0"/>
        <v>#REF!</v>
      </c>
      <c r="C11" s="3126" t="s">
        <v>2942</v>
      </c>
      <c r="D11" s="1878"/>
      <c r="E11" s="3131" t="e">
        <f t="shared" ca="1" si="1"/>
        <v>#REF!</v>
      </c>
      <c r="F11" s="3131" t="e">
        <f t="shared" ca="1" si="2"/>
        <v>#REF!</v>
      </c>
    </row>
    <row r="12" spans="1:6" ht="15.6">
      <c r="A12" s="259"/>
      <c r="B12" s="3130" t="e">
        <f t="shared" ca="1" si="0"/>
        <v>#REF!</v>
      </c>
      <c r="C12" s="3126" t="s">
        <v>2942</v>
      </c>
      <c r="D12" s="1878"/>
      <c r="E12" s="3131" t="e">
        <f t="shared" ca="1" si="1"/>
        <v>#REF!</v>
      </c>
      <c r="F12" s="3131" t="e">
        <f t="shared" ca="1" si="2"/>
        <v>#REF!</v>
      </c>
    </row>
    <row r="13" spans="1:6" ht="15.6">
      <c r="A13" s="259"/>
      <c r="B13" s="3130" t="e">
        <f t="shared" ca="1" si="0"/>
        <v>#REF!</v>
      </c>
      <c r="C13" s="3126" t="s">
        <v>2942</v>
      </c>
      <c r="D13" s="1878"/>
      <c r="E13" s="3131" t="e">
        <f t="shared" ca="1" si="1"/>
        <v>#REF!</v>
      </c>
      <c r="F13" s="3131" t="e">
        <f t="shared" ca="1" si="2"/>
        <v>#REF!</v>
      </c>
    </row>
    <row r="14" spans="1:6" ht="15.6">
      <c r="A14" s="3124"/>
      <c r="B14" s="3130" t="e">
        <f t="shared" ca="1" si="0"/>
        <v>#REF!</v>
      </c>
      <c r="C14" s="3126" t="s">
        <v>2942</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624</v>
      </c>
      <c r="B1" s="737"/>
      <c r="C1" s="772"/>
      <c r="D1" s="2047"/>
      <c r="E1" s="2408" t="s">
        <v>2374</v>
      </c>
      <c r="F1" s="2409">
        <f ca="1">J54</f>
        <v>0</v>
      </c>
      <c r="G1" s="773">
        <f>MATCH(C1,'数据-取费表'!A6:A16,0)+5</f>
        <v>9</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2457</v>
      </c>
      <c r="C7" s="53">
        <f ca="1">C8+C12+C14</f>
        <v>0</v>
      </c>
      <c r="D7" s="2517" t="s">
        <v>2460</v>
      </c>
      <c r="E7" s="2511"/>
      <c r="F7" s="2512"/>
      <c r="G7" s="1588"/>
      <c r="H7" s="780">
        <v>1</v>
      </c>
      <c r="I7" s="781" t="s">
        <v>2457</v>
      </c>
      <c r="J7" s="53">
        <f ca="1">J8+J12+J14</f>
        <v>0</v>
      </c>
      <c r="K7" s="2517" t="s">
        <v>2460</v>
      </c>
      <c r="L7" s="2511"/>
      <c r="M7" s="2512"/>
    </row>
    <row r="8" spans="1:25" ht="18" customHeight="1">
      <c r="A8" s="1827" t="s">
        <v>1821</v>
      </c>
      <c r="B8" s="3479" t="s">
        <v>2462</v>
      </c>
      <c r="C8" s="1822">
        <f ca="1">ROUND(F8*F10*F9*(1-F11)/10000,0)</f>
        <v>0</v>
      </c>
      <c r="D8" s="1819" t="s">
        <v>2533</v>
      </c>
      <c r="E8" s="61" t="s">
        <v>633</v>
      </c>
      <c r="F8" s="784">
        <f ca="1">INDIRECT("'数据-取费表'!u"&amp;$G$1)</f>
        <v>0</v>
      </c>
      <c r="G8" s="1588"/>
      <c r="H8" s="2525" t="s">
        <v>1821</v>
      </c>
      <c r="I8" s="3479" t="s">
        <v>2462</v>
      </c>
      <c r="J8" s="782">
        <f ca="1">ROUND(M8*M10*M9*(1-M11)/10000,0)</f>
        <v>0</v>
      </c>
      <c r="K8" s="340" t="s">
        <v>2533</v>
      </c>
      <c r="L8" s="783" t="s">
        <v>1735</v>
      </c>
      <c r="M8" s="784">
        <f ca="1">INDIRECT("'数据-取费表'!z"&amp;$G$1)</f>
        <v>0</v>
      </c>
    </row>
    <row r="9" spans="1:25" ht="18" customHeight="1">
      <c r="A9" s="2521"/>
      <c r="B9" s="3480"/>
      <c r="C9" s="1823"/>
      <c r="D9" s="1820"/>
      <c r="E9" s="61" t="s">
        <v>634</v>
      </c>
      <c r="F9" s="784">
        <f ca="1">IF(INDIRECT("'数据-取费表'!ah"&amp;$G$1)="",INDIRECT("'数据-取费表'!k"&amp;$G$1),INDIRECT("'数据-取费表'!ah"&amp;$G$1))</f>
        <v>0</v>
      </c>
      <c r="G9" s="1588"/>
      <c r="H9" s="2510"/>
      <c r="I9" s="3480"/>
      <c r="J9" s="787"/>
      <c r="K9" s="788"/>
      <c r="L9" s="783" t="s">
        <v>1736</v>
      </c>
      <c r="M9" s="784">
        <f ca="1">F9</f>
        <v>0</v>
      </c>
    </row>
    <row r="10" spans="1:25" ht="18" customHeight="1">
      <c r="A10" s="2514"/>
      <c r="B10" s="3481"/>
      <c r="C10" s="1823"/>
      <c r="D10" s="1820"/>
      <c r="E10" s="61" t="s">
        <v>635</v>
      </c>
      <c r="F10" s="784">
        <f ca="1">INDIRECT("'数据-取费表'!ai"&amp;$G$1)</f>
        <v>0</v>
      </c>
      <c r="G10" s="1588"/>
      <c r="H10" s="2510"/>
      <c r="I10" s="3481"/>
      <c r="J10" s="787"/>
      <c r="K10" s="788"/>
      <c r="L10" s="783" t="s">
        <v>1737</v>
      </c>
      <c r="M10" s="784">
        <f ca="1">INDIRECT("'数据-取费表'!ai"&amp;$G$1)</f>
        <v>0</v>
      </c>
    </row>
    <row r="11" spans="1:25" ht="18" customHeight="1">
      <c r="A11" s="785"/>
      <c r="B11" s="3482"/>
      <c r="C11" s="1823"/>
      <c r="D11" s="1820"/>
      <c r="E11" s="61" t="s">
        <v>636</v>
      </c>
      <c r="F11" s="793">
        <f ca="1">INDIRECT("'数据-取费表'!w"&amp;$G$1)</f>
        <v>0</v>
      </c>
      <c r="G11" s="1588"/>
      <c r="H11" s="2526"/>
      <c r="I11" s="3481"/>
      <c r="J11" s="787"/>
      <c r="K11" s="788"/>
      <c r="L11" s="794" t="s">
        <v>1738</v>
      </c>
      <c r="M11" s="795">
        <f ca="1">INDIRECT("'数据-取费表'!ab"&amp;$G$1)</f>
        <v>0</v>
      </c>
    </row>
    <row r="12" spans="1:25" ht="18" customHeight="1">
      <c r="A12" s="1827" t="s">
        <v>1822</v>
      </c>
      <c r="B12" s="2515" t="s">
        <v>2458</v>
      </c>
      <c r="C12" s="798">
        <f ca="1">ROUND(IF(F12="押一",C8/12*F13,IF(F12="押二",C8/12*2*F13,IF(F12="押三",C8/12*3*F13,C13*F13))),0)</f>
        <v>0</v>
      </c>
      <c r="D12" s="2522" t="s">
        <v>2972</v>
      </c>
      <c r="E12" s="2519" t="s">
        <v>2463</v>
      </c>
      <c r="F12" s="2642"/>
      <c r="G12" s="1588"/>
      <c r="H12" s="2582" t="s">
        <v>1822</v>
      </c>
      <c r="I12" s="2587" t="s">
        <v>2458</v>
      </c>
      <c r="J12" s="782">
        <f ca="1">ROUND(IF(M12="押一",J8/12*M13,IF(M12="押二",J8/12*2*M13,IF(M12="押三",J8/12*3*M13,J13*M13))),0)</f>
        <v>0</v>
      </c>
      <c r="K12" s="2522" t="s">
        <v>2972</v>
      </c>
      <c r="L12" s="2519" t="s">
        <v>2463</v>
      </c>
      <c r="M12" s="2642"/>
    </row>
    <row r="13" spans="1:25" ht="18" customHeight="1">
      <c r="A13" s="789"/>
      <c r="B13" s="2516" t="s">
        <v>2572</v>
      </c>
      <c r="C13" s="2520"/>
      <c r="D13" s="788"/>
      <c r="E13" s="2519" t="s">
        <v>2455</v>
      </c>
      <c r="F13" s="795">
        <f ca="1">'数据-取费表'!B39</f>
        <v>1.4999999999999999E-2</v>
      </c>
      <c r="G13" s="1588"/>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8"/>
      <c r="H14" s="2572" t="s">
        <v>2466</v>
      </c>
      <c r="I14" s="2585" t="s">
        <v>2459</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2824</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0.05</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200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2.5000000000000001E-2</v>
      </c>
      <c r="G22" s="1589"/>
      <c r="H22" s="1829" t="s">
        <v>1847</v>
      </c>
      <c r="I22" s="1819" t="s">
        <v>664</v>
      </c>
      <c r="J22" s="54">
        <f ca="1">ROUND(M22*M23/10000,0)</f>
        <v>0</v>
      </c>
      <c r="K22" s="813" t="s">
        <v>665</v>
      </c>
      <c r="L22" s="783" t="s">
        <v>666</v>
      </c>
      <c r="M22" s="639">
        <f>'数据-取费表'!B52</f>
        <v>6</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2.5000000000000001E-2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1.1999999999999999E-3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2821</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2822</v>
      </c>
      <c r="C31" s="2565">
        <f ca="1">ROUND((C21+C22+C25+C28)/(1-F23-C26-C29-C30),0)</f>
        <v>0</v>
      </c>
      <c r="D31" s="2566"/>
      <c r="E31" s="2567"/>
      <c r="F31" s="2568"/>
      <c r="G31" s="1589"/>
      <c r="H31" s="822" t="s">
        <v>1869</v>
      </c>
      <c r="I31" s="3033" t="s">
        <v>2823</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6</v>
      </c>
      <c r="G36" s="2059"/>
      <c r="H36" s="2062"/>
      <c r="I36" s="3478"/>
      <c r="J36" s="2076"/>
      <c r="K36" s="2077"/>
      <c r="L36" s="2076"/>
      <c r="M36" s="2076"/>
    </row>
    <row r="37" spans="1:18" ht="18" customHeight="1">
      <c r="A37" s="814"/>
      <c r="B37" s="792"/>
      <c r="C37" s="69"/>
      <c r="D37" s="815"/>
      <c r="E37" s="783" t="s">
        <v>670</v>
      </c>
      <c r="F37" s="784">
        <f ca="1">INDIRECT("'数据-取费表'!r"&amp;$G$1)</f>
        <v>0</v>
      </c>
      <c r="G37" s="2059"/>
      <c r="H37" s="2062"/>
      <c r="I37" s="3478"/>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2960</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2963</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483"/>
      <c r="L54" s="3484"/>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7.4"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0" t="s">
        <v>2939</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2">
        <v>0</v>
      </c>
      <c r="O65" s="2425" t="s">
        <v>2415</v>
      </c>
      <c r="P65" s="1588"/>
      <c r="Q65" s="1600"/>
      <c r="R65" s="1588"/>
    </row>
    <row r="66" spans="1:18" s="2056" customFormat="1" ht="16.2"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487" t="s">
        <v>2575</v>
      </c>
      <c r="C1" s="3487"/>
      <c r="D1" s="3487"/>
      <c r="E1" s="3487"/>
      <c r="F1" s="3487"/>
      <c r="G1" s="3486" t="s">
        <v>2576</v>
      </c>
      <c r="H1" s="3486"/>
      <c r="I1" s="3486"/>
      <c r="J1" s="3486"/>
      <c r="K1" s="3486"/>
      <c r="L1" s="3486"/>
      <c r="N1" s="3486" t="s">
        <v>2577</v>
      </c>
      <c r="O1" s="3486"/>
      <c r="P1" s="3486"/>
      <c r="Q1" s="3486"/>
      <c r="R1" s="2675"/>
      <c r="S1" s="3486" t="s">
        <v>2578</v>
      </c>
      <c r="T1" s="3486"/>
      <c r="U1" s="3486"/>
      <c r="V1" s="3486"/>
      <c r="X1" s="3485" t="s">
        <v>2638</v>
      </c>
      <c r="Y1" s="3486"/>
      <c r="Z1" s="3486"/>
      <c r="AA1" s="3486"/>
      <c r="AB1" s="3486"/>
      <c r="AD1" s="3485" t="s">
        <v>2642</v>
      </c>
      <c r="AE1" s="3486"/>
      <c r="AF1" s="3486"/>
      <c r="AG1" s="3486"/>
      <c r="AH1" s="3486"/>
    </row>
    <row r="2" spans="1:34" s="2777" customFormat="1" ht="15" thickBot="1">
      <c r="B2" s="2785" t="s">
        <v>2579</v>
      </c>
      <c r="C2" s="2785" t="s">
        <v>2640</v>
      </c>
      <c r="D2" s="2778" t="s">
        <v>1641</v>
      </c>
      <c r="E2" s="2778" t="s">
        <v>1948</v>
      </c>
      <c r="F2" s="2785" t="s">
        <v>2641</v>
      </c>
      <c r="G2" s="2781"/>
      <c r="H2" s="2780"/>
      <c r="I2" s="2785" t="s">
        <v>2954</v>
      </c>
      <c r="J2" s="2778" t="s">
        <v>2956</v>
      </c>
      <c r="K2" s="2778" t="s">
        <v>2957</v>
      </c>
      <c r="L2" s="2785" t="s">
        <v>2958</v>
      </c>
      <c r="N2" s="2785" t="s">
        <v>2579</v>
      </c>
      <c r="O2" s="2778" t="s">
        <v>2955</v>
      </c>
      <c r="P2" s="2778" t="s">
        <v>1948</v>
      </c>
      <c r="Q2" s="2785" t="s">
        <v>2641</v>
      </c>
      <c r="R2" s="2779"/>
      <c r="S2" s="2785" t="s">
        <v>2579</v>
      </c>
      <c r="T2" s="2778" t="s">
        <v>2955</v>
      </c>
      <c r="U2" s="2778" t="s">
        <v>1948</v>
      </c>
      <c r="V2" s="2785" t="s">
        <v>2641</v>
      </c>
      <c r="X2" s="2785" t="s">
        <v>2579</v>
      </c>
      <c r="Y2" s="2785" t="s">
        <v>2640</v>
      </c>
      <c r="Z2" s="2778" t="s">
        <v>1641</v>
      </c>
      <c r="AA2" s="2778" t="s">
        <v>1948</v>
      </c>
      <c r="AB2" s="2785" t="s">
        <v>2641</v>
      </c>
      <c r="AD2" s="2785" t="s">
        <v>2579</v>
      </c>
      <c r="AE2" s="2785" t="s">
        <v>2640</v>
      </c>
      <c r="AF2" s="2778" t="s">
        <v>1641</v>
      </c>
      <c r="AG2" s="2778" t="s">
        <v>1948</v>
      </c>
      <c r="AH2" s="2785" t="s">
        <v>2641</v>
      </c>
    </row>
    <row r="3" spans="1:34" s="3156" customFormat="1" ht="14.4">
      <c r="A3" s="3168" t="s">
        <v>2967</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4">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2974</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2968</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8" thickBot="1">
      <c r="A6" s="2676" t="s">
        <v>2975</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2965</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2969</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494">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89"/>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489"/>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490"/>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964</v>
      </c>
      <c r="B15" s="2682">
        <v>333</v>
      </c>
      <c r="C15" s="2682">
        <v>277</v>
      </c>
      <c r="D15" s="2682">
        <f t="shared" si="35"/>
        <v>277</v>
      </c>
      <c r="E15" s="2682">
        <v>459</v>
      </c>
      <c r="F15" s="2683">
        <v>249</v>
      </c>
      <c r="G15" s="3488">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89"/>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489"/>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490"/>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960</v>
      </c>
      <c r="B19" s="2704">
        <v>318</v>
      </c>
      <c r="C19" s="2704">
        <v>268</v>
      </c>
      <c r="D19" s="2704">
        <f t="shared" si="35"/>
        <v>268</v>
      </c>
      <c r="E19" s="2704">
        <v>437</v>
      </c>
      <c r="F19" s="2705">
        <v>237</v>
      </c>
      <c r="G19" s="3488">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89"/>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489"/>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490"/>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491">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92"/>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92"/>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93"/>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488">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89"/>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89"/>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490"/>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488">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89">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89">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90">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488">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89">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89">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90">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488">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89">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89">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90">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488">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89">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89">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90">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488">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89">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89">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90">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488">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89">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89">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90">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488">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89">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89">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90">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488">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89">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89">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90">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488">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89">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89">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490">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488">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89">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89">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490">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M16" sqref="M16"/>
    </sheetView>
  </sheetViews>
  <sheetFormatPr defaultColWidth="9" defaultRowHeight="13.8"/>
  <cols>
    <col min="1" max="1" width="10.44140625" style="1335" customWidth="1"/>
    <col min="2" max="2" width="15.77734375" style="1335" customWidth="1"/>
    <col min="3" max="3" width="18.21875" style="1335" customWidth="1"/>
    <col min="4" max="4" width="12.21875" style="1335" customWidth="1"/>
    <col min="5" max="5" width="15.77734375" style="1335" customWidth="1"/>
    <col min="6" max="6" width="12.21875" style="1335" customWidth="1"/>
    <col min="7" max="7" width="15.88671875" style="1335" customWidth="1"/>
    <col min="8" max="8" width="12.21875" style="1335" customWidth="1"/>
    <col min="9" max="9" width="16.2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2644" t="s">
        <v>715</v>
      </c>
      <c r="C1" s="2645" t="s">
        <v>716</v>
      </c>
      <c r="D1" s="2646" t="s">
        <v>919</v>
      </c>
      <c r="E1" s="2647"/>
      <c r="F1" s="2828" t="s">
        <v>3111</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18808</v>
      </c>
      <c r="C3" s="851" t="s">
        <v>718</v>
      </c>
      <c r="D3" s="850">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517</v>
      </c>
      <c r="B4" s="512"/>
      <c r="C4" s="3423" t="s">
        <v>518</v>
      </c>
      <c r="D4" s="3424"/>
      <c r="E4" s="3448" t="s">
        <v>519</v>
      </c>
      <c r="F4" s="3449"/>
      <c r="G4" s="3423" t="s">
        <v>520</v>
      </c>
      <c r="H4" s="3424"/>
      <c r="I4" s="3423" t="s">
        <v>521</v>
      </c>
      <c r="J4" s="3424"/>
      <c r="K4" s="852" t="s">
        <v>522</v>
      </c>
      <c r="L4" s="2130"/>
      <c r="M4" s="2131"/>
      <c r="N4" s="2131"/>
      <c r="O4" s="2131"/>
      <c r="P4" s="3425" t="s">
        <v>523</v>
      </c>
      <c r="Q4" s="3426"/>
      <c r="R4" s="3411" t="s">
        <v>519</v>
      </c>
      <c r="S4" s="3412"/>
      <c r="T4" s="3411" t="s">
        <v>520</v>
      </c>
      <c r="U4" s="3412"/>
      <c r="V4" s="3431" t="s">
        <v>521</v>
      </c>
      <c r="W4" s="3431"/>
      <c r="X4" s="3217"/>
      <c r="Y4" s="3411" t="s">
        <v>523</v>
      </c>
      <c r="Z4" s="3412"/>
      <c r="AA4" s="3406" t="s">
        <v>519</v>
      </c>
      <c r="AB4" s="3406" t="s">
        <v>520</v>
      </c>
      <c r="AC4" s="3406" t="s">
        <v>521</v>
      </c>
    </row>
    <row r="5" spans="1:29">
      <c r="A5" s="514"/>
      <c r="B5" s="515"/>
      <c r="C5" s="3495" t="s">
        <v>3224</v>
      </c>
      <c r="D5" s="3435"/>
      <c r="E5" s="3496" t="s">
        <v>3232</v>
      </c>
      <c r="F5" s="3451"/>
      <c r="G5" s="3495" t="s">
        <v>3231</v>
      </c>
      <c r="H5" s="3435"/>
      <c r="I5" s="3495" t="s">
        <v>3234</v>
      </c>
      <c r="J5" s="3435"/>
      <c r="K5" s="853"/>
      <c r="L5" s="2130"/>
      <c r="M5" s="2131"/>
      <c r="N5" s="2131"/>
      <c r="O5" s="2131"/>
      <c r="P5" s="3427"/>
      <c r="Q5" s="3428"/>
      <c r="R5" s="3413"/>
      <c r="S5" s="3414"/>
      <c r="T5" s="3413"/>
      <c r="U5" s="3414"/>
      <c r="V5" s="3431"/>
      <c r="W5" s="3431"/>
      <c r="X5" s="3217"/>
      <c r="Y5" s="3413"/>
      <c r="Z5" s="3414"/>
      <c r="AA5" s="3407"/>
      <c r="AB5" s="3407"/>
      <c r="AC5" s="3407"/>
    </row>
    <row r="6" spans="1:29" ht="15" thickBot="1">
      <c r="A6" s="516"/>
      <c r="B6" s="517"/>
      <c r="C6" s="3452" t="s">
        <v>2928</v>
      </c>
      <c r="D6" s="3433"/>
      <c r="E6" s="3453" t="s">
        <v>2928</v>
      </c>
      <c r="F6" s="3454"/>
      <c r="G6" s="3452" t="s">
        <v>2928</v>
      </c>
      <c r="H6" s="3433"/>
      <c r="I6" s="3452" t="s">
        <v>2928</v>
      </c>
      <c r="J6" s="3433"/>
      <c r="K6" s="853" t="s">
        <v>524</v>
      </c>
      <c r="L6" s="2130"/>
      <c r="M6" s="2131"/>
      <c r="N6" s="2131"/>
      <c r="O6" s="2131"/>
      <c r="P6" s="3429"/>
      <c r="Q6" s="3430"/>
      <c r="R6" s="3413"/>
      <c r="S6" s="3414"/>
      <c r="T6" s="3415"/>
      <c r="U6" s="3416"/>
      <c r="V6" s="3431"/>
      <c r="W6" s="3431"/>
      <c r="X6" s="3217"/>
      <c r="Y6" s="3415"/>
      <c r="Z6" s="3416"/>
      <c r="AA6" s="3408"/>
      <c r="AB6" s="3408"/>
      <c r="AC6" s="3408"/>
    </row>
    <row r="7" spans="1:29" s="1218" customFormat="1" ht="15" thickBot="1">
      <c r="A7" s="2933"/>
      <c r="B7" s="2940" t="s">
        <v>525</v>
      </c>
      <c r="C7" s="518">
        <f>'数据-取费表'!B2</f>
        <v>43353</v>
      </c>
      <c r="D7" s="519">
        <v>100</v>
      </c>
      <c r="E7" s="520">
        <v>43344</v>
      </c>
      <c r="F7" s="521">
        <f>SUMIF(58:58,YEAR(E7)&amp;"-"&amp;MONTH(E7),59:59)</f>
        <v>100</v>
      </c>
      <c r="G7" s="520">
        <v>43344</v>
      </c>
      <c r="H7" s="519">
        <f>SUMIF(58:58,YEAR(G7)&amp;"-"&amp;MONTH(G7),59:59)</f>
        <v>100</v>
      </c>
      <c r="I7" s="520">
        <v>43344</v>
      </c>
      <c r="J7" s="519">
        <f>SUMIF(58:58,YEAR(I7)&amp;"-"&amp;MONTH(I7),59:59)</f>
        <v>100</v>
      </c>
      <c r="K7" s="854"/>
      <c r="L7" s="2132"/>
      <c r="M7" s="2133"/>
      <c r="N7" s="2133"/>
      <c r="O7" s="2133"/>
      <c r="P7" s="3409" t="s">
        <v>526</v>
      </c>
      <c r="Q7" s="3418"/>
      <c r="R7" s="1564" t="s">
        <v>13</v>
      </c>
      <c r="S7" s="1565">
        <f t="shared" ref="S7:S15" si="0">F7</f>
        <v>100</v>
      </c>
      <c r="T7" s="1564" t="s">
        <v>13</v>
      </c>
      <c r="U7" s="1565">
        <f t="shared" ref="U7:U15" si="1">H7</f>
        <v>100</v>
      </c>
      <c r="V7" s="1564" t="s">
        <v>13</v>
      </c>
      <c r="W7" s="1565">
        <f t="shared" ref="W7:W15" si="2">J7</f>
        <v>100</v>
      </c>
      <c r="X7" s="1566"/>
      <c r="Y7" s="3409" t="s">
        <v>526</v>
      </c>
      <c r="Z7" s="3410"/>
      <c r="AA7" s="1567">
        <f>D7/F7</f>
        <v>1</v>
      </c>
      <c r="AB7" s="1567">
        <f>D7/H7</f>
        <v>1</v>
      </c>
      <c r="AC7" s="1567">
        <f>D7/J7</f>
        <v>1</v>
      </c>
    </row>
    <row r="8" spans="1:29" s="1218" customFormat="1" ht="1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09" t="s">
        <v>529</v>
      </c>
      <c r="Q8" s="3410"/>
      <c r="R8" s="1564" t="s">
        <v>13</v>
      </c>
      <c r="S8" s="1565">
        <f t="shared" si="0"/>
        <v>100</v>
      </c>
      <c r="T8" s="1564" t="s">
        <v>13</v>
      </c>
      <c r="U8" s="1565">
        <f t="shared" si="1"/>
        <v>100</v>
      </c>
      <c r="V8" s="1564" t="s">
        <v>13</v>
      </c>
      <c r="W8" s="1565">
        <f t="shared" si="2"/>
        <v>100</v>
      </c>
      <c r="X8" s="1566"/>
      <c r="Y8" s="3409" t="s">
        <v>529</v>
      </c>
      <c r="Z8" s="3410"/>
      <c r="AA8" s="1567">
        <f t="shared" ref="AA8:AA46" si="3">D8/F8</f>
        <v>1</v>
      </c>
      <c r="AB8" s="1567">
        <f t="shared" ref="AB8:AB46" si="4">D8/H8</f>
        <v>1</v>
      </c>
      <c r="AC8" s="1567">
        <f t="shared" ref="AC8:AC46" si="5">D8/J8</f>
        <v>1</v>
      </c>
    </row>
    <row r="9" spans="1:29" s="1218" customFormat="1" ht="14.4">
      <c r="A9" s="2935"/>
      <c r="B9" s="2942" t="s">
        <v>2755</v>
      </c>
      <c r="C9" s="3211" t="s">
        <v>3226</v>
      </c>
      <c r="D9" s="253">
        <v>100</v>
      </c>
      <c r="E9" s="857" t="s">
        <v>919</v>
      </c>
      <c r="F9" s="858">
        <f>SUMIF(63:63,E9,64:64)-SUMIF(63:63,C9,64:64)+100</f>
        <v>100</v>
      </c>
      <c r="G9" s="857" t="s">
        <v>919</v>
      </c>
      <c r="H9" s="253">
        <f>SUMIF(63:63,G9,64:64)-SUMIF(63:63,C9,64:64)+100</f>
        <v>100</v>
      </c>
      <c r="I9" s="857" t="s">
        <v>919</v>
      </c>
      <c r="J9" s="253">
        <f>SUMIF(63:63,I9,64:64)-SUMIF(63:63,C9,64:64)+100</f>
        <v>100</v>
      </c>
      <c r="K9" s="854"/>
      <c r="L9" s="2132"/>
      <c r="M9" s="2133"/>
      <c r="N9" s="2133"/>
      <c r="O9" s="2134"/>
      <c r="P9" s="3417" t="s">
        <v>531</v>
      </c>
      <c r="Q9" s="3214" t="str">
        <f t="shared" ref="Q9:Q15" si="6">B9</f>
        <v>用途</v>
      </c>
      <c r="R9" s="1564" t="s">
        <v>8</v>
      </c>
      <c r="S9" s="1565">
        <f t="shared" si="0"/>
        <v>100</v>
      </c>
      <c r="T9" s="1564" t="s">
        <v>8</v>
      </c>
      <c r="U9" s="1565">
        <f t="shared" si="1"/>
        <v>100</v>
      </c>
      <c r="V9" s="1564" t="s">
        <v>8</v>
      </c>
      <c r="W9" s="1565">
        <f t="shared" si="2"/>
        <v>100</v>
      </c>
      <c r="X9" s="1566"/>
      <c r="Y9" s="3374" t="s">
        <v>532</v>
      </c>
      <c r="Z9" s="3213" t="str">
        <f t="shared" ref="Z9:Z15" si="7">Q9</f>
        <v>用途</v>
      </c>
      <c r="AA9" s="1567">
        <f t="shared" si="3"/>
        <v>1</v>
      </c>
      <c r="AB9" s="1567">
        <f t="shared" si="4"/>
        <v>1</v>
      </c>
      <c r="AC9" s="1567">
        <f t="shared" si="5"/>
        <v>1</v>
      </c>
    </row>
    <row r="10" spans="1:29" s="1336" customFormat="1" ht="28.8">
      <c r="A10" s="2936"/>
      <c r="B10" s="2941" t="s">
        <v>2756</v>
      </c>
      <c r="C10" s="860" t="s">
        <v>3225</v>
      </c>
      <c r="D10" s="254">
        <v>100</v>
      </c>
      <c r="E10" s="860" t="s">
        <v>3225</v>
      </c>
      <c r="F10" s="862">
        <f>SUMIF(65:65,E10,66:66)-SUMIF(65:65,C10,66:66)+100</f>
        <v>100</v>
      </c>
      <c r="G10" s="860" t="s">
        <v>3225</v>
      </c>
      <c r="H10" s="254">
        <f>SUMIF(65:65,G10,66:66)-SUMIF(65:65,C10,66:66)+100</f>
        <v>100</v>
      </c>
      <c r="I10" s="860" t="s">
        <v>3225</v>
      </c>
      <c r="J10" s="254">
        <f>SUMIF(65:65,I10,66:66)-SUMIF(65:65,C10,66:66)+100</f>
        <v>100</v>
      </c>
      <c r="K10" s="863"/>
      <c r="L10" s="2135"/>
      <c r="M10" s="2175"/>
      <c r="N10" s="2175"/>
      <c r="O10" s="2136"/>
      <c r="P10" s="3417"/>
      <c r="Q10" s="3214" t="str">
        <f t="shared" si="6"/>
        <v>土地使用年限（年）</v>
      </c>
      <c r="R10" s="1564" t="s">
        <v>8</v>
      </c>
      <c r="S10" s="1565">
        <f t="shared" si="0"/>
        <v>100</v>
      </c>
      <c r="T10" s="1564" t="s">
        <v>8</v>
      </c>
      <c r="U10" s="1565">
        <f t="shared" si="1"/>
        <v>100</v>
      </c>
      <c r="V10" s="1564" t="s">
        <v>8</v>
      </c>
      <c r="W10" s="1565">
        <f t="shared" si="2"/>
        <v>100</v>
      </c>
      <c r="X10" s="1566"/>
      <c r="Y10" s="3374"/>
      <c r="Z10" s="3213" t="str">
        <f t="shared" si="7"/>
        <v>土地使用年限（年）</v>
      </c>
      <c r="AA10" s="1567">
        <f t="shared" si="3"/>
        <v>1</v>
      </c>
      <c r="AB10" s="1567">
        <f t="shared" si="4"/>
        <v>1</v>
      </c>
      <c r="AC10" s="1567">
        <f t="shared" si="5"/>
        <v>1</v>
      </c>
    </row>
    <row r="11" spans="1:29" ht="15">
      <c r="A11" s="2937"/>
      <c r="B11" s="2941" t="s">
        <v>2757</v>
      </c>
      <c r="C11" s="532">
        <f>'比较法-住宅、综合'!C13</f>
        <v>2.64</v>
      </c>
      <c r="D11" s="254">
        <v>100</v>
      </c>
      <c r="E11" s="533">
        <v>4.5</v>
      </c>
      <c r="F11" s="862">
        <f>LOOKUP(E11,68:68,69:69)-LOOKUP(C11,68:68,69:69)+100</f>
        <v>94</v>
      </c>
      <c r="G11" s="532">
        <v>2</v>
      </c>
      <c r="H11" s="254">
        <f>LOOKUP(G11,68:68,69:69)-LOOKUP(C11,68:68,69:69)+100</f>
        <v>100</v>
      </c>
      <c r="I11" s="532">
        <v>2.79</v>
      </c>
      <c r="J11" s="254">
        <f>LOOKUP(I11,68:68,69:69)-LOOKUP(C11,68:68,69:69)+100</f>
        <v>100</v>
      </c>
      <c r="K11" s="863">
        <v>3</v>
      </c>
      <c r="L11" s="2137"/>
      <c r="M11" s="2131"/>
      <c r="N11" s="2131"/>
      <c r="O11" s="2138"/>
      <c r="P11" s="3417"/>
      <c r="Q11" s="3214" t="str">
        <f t="shared" si="6"/>
        <v>容积率</v>
      </c>
      <c r="R11" s="1564" t="s">
        <v>11</v>
      </c>
      <c r="S11" s="1565">
        <f t="shared" si="0"/>
        <v>94</v>
      </c>
      <c r="T11" s="1564" t="s">
        <v>11</v>
      </c>
      <c r="U11" s="1565">
        <f t="shared" si="1"/>
        <v>100</v>
      </c>
      <c r="V11" s="1564" t="s">
        <v>11</v>
      </c>
      <c r="W11" s="1565">
        <f t="shared" si="2"/>
        <v>100</v>
      </c>
      <c r="X11" s="1566"/>
      <c r="Y11" s="3374"/>
      <c r="Z11" s="3213" t="str">
        <f t="shared" si="7"/>
        <v>容积率</v>
      </c>
      <c r="AA11" s="1567">
        <f t="shared" si="3"/>
        <v>1.0638297872340425</v>
      </c>
      <c r="AB11" s="1567">
        <f t="shared" si="4"/>
        <v>1</v>
      </c>
      <c r="AC11" s="1567">
        <f t="shared" si="5"/>
        <v>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17"/>
      <c r="Q12" s="3214">
        <f t="shared" si="6"/>
        <v>111</v>
      </c>
      <c r="R12" s="1564" t="s">
        <v>11</v>
      </c>
      <c r="S12" s="1565">
        <f t="shared" si="0"/>
        <v>100</v>
      </c>
      <c r="T12" s="1564" t="s">
        <v>11</v>
      </c>
      <c r="U12" s="1565">
        <f t="shared" si="1"/>
        <v>100</v>
      </c>
      <c r="V12" s="1564" t="s">
        <v>11</v>
      </c>
      <c r="W12" s="1565">
        <f t="shared" si="2"/>
        <v>100</v>
      </c>
      <c r="X12" s="1566"/>
      <c r="Y12" s="3374"/>
      <c r="Z12" s="3213">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17"/>
      <c r="Q13" s="3214">
        <f t="shared" si="6"/>
        <v>111</v>
      </c>
      <c r="R13" s="1564" t="s">
        <v>11</v>
      </c>
      <c r="S13" s="1565">
        <f t="shared" si="0"/>
        <v>100</v>
      </c>
      <c r="T13" s="1564" t="s">
        <v>11</v>
      </c>
      <c r="U13" s="1565">
        <f t="shared" si="1"/>
        <v>100</v>
      </c>
      <c r="V13" s="1564" t="s">
        <v>11</v>
      </c>
      <c r="W13" s="1565">
        <f t="shared" si="2"/>
        <v>100</v>
      </c>
      <c r="X13" s="1566"/>
      <c r="Y13" s="3374"/>
      <c r="Z13" s="3213">
        <f t="shared" si="7"/>
        <v>111</v>
      </c>
      <c r="AA13" s="1567">
        <f t="shared" si="3"/>
        <v>1</v>
      </c>
      <c r="AB13" s="1567">
        <f t="shared" si="4"/>
        <v>1</v>
      </c>
      <c r="AC13" s="1567">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17"/>
      <c r="Q14" s="3214">
        <f t="shared" si="6"/>
        <v>111</v>
      </c>
      <c r="R14" s="1564" t="s">
        <v>11</v>
      </c>
      <c r="S14" s="1565">
        <f t="shared" si="0"/>
        <v>100</v>
      </c>
      <c r="T14" s="1564" t="s">
        <v>11</v>
      </c>
      <c r="U14" s="1565">
        <f t="shared" si="1"/>
        <v>100</v>
      </c>
      <c r="V14" s="1564" t="s">
        <v>11</v>
      </c>
      <c r="W14" s="1565">
        <f t="shared" si="2"/>
        <v>100</v>
      </c>
      <c r="X14" s="1566"/>
      <c r="Y14" s="3374"/>
      <c r="Z14" s="3213">
        <f t="shared" si="7"/>
        <v>111</v>
      </c>
      <c r="AA14" s="1567">
        <f t="shared" si="3"/>
        <v>1</v>
      </c>
      <c r="AB14" s="1567">
        <f t="shared" si="4"/>
        <v>1</v>
      </c>
      <c r="AC14" s="1567">
        <f t="shared" si="5"/>
        <v>1</v>
      </c>
    </row>
    <row r="15" spans="1:29" ht="109.5" customHeight="1">
      <c r="A15" s="2931" t="s">
        <v>2753</v>
      </c>
      <c r="B15" s="166" t="s">
        <v>291</v>
      </c>
      <c r="C15" s="866" t="str">
        <f>估价对象房地状况!C3</f>
        <v>估价对象周边居住用地比例高、居住小区规模和社区发展完善程度较好，周边有尚城、聚豪园等多个住宅项目，综合评价居住社区成熟度较好</v>
      </c>
      <c r="D15" s="548">
        <v>100</v>
      </c>
      <c r="E15" s="3212" t="s">
        <v>3245</v>
      </c>
      <c r="F15" s="550">
        <f>SUMIF(76:76,E16,77:77)-SUMIF(76:76,C16,77:77)+100</f>
        <v>103</v>
      </c>
      <c r="G15" s="3184" t="s">
        <v>3244</v>
      </c>
      <c r="H15" s="548">
        <f>SUMIF(76:76,G16,77:77)-SUMIF(76:76,C16,77:77)+100</f>
        <v>97</v>
      </c>
      <c r="I15" s="3212" t="s">
        <v>3247</v>
      </c>
      <c r="J15" s="548">
        <f>SUMIF(76:76,I16,77:77)-SUMIF(76:76,C16,77:77)+100</f>
        <v>97</v>
      </c>
      <c r="K15" s="867">
        <v>3</v>
      </c>
      <c r="L15" s="2139"/>
      <c r="M15" s="2131"/>
      <c r="N15" s="2131"/>
      <c r="O15" s="2138"/>
      <c r="P15" s="3419" t="s">
        <v>536</v>
      </c>
      <c r="Q15" s="3215" t="str">
        <f t="shared" si="6"/>
        <v>居住社区成熟度</v>
      </c>
      <c r="R15" s="1569" t="s">
        <v>11</v>
      </c>
      <c r="S15" s="1570">
        <f t="shared" si="0"/>
        <v>103</v>
      </c>
      <c r="T15" s="1569" t="s">
        <v>11</v>
      </c>
      <c r="U15" s="1570">
        <f t="shared" si="1"/>
        <v>97</v>
      </c>
      <c r="V15" s="1569" t="s">
        <v>11</v>
      </c>
      <c r="W15" s="1570">
        <f t="shared" si="2"/>
        <v>97</v>
      </c>
      <c r="X15" s="3217"/>
      <c r="Y15" s="3419" t="s">
        <v>536</v>
      </c>
      <c r="Z15" s="3216" t="str">
        <f t="shared" si="7"/>
        <v>居住社区成熟度</v>
      </c>
      <c r="AA15" s="3218">
        <f t="shared" si="3"/>
        <v>0.970873786407767</v>
      </c>
      <c r="AB15" s="3218">
        <f t="shared" si="4"/>
        <v>1.0309278350515463</v>
      </c>
      <c r="AC15" s="3218">
        <f t="shared" si="5"/>
        <v>1.0309278350515463</v>
      </c>
    </row>
    <row r="16" spans="1:29" ht="15">
      <c r="A16" s="531"/>
      <c r="B16" s="868"/>
      <c r="C16" s="575" t="s">
        <v>3087</v>
      </c>
      <c r="D16" s="554"/>
      <c r="E16" s="575" t="s">
        <v>3101</v>
      </c>
      <c r="F16" s="556"/>
      <c r="G16" s="557" t="s">
        <v>3085</v>
      </c>
      <c r="H16" s="558"/>
      <c r="I16" s="557" t="s">
        <v>3085</v>
      </c>
      <c r="J16" s="554"/>
      <c r="K16" s="869"/>
      <c r="L16" s="2139"/>
      <c r="M16" s="2131"/>
      <c r="N16" s="2131"/>
      <c r="O16" s="2138"/>
      <c r="P16" s="3420"/>
      <c r="Q16" s="3215"/>
      <c r="R16" s="1569"/>
      <c r="S16" s="1570"/>
      <c r="T16" s="1569"/>
      <c r="U16" s="1570"/>
      <c r="V16" s="1569"/>
      <c r="W16" s="1570"/>
      <c r="X16" s="3217"/>
      <c r="Y16" s="3420"/>
      <c r="Z16" s="3216"/>
      <c r="AA16" s="3218">
        <v>1</v>
      </c>
      <c r="AB16" s="3218">
        <v>1</v>
      </c>
      <c r="AC16" s="3218">
        <v>1</v>
      </c>
    </row>
    <row r="17" spans="1:29" ht="96.6">
      <c r="A17" s="531"/>
      <c r="B17" s="870" t="s">
        <v>292</v>
      </c>
      <c r="C17" s="871" t="str">
        <f>估价对象房地状况!C6</f>
        <v>估价对象周边道路状况、公共交通通达情况：有071、003、030、36等多路公交车，停车便捷程度，综合评价交通便捷度较好</v>
      </c>
      <c r="D17" s="558">
        <v>100</v>
      </c>
      <c r="E17" s="561" t="s">
        <v>3248</v>
      </c>
      <c r="F17" s="562">
        <f>SUMIF(78:78,E18,79:79)-SUMIF(78:78,C18,79:79)+100</f>
        <v>100</v>
      </c>
      <c r="G17" s="563" t="s">
        <v>3250</v>
      </c>
      <c r="H17" s="564">
        <f>SUMIF(78:78,G18,79:79)-SUMIF(78:78,C18,79:79)+100</f>
        <v>97</v>
      </c>
      <c r="I17" s="561" t="s">
        <v>3251</v>
      </c>
      <c r="J17" s="564">
        <f>SUMIF(78:78,I18,79:79)-SUMIF(78:78,C18,79:79)+100</f>
        <v>97</v>
      </c>
      <c r="K17" s="867">
        <v>3</v>
      </c>
      <c r="L17" s="2139"/>
      <c r="M17" s="2131"/>
      <c r="N17" s="2131"/>
      <c r="O17" s="2138"/>
      <c r="P17" s="3420"/>
      <c r="Q17" s="3215" t="str">
        <f>B17</f>
        <v>交通便捷度</v>
      </c>
      <c r="R17" s="1569" t="s">
        <v>11</v>
      </c>
      <c r="S17" s="1570">
        <f>F17</f>
        <v>100</v>
      </c>
      <c r="T17" s="1569" t="s">
        <v>11</v>
      </c>
      <c r="U17" s="1570">
        <f>H17</f>
        <v>97</v>
      </c>
      <c r="V17" s="1569" t="s">
        <v>11</v>
      </c>
      <c r="W17" s="1570">
        <f>J17</f>
        <v>97</v>
      </c>
      <c r="X17" s="3217"/>
      <c r="Y17" s="3420"/>
      <c r="Z17" s="3216" t="str">
        <f>Q17</f>
        <v>交通便捷度</v>
      </c>
      <c r="AA17" s="3218">
        <f t="shared" si="3"/>
        <v>1</v>
      </c>
      <c r="AB17" s="3218">
        <f t="shared" si="4"/>
        <v>1.0309278350515463</v>
      </c>
      <c r="AC17" s="3218">
        <f t="shared" si="5"/>
        <v>1.0309278350515463</v>
      </c>
    </row>
    <row r="18" spans="1:29" ht="15">
      <c r="A18" s="531"/>
      <c r="B18" s="594"/>
      <c r="C18" s="872" t="s">
        <v>3087</v>
      </c>
      <c r="D18" s="558"/>
      <c r="E18" s="3225" t="s">
        <v>3249</v>
      </c>
      <c r="F18" s="562"/>
      <c r="G18" s="872" t="s">
        <v>3085</v>
      </c>
      <c r="H18" s="554"/>
      <c r="I18" s="872" t="s">
        <v>3085</v>
      </c>
      <c r="J18" s="554"/>
      <c r="K18" s="869"/>
      <c r="L18" s="2139"/>
      <c r="M18" s="2131"/>
      <c r="N18" s="2131"/>
      <c r="O18" s="2138"/>
      <c r="P18" s="3420"/>
      <c r="Q18" s="3215"/>
      <c r="R18" s="1569"/>
      <c r="S18" s="1570"/>
      <c r="T18" s="1569"/>
      <c r="U18" s="1570"/>
      <c r="V18" s="1569"/>
      <c r="W18" s="1570"/>
      <c r="X18" s="3217"/>
      <c r="Y18" s="3420"/>
      <c r="Z18" s="3216"/>
      <c r="AA18" s="3218">
        <v>1</v>
      </c>
      <c r="AB18" s="3218">
        <v>1</v>
      </c>
      <c r="AC18" s="3218">
        <v>1</v>
      </c>
    </row>
    <row r="19" spans="1:29" ht="55.2">
      <c r="A19" s="531"/>
      <c r="B19" s="2621" t="s">
        <v>2545</v>
      </c>
      <c r="C19" s="871" t="str">
        <f>估价对象房地状况!C7</f>
        <v>估价对象所在区域公共配套设施齐备情况较好：中山市实验中学</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20"/>
      <c r="Q19" s="3215" t="str">
        <f>B19</f>
        <v>公共配套设施</v>
      </c>
      <c r="R19" s="1569" t="s">
        <v>11</v>
      </c>
      <c r="S19" s="1570">
        <f>F19</f>
        <v>100</v>
      </c>
      <c r="T19" s="1569" t="s">
        <v>11</v>
      </c>
      <c r="U19" s="1570">
        <f>H19</f>
        <v>100</v>
      </c>
      <c r="V19" s="1569" t="s">
        <v>11</v>
      </c>
      <c r="W19" s="1570">
        <f>J19</f>
        <v>100</v>
      </c>
      <c r="X19" s="3217"/>
      <c r="Y19" s="3420"/>
      <c r="Z19" s="3216" t="str">
        <f>Q19</f>
        <v>公共配套设施</v>
      </c>
      <c r="AA19" s="3218">
        <f t="shared" si="3"/>
        <v>1</v>
      </c>
      <c r="AB19" s="3218">
        <f t="shared" si="4"/>
        <v>1</v>
      </c>
      <c r="AC19" s="3218">
        <f t="shared" si="5"/>
        <v>1</v>
      </c>
    </row>
    <row r="20" spans="1:29" ht="15">
      <c r="A20" s="531"/>
      <c r="B20" s="594"/>
      <c r="C20" s="575" t="s">
        <v>3087</v>
      </c>
      <c r="D20" s="554"/>
      <c r="E20" s="575" t="s">
        <v>3087</v>
      </c>
      <c r="F20" s="556"/>
      <c r="G20" s="575" t="s">
        <v>3087</v>
      </c>
      <c r="H20" s="554"/>
      <c r="I20" s="575" t="s">
        <v>3087</v>
      </c>
      <c r="J20" s="554"/>
      <c r="K20" s="869"/>
      <c r="L20" s="2139"/>
      <c r="M20" s="2131"/>
      <c r="N20" s="2131"/>
      <c r="O20" s="2138"/>
      <c r="P20" s="3420"/>
      <c r="Q20" s="3215"/>
      <c r="R20" s="1569"/>
      <c r="S20" s="1570"/>
      <c r="T20" s="1569"/>
      <c r="U20" s="1570"/>
      <c r="V20" s="1569"/>
      <c r="W20" s="1570"/>
      <c r="X20" s="3217"/>
      <c r="Y20" s="3420"/>
      <c r="Z20" s="3216"/>
      <c r="AA20" s="3218">
        <v>1</v>
      </c>
      <c r="AB20" s="3218">
        <v>1</v>
      </c>
      <c r="AC20" s="3218">
        <v>1</v>
      </c>
    </row>
    <row r="21" spans="1:29" ht="27.6">
      <c r="A21" s="531"/>
      <c r="B21" s="2614" t="s">
        <v>2546</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20"/>
      <c r="Q21" s="3215" t="str">
        <f>B21</f>
        <v>基础设施水平</v>
      </c>
      <c r="R21" s="1569" t="s">
        <v>11</v>
      </c>
      <c r="S21" s="1570">
        <f>F21</f>
        <v>100</v>
      </c>
      <c r="T21" s="1569" t="s">
        <v>11</v>
      </c>
      <c r="U21" s="1570">
        <f>H21</f>
        <v>100</v>
      </c>
      <c r="V21" s="1569" t="s">
        <v>11</v>
      </c>
      <c r="W21" s="1570">
        <f>J21</f>
        <v>100</v>
      </c>
      <c r="X21" s="3217"/>
      <c r="Y21" s="3420"/>
      <c r="Z21" s="3216" t="str">
        <f>Q21</f>
        <v>基础设施水平</v>
      </c>
      <c r="AA21" s="3218">
        <f t="shared" ref="AA21" si="8">D21/F21</f>
        <v>1</v>
      </c>
      <c r="AB21" s="3218">
        <f t="shared" ref="AB21" si="9">D21/H21</f>
        <v>1</v>
      </c>
      <c r="AC21" s="3218">
        <f t="shared" ref="AC21" si="10">D21/J21</f>
        <v>1</v>
      </c>
    </row>
    <row r="22" spans="1:29" ht="15">
      <c r="A22" s="531"/>
      <c r="B22" s="920"/>
      <c r="C22" s="872" t="s">
        <v>3103</v>
      </c>
      <c r="D22" s="554"/>
      <c r="E22" s="872" t="s">
        <v>3103</v>
      </c>
      <c r="F22" s="556"/>
      <c r="G22" s="872" t="s">
        <v>3103</v>
      </c>
      <c r="H22" s="554"/>
      <c r="I22" s="872" t="s">
        <v>3103</v>
      </c>
      <c r="J22" s="554"/>
      <c r="K22" s="2620"/>
      <c r="L22" s="2139"/>
      <c r="M22" s="2131"/>
      <c r="N22" s="2131"/>
      <c r="O22" s="2138"/>
      <c r="P22" s="3420"/>
      <c r="Q22" s="3215"/>
      <c r="R22" s="1569"/>
      <c r="S22" s="1570"/>
      <c r="T22" s="1569"/>
      <c r="U22" s="1570"/>
      <c r="V22" s="1569"/>
      <c r="W22" s="1570"/>
      <c r="X22" s="3217"/>
      <c r="Y22" s="3420"/>
      <c r="Z22" s="3216"/>
      <c r="AA22" s="3218">
        <v>1</v>
      </c>
      <c r="AB22" s="3218">
        <v>1</v>
      </c>
      <c r="AC22" s="3218">
        <v>1</v>
      </c>
    </row>
    <row r="23" spans="1:29" ht="55.2">
      <c r="A23" s="531"/>
      <c r="B23" s="870" t="s">
        <v>293</v>
      </c>
      <c r="C23" s="871" t="str">
        <f>估价对象房地状况!C9</f>
        <v>周边2公里区域自然环境：；人文环境：；综合评价环境状况较好</v>
      </c>
      <c r="D23" s="558">
        <v>100</v>
      </c>
      <c r="E23" s="3186" t="s">
        <v>3246</v>
      </c>
      <c r="F23" s="562">
        <f>SUMIF(84:84,E24,85:85)-SUMIF(84:84,C24,85:85)+100</f>
        <v>100</v>
      </c>
      <c r="G23" s="3186" t="s">
        <v>3243</v>
      </c>
      <c r="H23" s="558">
        <f>SUMIF(84:84,G24,85:85)-SUMIF(84:84,C24,85:85)+100</f>
        <v>100</v>
      </c>
      <c r="I23" s="3186" t="s">
        <v>3243</v>
      </c>
      <c r="J23" s="558">
        <f>SUMIF(84:84,I24,85:85)-SUMIF(84:84,C24,85:85)+100</f>
        <v>100</v>
      </c>
      <c r="K23" s="867">
        <f>'比较法-住宅、综合'!K27</f>
        <v>2</v>
      </c>
      <c r="L23" s="2139"/>
      <c r="M23" s="2131"/>
      <c r="N23" s="2131"/>
      <c r="O23" s="2138"/>
      <c r="P23" s="3420"/>
      <c r="Q23" s="3215" t="str">
        <f>B23</f>
        <v>自然及人文环境</v>
      </c>
      <c r="R23" s="1569" t="s">
        <v>11</v>
      </c>
      <c r="S23" s="1570">
        <f>F23</f>
        <v>100</v>
      </c>
      <c r="T23" s="1569" t="s">
        <v>11</v>
      </c>
      <c r="U23" s="1570">
        <f>H23</f>
        <v>100</v>
      </c>
      <c r="V23" s="1569" t="s">
        <v>11</v>
      </c>
      <c r="W23" s="1570">
        <f>J23</f>
        <v>100</v>
      </c>
      <c r="X23" s="3217"/>
      <c r="Y23" s="3420"/>
      <c r="Z23" s="3216" t="str">
        <f>Q23</f>
        <v>自然及人文环境</v>
      </c>
      <c r="AA23" s="3218">
        <f t="shared" si="3"/>
        <v>1</v>
      </c>
      <c r="AB23" s="3218">
        <f t="shared" si="4"/>
        <v>1</v>
      </c>
      <c r="AC23" s="3218">
        <f t="shared" si="5"/>
        <v>1</v>
      </c>
    </row>
    <row r="24" spans="1:29" ht="15">
      <c r="A24" s="531"/>
      <c r="B24" s="594"/>
      <c r="C24" s="575" t="s">
        <v>3087</v>
      </c>
      <c r="D24" s="554"/>
      <c r="E24" s="575" t="s">
        <v>3087</v>
      </c>
      <c r="F24" s="556"/>
      <c r="G24" s="575" t="s">
        <v>3087</v>
      </c>
      <c r="H24" s="554"/>
      <c r="I24" s="575" t="s">
        <v>3087</v>
      </c>
      <c r="J24" s="554"/>
      <c r="K24" s="869"/>
      <c r="L24" s="2139"/>
      <c r="M24" s="2131"/>
      <c r="N24" s="2131"/>
      <c r="O24" s="2138"/>
      <c r="P24" s="3420"/>
      <c r="Q24" s="3215"/>
      <c r="R24" s="1569"/>
      <c r="S24" s="1570"/>
      <c r="T24" s="1569"/>
      <c r="U24" s="1570"/>
      <c r="V24" s="1569"/>
      <c r="W24" s="1570"/>
      <c r="X24" s="3217"/>
      <c r="Y24" s="3420"/>
      <c r="Z24" s="3216"/>
      <c r="AA24" s="3218">
        <v>1</v>
      </c>
      <c r="AB24" s="3218">
        <v>1</v>
      </c>
      <c r="AC24" s="3218">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20"/>
      <c r="Q25" s="3215" t="str">
        <f t="shared" ref="Q25:Q46" si="11">B25</f>
        <v>楼层-1</v>
      </c>
      <c r="R25" s="1569" t="s">
        <v>11</v>
      </c>
      <c r="S25" s="1570">
        <f>F25</f>
        <v>100</v>
      </c>
      <c r="T25" s="1569" t="s">
        <v>11</v>
      </c>
      <c r="U25" s="1570">
        <f>H25</f>
        <v>100</v>
      </c>
      <c r="V25" s="1569" t="s">
        <v>11</v>
      </c>
      <c r="W25" s="1570">
        <f>J25</f>
        <v>100</v>
      </c>
      <c r="X25" s="3217"/>
      <c r="Y25" s="3420"/>
      <c r="Z25" s="3216" t="str">
        <f>Q25</f>
        <v>楼层-1</v>
      </c>
      <c r="AA25" s="3218">
        <f t="shared" si="3"/>
        <v>1</v>
      </c>
      <c r="AB25" s="3218">
        <f t="shared" si="4"/>
        <v>1</v>
      </c>
      <c r="AC25" s="3218">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20"/>
      <c r="Q26" s="3215" t="str">
        <f t="shared" si="11"/>
        <v>朝向</v>
      </c>
      <c r="R26" s="1569" t="s">
        <v>11</v>
      </c>
      <c r="S26" s="1570">
        <f>F26</f>
        <v>100</v>
      </c>
      <c r="T26" s="1569" t="s">
        <v>11</v>
      </c>
      <c r="U26" s="1570">
        <f>H26</f>
        <v>100</v>
      </c>
      <c r="V26" s="1569" t="s">
        <v>11</v>
      </c>
      <c r="W26" s="1570">
        <f>J26</f>
        <v>100</v>
      </c>
      <c r="X26" s="3217"/>
      <c r="Y26" s="3420"/>
      <c r="Z26" s="3216" t="str">
        <f>Q26</f>
        <v>朝向</v>
      </c>
      <c r="AA26" s="3218">
        <f t="shared" si="3"/>
        <v>1</v>
      </c>
      <c r="AB26" s="3218">
        <f t="shared" si="4"/>
        <v>1</v>
      </c>
      <c r="AC26" s="3218">
        <f t="shared" si="5"/>
        <v>1</v>
      </c>
    </row>
    <row r="27" spans="1:29" s="1218" customFormat="1" ht="15">
      <c r="A27" s="535"/>
      <c r="B27" s="536" t="s">
        <v>720</v>
      </c>
      <c r="C27" s="3219"/>
      <c r="D27" s="874">
        <v>100</v>
      </c>
      <c r="E27" s="3219"/>
      <c r="F27" s="875">
        <f>SUMIF(90:90,E27,91:91)-SUMIF(90:90,C27,91:91)+100</f>
        <v>100</v>
      </c>
      <c r="G27" s="3219"/>
      <c r="H27" s="874">
        <f>SUMIF(90:90,G27,91:91)-SUMIF(90:90,C27,91:91)+100</f>
        <v>100</v>
      </c>
      <c r="I27" s="3219"/>
      <c r="J27" s="874">
        <f>SUMIF(90:90,I27,91:91)-SUMIF(90:90,C27,91:91)+100</f>
        <v>100</v>
      </c>
      <c r="K27" s="864"/>
      <c r="L27" s="2132"/>
      <c r="M27" s="2133"/>
      <c r="N27" s="2133"/>
      <c r="O27" s="2134"/>
      <c r="P27" s="3420"/>
      <c r="Q27" s="3214" t="str">
        <f t="shared" si="11"/>
        <v>道路级别</v>
      </c>
      <c r="R27" s="1564" t="s">
        <v>11</v>
      </c>
      <c r="S27" s="1565">
        <f>F27</f>
        <v>100</v>
      </c>
      <c r="T27" s="1564" t="s">
        <v>11</v>
      </c>
      <c r="U27" s="1565">
        <f>H27</f>
        <v>100</v>
      </c>
      <c r="V27" s="1564" t="s">
        <v>11</v>
      </c>
      <c r="W27" s="1565">
        <f>J27</f>
        <v>100</v>
      </c>
      <c r="X27" s="1566"/>
      <c r="Y27" s="3420"/>
      <c r="Z27" s="3213" t="str">
        <f>Q27</f>
        <v>道路级别</v>
      </c>
      <c r="AA27" s="3218">
        <f>D27/F27</f>
        <v>1</v>
      </c>
      <c r="AB27" s="3218">
        <f>D27/H27</f>
        <v>1</v>
      </c>
      <c r="AC27" s="3218">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20"/>
      <c r="Q28" s="3215">
        <f t="shared" si="11"/>
        <v>111</v>
      </c>
      <c r="R28" s="1569" t="s">
        <v>11</v>
      </c>
      <c r="S28" s="1570">
        <f t="shared" ref="S28:S46" si="12">F28</f>
        <v>100</v>
      </c>
      <c r="T28" s="1569" t="s">
        <v>11</v>
      </c>
      <c r="U28" s="1570">
        <f t="shared" ref="U28:U46" si="13">H28</f>
        <v>100</v>
      </c>
      <c r="V28" s="1569" t="s">
        <v>11</v>
      </c>
      <c r="W28" s="1570">
        <f t="shared" ref="W28:W46" si="14">J28</f>
        <v>100</v>
      </c>
      <c r="X28" s="3217"/>
      <c r="Y28" s="3420"/>
      <c r="Z28" s="3216">
        <f t="shared" ref="Z28:Z46" si="15">Q28</f>
        <v>111</v>
      </c>
      <c r="AA28" s="3218">
        <f t="shared" si="3"/>
        <v>1</v>
      </c>
      <c r="AB28" s="3218">
        <f t="shared" si="4"/>
        <v>1</v>
      </c>
      <c r="AC28" s="3218">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20"/>
      <c r="Q29" s="3215">
        <f t="shared" si="11"/>
        <v>111</v>
      </c>
      <c r="R29" s="1569" t="s">
        <v>11</v>
      </c>
      <c r="S29" s="1570">
        <f t="shared" si="12"/>
        <v>100</v>
      </c>
      <c r="T29" s="1569" t="s">
        <v>11</v>
      </c>
      <c r="U29" s="1570">
        <f t="shared" si="13"/>
        <v>100</v>
      </c>
      <c r="V29" s="1569" t="s">
        <v>11</v>
      </c>
      <c r="W29" s="1570">
        <f t="shared" si="14"/>
        <v>100</v>
      </c>
      <c r="X29" s="3217"/>
      <c r="Y29" s="3420"/>
      <c r="Z29" s="3216">
        <f t="shared" si="15"/>
        <v>111</v>
      </c>
      <c r="AA29" s="3218">
        <f t="shared" si="3"/>
        <v>1</v>
      </c>
      <c r="AB29" s="3218">
        <f t="shared" si="4"/>
        <v>1</v>
      </c>
      <c r="AC29" s="3218">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20"/>
      <c r="Q30" s="3215">
        <f t="shared" si="11"/>
        <v>111</v>
      </c>
      <c r="R30" s="1569" t="s">
        <v>11</v>
      </c>
      <c r="S30" s="1570">
        <f t="shared" si="12"/>
        <v>100</v>
      </c>
      <c r="T30" s="1569" t="s">
        <v>11</v>
      </c>
      <c r="U30" s="1570">
        <f t="shared" si="13"/>
        <v>100</v>
      </c>
      <c r="V30" s="1569" t="s">
        <v>11</v>
      </c>
      <c r="W30" s="1570">
        <f t="shared" si="14"/>
        <v>100</v>
      </c>
      <c r="X30" s="3217"/>
      <c r="Y30" s="3420"/>
      <c r="Z30" s="3216">
        <f t="shared" si="15"/>
        <v>111</v>
      </c>
      <c r="AA30" s="3218">
        <f t="shared" si="3"/>
        <v>1</v>
      </c>
      <c r="AB30" s="3218">
        <f t="shared" si="4"/>
        <v>1</v>
      </c>
      <c r="AC30" s="3218">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20"/>
      <c r="Q31" s="3215">
        <f t="shared" si="11"/>
        <v>111</v>
      </c>
      <c r="R31" s="1569" t="s">
        <v>11</v>
      </c>
      <c r="S31" s="1570">
        <f t="shared" si="12"/>
        <v>100</v>
      </c>
      <c r="T31" s="1569" t="s">
        <v>11</v>
      </c>
      <c r="U31" s="1570">
        <f t="shared" si="13"/>
        <v>100</v>
      </c>
      <c r="V31" s="1569" t="s">
        <v>11</v>
      </c>
      <c r="W31" s="1570">
        <f t="shared" si="14"/>
        <v>100</v>
      </c>
      <c r="X31" s="3217"/>
      <c r="Y31" s="3420"/>
      <c r="Z31" s="3216">
        <f t="shared" si="15"/>
        <v>111</v>
      </c>
      <c r="AA31" s="3218">
        <f t="shared" si="3"/>
        <v>1</v>
      </c>
      <c r="AB31" s="3218">
        <f t="shared" si="4"/>
        <v>1</v>
      </c>
      <c r="AC31" s="3218">
        <f t="shared" si="5"/>
        <v>1</v>
      </c>
    </row>
    <row r="32" spans="1:29" ht="15">
      <c r="A32" s="2928" t="s">
        <v>2754</v>
      </c>
      <c r="B32" s="172" t="s">
        <v>721</v>
      </c>
      <c r="C32" s="877" t="s">
        <v>3145</v>
      </c>
      <c r="D32" s="596">
        <v>100</v>
      </c>
      <c r="E32" s="877" t="s">
        <v>3145</v>
      </c>
      <c r="F32" s="574">
        <f>SUMIF(100:100,E32,101:101)-SUMIF(100:100,C32,101:101)+100</f>
        <v>100</v>
      </c>
      <c r="G32" s="877" t="s">
        <v>3145</v>
      </c>
      <c r="H32" s="596">
        <f>SUMIF(100:100,G32,101:101)-SUMIF(100:100,C32,101:101)+100</f>
        <v>100</v>
      </c>
      <c r="I32" s="877" t="s">
        <v>3145</v>
      </c>
      <c r="J32" s="539">
        <f>SUMIF(100:100,I32,101:101)-SUMIF(100:100,C32,101:101)+100</f>
        <v>100</v>
      </c>
      <c r="K32" s="863">
        <v>3</v>
      </c>
      <c r="L32" s="2139"/>
      <c r="M32" s="2131"/>
      <c r="N32" s="2131"/>
      <c r="O32" s="2138"/>
      <c r="P32" s="3421" t="s">
        <v>546</v>
      </c>
      <c r="Q32" s="3215" t="str">
        <f t="shared" si="11"/>
        <v>建筑类型</v>
      </c>
      <c r="R32" s="1569" t="s">
        <v>11</v>
      </c>
      <c r="S32" s="1570">
        <f t="shared" si="12"/>
        <v>100</v>
      </c>
      <c r="T32" s="1569" t="s">
        <v>11</v>
      </c>
      <c r="U32" s="1570">
        <f t="shared" si="13"/>
        <v>100</v>
      </c>
      <c r="V32" s="1569" t="s">
        <v>11</v>
      </c>
      <c r="W32" s="1570">
        <f t="shared" si="14"/>
        <v>100</v>
      </c>
      <c r="X32" s="3217"/>
      <c r="Y32" s="3422" t="s">
        <v>546</v>
      </c>
      <c r="Z32" s="3216" t="str">
        <f t="shared" si="15"/>
        <v>建筑类型</v>
      </c>
      <c r="AA32" s="3218">
        <f t="shared" si="3"/>
        <v>1</v>
      </c>
      <c r="AB32" s="3218">
        <f t="shared" si="4"/>
        <v>1</v>
      </c>
      <c r="AC32" s="3218">
        <f t="shared" si="5"/>
        <v>1</v>
      </c>
    </row>
    <row r="33" spans="1:29" s="1337" customFormat="1" ht="15">
      <c r="A33" s="602"/>
      <c r="B33" s="526" t="s">
        <v>722</v>
      </c>
      <c r="C33" s="878">
        <f>'数据-汇总表'!E3</f>
        <v>429582.71</v>
      </c>
      <c r="D33" s="254">
        <v>100</v>
      </c>
      <c r="E33" s="533">
        <v>483744.8</v>
      </c>
      <c r="F33" s="862">
        <f>LOOKUP(E33,103:103,104:104)-LOOKUP(C33,103:103,104:104)+100</f>
        <v>100</v>
      </c>
      <c r="G33" s="532">
        <v>81769</v>
      </c>
      <c r="H33" s="254">
        <f>LOOKUP(G33,103:103,104:104)-LOOKUP(C33,103:103,104:104)+100</f>
        <v>96</v>
      </c>
      <c r="I33" s="533">
        <v>290000</v>
      </c>
      <c r="J33" s="254">
        <f>LOOKUP(I33,103:103,104:104)-LOOKUP(C33,103:103,104:104)+100</f>
        <v>98</v>
      </c>
      <c r="K33" s="864"/>
      <c r="L33" s="2137"/>
      <c r="M33" s="2168"/>
      <c r="N33" s="2168"/>
      <c r="O33" s="2140"/>
      <c r="P33" s="3422"/>
      <c r="Q33" s="1601" t="str">
        <f t="shared" si="11"/>
        <v>项目建筑规模</v>
      </c>
      <c r="R33" s="1573" t="s">
        <v>11</v>
      </c>
      <c r="S33" s="1574">
        <f t="shared" si="12"/>
        <v>100</v>
      </c>
      <c r="T33" s="1573" t="s">
        <v>11</v>
      </c>
      <c r="U33" s="1574">
        <f t="shared" si="13"/>
        <v>96</v>
      </c>
      <c r="V33" s="1573" t="s">
        <v>11</v>
      </c>
      <c r="W33" s="1574">
        <f t="shared" si="14"/>
        <v>98</v>
      </c>
      <c r="X33" s="1575"/>
      <c r="Y33" s="3422"/>
      <c r="Z33" s="1576" t="str">
        <f t="shared" si="15"/>
        <v>项目建筑规模</v>
      </c>
      <c r="AA33" s="3218">
        <f t="shared" si="3"/>
        <v>1</v>
      </c>
      <c r="AB33" s="3218">
        <f t="shared" si="4"/>
        <v>1.0416666666666667</v>
      </c>
      <c r="AC33" s="3218">
        <f t="shared" si="5"/>
        <v>1.0204081632653061</v>
      </c>
    </row>
    <row r="34" spans="1:29" ht="15">
      <c r="A34" s="593"/>
      <c r="B34" s="526" t="s">
        <v>723</v>
      </c>
      <c r="C34" s="879" t="s">
        <v>3068</v>
      </c>
      <c r="D34" s="539">
        <v>100</v>
      </c>
      <c r="E34" s="879" t="s">
        <v>3068</v>
      </c>
      <c r="F34" s="574">
        <f>SUMIF(105:105,E34,106:106)-SUMIF(105:105,C34,106:106)+100</f>
        <v>100</v>
      </c>
      <c r="G34" s="879" t="s">
        <v>3068</v>
      </c>
      <c r="H34" s="539">
        <f>SUMIF(105:105,G34,106:106)-SUMIF(105:105,C34,106:106)+100</f>
        <v>100</v>
      </c>
      <c r="I34" s="879" t="s">
        <v>3068</v>
      </c>
      <c r="J34" s="539">
        <f>SUMIF(105:105,I34,106:106)-SUMIF(105:105,C34,106:106)+100</f>
        <v>100</v>
      </c>
      <c r="K34" s="863">
        <v>2</v>
      </c>
      <c r="L34" s="2139"/>
      <c r="M34" s="2131"/>
      <c r="N34" s="2131"/>
      <c r="O34" s="2138"/>
      <c r="P34" s="3422"/>
      <c r="Q34" s="3215" t="str">
        <f t="shared" si="11"/>
        <v>建筑结构</v>
      </c>
      <c r="R34" s="1569" t="s">
        <v>11</v>
      </c>
      <c r="S34" s="1570">
        <f t="shared" si="12"/>
        <v>100</v>
      </c>
      <c r="T34" s="1569" t="s">
        <v>11</v>
      </c>
      <c r="U34" s="1570">
        <f t="shared" si="13"/>
        <v>100</v>
      </c>
      <c r="V34" s="1569" t="s">
        <v>11</v>
      </c>
      <c r="W34" s="1570">
        <f t="shared" si="14"/>
        <v>100</v>
      </c>
      <c r="X34" s="3217"/>
      <c r="Y34" s="3422"/>
      <c r="Z34" s="3216" t="str">
        <f t="shared" si="15"/>
        <v>建筑结构</v>
      </c>
      <c r="AA34" s="3218">
        <f t="shared" si="3"/>
        <v>1</v>
      </c>
      <c r="AB34" s="3218">
        <f t="shared" si="4"/>
        <v>1</v>
      </c>
      <c r="AC34" s="3218">
        <f t="shared" si="5"/>
        <v>1</v>
      </c>
    </row>
    <row r="35" spans="1:29" ht="15">
      <c r="A35" s="593"/>
      <c r="B35" s="526" t="s">
        <v>724</v>
      </c>
      <c r="C35" s="598" t="s">
        <v>3148</v>
      </c>
      <c r="D35" s="539">
        <v>100</v>
      </c>
      <c r="E35" s="598" t="s">
        <v>3148</v>
      </c>
      <c r="F35" s="574">
        <f>SUMIF(107:107,E35,108:108)-SUMIF(107:107,C35,108:108)+100</f>
        <v>100</v>
      </c>
      <c r="G35" s="598" t="s">
        <v>3148</v>
      </c>
      <c r="H35" s="539">
        <f>SUMIF(107:107,G35,108:108)-SUMIF(107:107,C35,108:108)+100</f>
        <v>100</v>
      </c>
      <c r="I35" s="598" t="s">
        <v>3148</v>
      </c>
      <c r="J35" s="539">
        <f>SUMIF(107:107,I35,108:108)-SUMIF(107:107,C35,108:108)+100</f>
        <v>100</v>
      </c>
      <c r="K35" s="863">
        <v>2</v>
      </c>
      <c r="L35" s="2139"/>
      <c r="M35" s="2131"/>
      <c r="N35" s="2131"/>
      <c r="O35" s="2138"/>
      <c r="P35" s="3422"/>
      <c r="Q35" s="3215" t="str">
        <f t="shared" si="11"/>
        <v>建筑品质</v>
      </c>
      <c r="R35" s="1569" t="s">
        <v>11</v>
      </c>
      <c r="S35" s="1570">
        <f t="shared" si="12"/>
        <v>100</v>
      </c>
      <c r="T35" s="1569" t="s">
        <v>11</v>
      </c>
      <c r="U35" s="1570">
        <f t="shared" si="13"/>
        <v>100</v>
      </c>
      <c r="V35" s="1569" t="s">
        <v>11</v>
      </c>
      <c r="W35" s="1570">
        <f t="shared" si="14"/>
        <v>100</v>
      </c>
      <c r="X35" s="3217"/>
      <c r="Y35" s="3422"/>
      <c r="Z35" s="3216" t="str">
        <f t="shared" si="15"/>
        <v>建筑品质</v>
      </c>
      <c r="AA35" s="3218">
        <f t="shared" si="3"/>
        <v>1</v>
      </c>
      <c r="AB35" s="3218">
        <f t="shared" si="4"/>
        <v>1</v>
      </c>
      <c r="AC35" s="3218">
        <f t="shared" si="5"/>
        <v>1</v>
      </c>
    </row>
    <row r="36" spans="1:29" ht="15">
      <c r="A36" s="593"/>
      <c r="B36" s="526" t="s">
        <v>725</v>
      </c>
      <c r="C36" s="598" t="s">
        <v>3118</v>
      </c>
      <c r="D36" s="539">
        <v>100</v>
      </c>
      <c r="E36" s="598" t="s">
        <v>3118</v>
      </c>
      <c r="F36" s="574">
        <f>SUMIF(109:109,E36,110:110)-SUMIF(109:109,C36,110:110)+100</f>
        <v>100</v>
      </c>
      <c r="G36" s="598" t="s">
        <v>3118</v>
      </c>
      <c r="H36" s="539">
        <f>SUMIF(109:109,G36,110:110)-SUMIF(109:109,C36,110:110)+100</f>
        <v>100</v>
      </c>
      <c r="I36" s="598" t="s">
        <v>3118</v>
      </c>
      <c r="J36" s="539">
        <f>SUMIF(109:109,I36,110:110)-SUMIF(109:109,C36,110:110)+100</f>
        <v>100</v>
      </c>
      <c r="K36" s="863">
        <v>2</v>
      </c>
      <c r="L36" s="2139"/>
      <c r="M36" s="2131"/>
      <c r="N36" s="2131"/>
      <c r="O36" s="2138"/>
      <c r="P36" s="3422"/>
      <c r="Q36" s="3215" t="str">
        <f t="shared" si="11"/>
        <v>公共部分装修</v>
      </c>
      <c r="R36" s="1569" t="s">
        <v>11</v>
      </c>
      <c r="S36" s="1570">
        <f t="shared" si="12"/>
        <v>100</v>
      </c>
      <c r="T36" s="1569" t="s">
        <v>11</v>
      </c>
      <c r="U36" s="1570">
        <f t="shared" si="13"/>
        <v>100</v>
      </c>
      <c r="V36" s="1569" t="s">
        <v>11</v>
      </c>
      <c r="W36" s="1570">
        <f t="shared" si="14"/>
        <v>100</v>
      </c>
      <c r="X36" s="3217"/>
      <c r="Y36" s="3422"/>
      <c r="Z36" s="3216" t="str">
        <f t="shared" si="15"/>
        <v>公共部分装修</v>
      </c>
      <c r="AA36" s="3218">
        <f t="shared" si="3"/>
        <v>1</v>
      </c>
      <c r="AB36" s="3218">
        <f t="shared" si="4"/>
        <v>1</v>
      </c>
      <c r="AC36" s="3218">
        <f t="shared" si="5"/>
        <v>1</v>
      </c>
    </row>
    <row r="37" spans="1:29" s="1218" customFormat="1" ht="15">
      <c r="A37" s="599"/>
      <c r="B37" s="526" t="s">
        <v>726</v>
      </c>
      <c r="C37" s="881">
        <v>1</v>
      </c>
      <c r="D37" s="254">
        <v>100</v>
      </c>
      <c r="E37" s="882">
        <v>1</v>
      </c>
      <c r="F37" s="862">
        <f>LOOKUP(E37,112:112,113:113)-LOOKUP(C37,112:112,113:113)+100</f>
        <v>100</v>
      </c>
      <c r="G37" s="883">
        <v>1</v>
      </c>
      <c r="H37" s="254">
        <f>LOOKUP(G37,112:112,113:113)-LOOKUP(C37,112:112,113:113)+100</f>
        <v>100</v>
      </c>
      <c r="I37" s="883">
        <v>1</v>
      </c>
      <c r="J37" s="254">
        <f>LOOKUP(I37,112:112,113:113)-LOOKUP(C37,112:112,113:113)+100</f>
        <v>100</v>
      </c>
      <c r="K37" s="863">
        <v>1</v>
      </c>
      <c r="L37" s="2132"/>
      <c r="M37" s="2133"/>
      <c r="N37" s="2133"/>
      <c r="O37" s="2134"/>
      <c r="P37" s="3422"/>
      <c r="Q37" s="3214" t="str">
        <f t="shared" si="11"/>
        <v>成新度</v>
      </c>
      <c r="R37" s="1564" t="s">
        <v>11</v>
      </c>
      <c r="S37" s="1565">
        <f t="shared" si="12"/>
        <v>100</v>
      </c>
      <c r="T37" s="1564" t="s">
        <v>11</v>
      </c>
      <c r="U37" s="1565">
        <f t="shared" si="13"/>
        <v>100</v>
      </c>
      <c r="V37" s="1564" t="s">
        <v>11</v>
      </c>
      <c r="W37" s="1565">
        <f t="shared" si="14"/>
        <v>100</v>
      </c>
      <c r="X37" s="1566"/>
      <c r="Y37" s="3422"/>
      <c r="Z37" s="3213" t="str">
        <f t="shared" si="15"/>
        <v>成新度</v>
      </c>
      <c r="AA37" s="1567">
        <f t="shared" si="3"/>
        <v>1</v>
      </c>
      <c r="AB37" s="1567">
        <f t="shared" si="4"/>
        <v>1</v>
      </c>
      <c r="AC37" s="1567">
        <f t="shared" si="5"/>
        <v>1</v>
      </c>
    </row>
    <row r="38" spans="1:29" ht="15">
      <c r="A38" s="593"/>
      <c r="B38" s="526" t="s">
        <v>727</v>
      </c>
      <c r="C38" s="598" t="s">
        <v>3123</v>
      </c>
      <c r="D38" s="539">
        <v>100</v>
      </c>
      <c r="E38" s="598" t="s">
        <v>3123</v>
      </c>
      <c r="F38" s="574">
        <f>SUMIF(114:114,E38,115:115)-SUMIF(114:114,C38,115:115)+100</f>
        <v>100</v>
      </c>
      <c r="G38" s="598" t="s">
        <v>3123</v>
      </c>
      <c r="H38" s="539">
        <f>SUMIF(114:114,G38,115:115)-SUMIF(114:114,C38,115:115)+100</f>
        <v>100</v>
      </c>
      <c r="I38" s="598" t="s">
        <v>3123</v>
      </c>
      <c r="J38" s="539">
        <f>SUMIF(114:114,I38,115:115)-SUMIF(114:114,C38,115:115)+100</f>
        <v>100</v>
      </c>
      <c r="K38" s="863">
        <v>2</v>
      </c>
      <c r="L38" s="2139"/>
      <c r="M38" s="2131"/>
      <c r="N38" s="2131"/>
      <c r="O38" s="2138"/>
      <c r="P38" s="3422" t="s">
        <v>546</v>
      </c>
      <c r="Q38" s="3215" t="str">
        <f t="shared" si="11"/>
        <v>物业管理</v>
      </c>
      <c r="R38" s="1569" t="s">
        <v>11</v>
      </c>
      <c r="S38" s="1570">
        <f t="shared" si="12"/>
        <v>100</v>
      </c>
      <c r="T38" s="1569" t="s">
        <v>11</v>
      </c>
      <c r="U38" s="1570">
        <f t="shared" si="13"/>
        <v>100</v>
      </c>
      <c r="V38" s="1569" t="s">
        <v>11</v>
      </c>
      <c r="W38" s="1570">
        <f t="shared" si="14"/>
        <v>100</v>
      </c>
      <c r="X38" s="3217"/>
      <c r="Y38" s="3422" t="s">
        <v>546</v>
      </c>
      <c r="Z38" s="3216" t="str">
        <f t="shared" si="15"/>
        <v>物业管理</v>
      </c>
      <c r="AA38" s="3218">
        <f t="shared" si="3"/>
        <v>1</v>
      </c>
      <c r="AB38" s="3218">
        <f t="shared" si="4"/>
        <v>1</v>
      </c>
      <c r="AC38" s="3218">
        <f t="shared" si="5"/>
        <v>1</v>
      </c>
    </row>
    <row r="39" spans="1:29" ht="15">
      <c r="A39" s="593"/>
      <c r="B39" s="1892" t="s">
        <v>2563</v>
      </c>
      <c r="C39" s="598" t="s">
        <v>3103</v>
      </c>
      <c r="D39" s="539">
        <v>100</v>
      </c>
      <c r="E39" s="598" t="s">
        <v>3103</v>
      </c>
      <c r="F39" s="574">
        <f>SUMIF(116:116,E39,117:117)-SUMIF(116:116,C39,117:117)+100</f>
        <v>100</v>
      </c>
      <c r="G39" s="598" t="s">
        <v>3103</v>
      </c>
      <c r="H39" s="539">
        <f>SUMIF(116:116,G39,117:117)-SUMIF(116:116,C39,117:117)+100</f>
        <v>100</v>
      </c>
      <c r="I39" s="598" t="s">
        <v>3103</v>
      </c>
      <c r="J39" s="539">
        <f>SUMIF(116:116,I39,117:117)-SUMIF(116:116,C39,117:117)+100</f>
        <v>100</v>
      </c>
      <c r="K39" s="863">
        <v>1</v>
      </c>
      <c r="L39" s="2139"/>
      <c r="M39" s="2131"/>
      <c r="N39" s="2131"/>
      <c r="O39" s="2138"/>
      <c r="P39" s="3422"/>
      <c r="Q39" s="3215" t="str">
        <f t="shared" si="11"/>
        <v>市政基础设施</v>
      </c>
      <c r="R39" s="1569" t="s">
        <v>11</v>
      </c>
      <c r="S39" s="1570">
        <f t="shared" si="12"/>
        <v>100</v>
      </c>
      <c r="T39" s="1569" t="s">
        <v>11</v>
      </c>
      <c r="U39" s="1570">
        <f t="shared" si="13"/>
        <v>100</v>
      </c>
      <c r="V39" s="1569" t="s">
        <v>11</v>
      </c>
      <c r="W39" s="1570">
        <f t="shared" si="14"/>
        <v>100</v>
      </c>
      <c r="X39" s="3217"/>
      <c r="Y39" s="3422"/>
      <c r="Z39" s="3216" t="str">
        <f t="shared" si="15"/>
        <v>市政基础设施</v>
      </c>
      <c r="AA39" s="3218">
        <f t="shared" si="3"/>
        <v>1</v>
      </c>
      <c r="AB39" s="3218">
        <f t="shared" si="4"/>
        <v>1</v>
      </c>
      <c r="AC39" s="3218">
        <f t="shared" si="5"/>
        <v>1</v>
      </c>
    </row>
    <row r="40" spans="1:29" ht="15">
      <c r="A40" s="593"/>
      <c r="B40" s="526" t="s">
        <v>728</v>
      </c>
      <c r="C40" s="598" t="s">
        <v>3158</v>
      </c>
      <c r="D40" s="539">
        <v>100</v>
      </c>
      <c r="E40" s="598" t="s">
        <v>3158</v>
      </c>
      <c r="F40" s="574">
        <f>SUMIF(118:118,E40,119:119)-SUMIF(118:118,C40,119:119)+100</f>
        <v>100</v>
      </c>
      <c r="G40" s="598" t="s">
        <v>3158</v>
      </c>
      <c r="H40" s="539">
        <f>SUMIF(118:118,G40,119:119)-SUMIF(118:118,C40,119:119)+100</f>
        <v>100</v>
      </c>
      <c r="I40" s="598" t="s">
        <v>3158</v>
      </c>
      <c r="J40" s="539">
        <f>SUMIF(118:118,I40,119:119)-SUMIF(118:118,C40,119:119)+100</f>
        <v>100</v>
      </c>
      <c r="K40" s="863">
        <v>15</v>
      </c>
      <c r="L40" s="2139"/>
      <c r="M40" s="2131"/>
      <c r="N40" s="2131"/>
      <c r="O40" s="2138"/>
      <c r="P40" s="3422"/>
      <c r="Q40" s="3215" t="str">
        <f t="shared" si="11"/>
        <v>房型</v>
      </c>
      <c r="R40" s="1569" t="s">
        <v>11</v>
      </c>
      <c r="S40" s="1570">
        <f t="shared" si="12"/>
        <v>100</v>
      </c>
      <c r="T40" s="1569" t="s">
        <v>11</v>
      </c>
      <c r="U40" s="1570">
        <f t="shared" si="13"/>
        <v>100</v>
      </c>
      <c r="V40" s="1569" t="s">
        <v>11</v>
      </c>
      <c r="W40" s="1570">
        <f t="shared" si="14"/>
        <v>100</v>
      </c>
      <c r="X40" s="3217"/>
      <c r="Y40" s="3422"/>
      <c r="Z40" s="3216" t="str">
        <f t="shared" si="15"/>
        <v>房型</v>
      </c>
      <c r="AA40" s="3218">
        <f t="shared" si="3"/>
        <v>1</v>
      </c>
      <c r="AB40" s="3218">
        <f t="shared" si="4"/>
        <v>1</v>
      </c>
      <c r="AC40" s="3218">
        <f t="shared" si="5"/>
        <v>1</v>
      </c>
    </row>
    <row r="41" spans="1:29" s="1337" customFormat="1" ht="28.8">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22"/>
      <c r="Q41" s="1601" t="str">
        <f t="shared" si="11"/>
        <v>单套/主力户型建筑面积</v>
      </c>
      <c r="R41" s="1573" t="s">
        <v>11</v>
      </c>
      <c r="S41" s="1574">
        <f t="shared" si="12"/>
        <v>100</v>
      </c>
      <c r="T41" s="1573" t="s">
        <v>11</v>
      </c>
      <c r="U41" s="1574">
        <f t="shared" si="13"/>
        <v>100</v>
      </c>
      <c r="V41" s="1573" t="s">
        <v>11</v>
      </c>
      <c r="W41" s="1574">
        <f t="shared" si="14"/>
        <v>100</v>
      </c>
      <c r="X41" s="1575"/>
      <c r="Y41" s="3422"/>
      <c r="Z41" s="1576" t="str">
        <f t="shared" si="15"/>
        <v>单套/主力户型建筑面积</v>
      </c>
      <c r="AA41" s="3218">
        <f t="shared" si="3"/>
        <v>1</v>
      </c>
      <c r="AB41" s="3218">
        <f t="shared" si="4"/>
        <v>1</v>
      </c>
      <c r="AC41" s="3218">
        <f t="shared" si="5"/>
        <v>1</v>
      </c>
    </row>
    <row r="42" spans="1:29" ht="15">
      <c r="A42" s="593"/>
      <c r="B42" s="526" t="s">
        <v>730</v>
      </c>
      <c r="C42" s="598" t="s">
        <v>3118</v>
      </c>
      <c r="D42" s="539">
        <v>100</v>
      </c>
      <c r="E42" s="873" t="s">
        <v>3227</v>
      </c>
      <c r="F42" s="574">
        <f>SUMIF(122:122,E42,123:123)-SUMIF(122:122,C42,123:123)+100</f>
        <v>97</v>
      </c>
      <c r="G42" s="873" t="s">
        <v>3118</v>
      </c>
      <c r="H42" s="539">
        <f>SUMIF(122:122,G42,123:123)-SUMIF(122:122,C42,123:123)+100</f>
        <v>100</v>
      </c>
      <c r="I42" s="873" t="s">
        <v>3118</v>
      </c>
      <c r="J42" s="539">
        <f>SUMIF(122:122,I42,123:123)-SUMIF(122:122,C42,123:123)+100</f>
        <v>100</v>
      </c>
      <c r="K42" s="863">
        <v>1</v>
      </c>
      <c r="L42" s="2139"/>
      <c r="M42" s="2131"/>
      <c r="N42" s="2131"/>
      <c r="O42" s="2138"/>
      <c r="P42" s="3422"/>
      <c r="Q42" s="3215" t="str">
        <f t="shared" si="11"/>
        <v>内部装修</v>
      </c>
      <c r="R42" s="1569" t="s">
        <v>11</v>
      </c>
      <c r="S42" s="1570">
        <f t="shared" si="12"/>
        <v>97</v>
      </c>
      <c r="T42" s="1569" t="s">
        <v>11</v>
      </c>
      <c r="U42" s="1570">
        <f t="shared" si="13"/>
        <v>100</v>
      </c>
      <c r="V42" s="1569" t="s">
        <v>11</v>
      </c>
      <c r="W42" s="1570">
        <f t="shared" si="14"/>
        <v>100</v>
      </c>
      <c r="X42" s="3217"/>
      <c r="Y42" s="3422"/>
      <c r="Z42" s="3216" t="str">
        <f t="shared" si="15"/>
        <v>内部装修</v>
      </c>
      <c r="AA42" s="3218">
        <f t="shared" si="3"/>
        <v>1.0309278350515463</v>
      </c>
      <c r="AB42" s="3218">
        <f t="shared" si="4"/>
        <v>1</v>
      </c>
      <c r="AC42" s="3218">
        <f t="shared" si="5"/>
        <v>1</v>
      </c>
    </row>
    <row r="43" spans="1:29" ht="28.8">
      <c r="A43" s="593"/>
      <c r="B43" s="526" t="s">
        <v>731</v>
      </c>
      <c r="C43" s="598" t="s">
        <v>3087</v>
      </c>
      <c r="D43" s="539">
        <v>100</v>
      </c>
      <c r="E43" s="598" t="s">
        <v>3087</v>
      </c>
      <c r="F43" s="574">
        <f>SUMIF(124:124,E43,125:125)-SUMIF(124:124,C43,125:125)+100</f>
        <v>100</v>
      </c>
      <c r="G43" s="598" t="s">
        <v>3087</v>
      </c>
      <c r="H43" s="539">
        <f>SUMIF(124:124,G43,125:125)-SUMIF(124:124,C43,125:125)+100</f>
        <v>100</v>
      </c>
      <c r="I43" s="598" t="s">
        <v>3087</v>
      </c>
      <c r="J43" s="539">
        <f>SUMIF(124:124,I43,125:125)-SUMIF(124:124,C43,125:125)+100</f>
        <v>100</v>
      </c>
      <c r="K43" s="863">
        <v>2</v>
      </c>
      <c r="L43" s="2139"/>
      <c r="M43" s="2131"/>
      <c r="N43" s="2131"/>
      <c r="O43" s="2138"/>
      <c r="P43" s="3422"/>
      <c r="Q43" s="3215" t="str">
        <f t="shared" si="11"/>
        <v>内部装修维护情况</v>
      </c>
      <c r="R43" s="1569" t="s">
        <v>11</v>
      </c>
      <c r="S43" s="1570">
        <f t="shared" si="12"/>
        <v>100</v>
      </c>
      <c r="T43" s="1569" t="s">
        <v>11</v>
      </c>
      <c r="U43" s="1570">
        <f t="shared" si="13"/>
        <v>100</v>
      </c>
      <c r="V43" s="1569" t="s">
        <v>11</v>
      </c>
      <c r="W43" s="1570">
        <f t="shared" si="14"/>
        <v>100</v>
      </c>
      <c r="X43" s="3217"/>
      <c r="Y43" s="3422"/>
      <c r="Z43" s="3216" t="str">
        <f t="shared" si="15"/>
        <v>内部装修维护情况</v>
      </c>
      <c r="AA43" s="3218">
        <f t="shared" si="3"/>
        <v>1</v>
      </c>
      <c r="AB43" s="3218">
        <f t="shared" si="4"/>
        <v>1</v>
      </c>
      <c r="AC43" s="3218">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22"/>
      <c r="Q44" s="3214">
        <f t="shared" si="11"/>
        <v>111</v>
      </c>
      <c r="R44" s="1564" t="s">
        <v>11</v>
      </c>
      <c r="S44" s="1565">
        <f t="shared" si="12"/>
        <v>100</v>
      </c>
      <c r="T44" s="1564" t="s">
        <v>11</v>
      </c>
      <c r="U44" s="1565">
        <f t="shared" si="13"/>
        <v>100</v>
      </c>
      <c r="V44" s="1564" t="s">
        <v>11</v>
      </c>
      <c r="W44" s="1565">
        <f t="shared" si="14"/>
        <v>100</v>
      </c>
      <c r="X44" s="1566"/>
      <c r="Y44" s="3422"/>
      <c r="Z44" s="3213">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22"/>
      <c r="Q45" s="3215">
        <f t="shared" si="11"/>
        <v>111</v>
      </c>
      <c r="R45" s="1569" t="s">
        <v>11</v>
      </c>
      <c r="S45" s="1570">
        <f t="shared" si="12"/>
        <v>100</v>
      </c>
      <c r="T45" s="1569" t="s">
        <v>11</v>
      </c>
      <c r="U45" s="1570">
        <f t="shared" si="13"/>
        <v>100</v>
      </c>
      <c r="V45" s="1569" t="s">
        <v>11</v>
      </c>
      <c r="W45" s="1570">
        <f t="shared" si="14"/>
        <v>100</v>
      </c>
      <c r="X45" s="3217"/>
      <c r="Y45" s="3422"/>
      <c r="Z45" s="3216">
        <f t="shared" si="15"/>
        <v>111</v>
      </c>
      <c r="AA45" s="3218">
        <f t="shared" si="3"/>
        <v>1</v>
      </c>
      <c r="AB45" s="3218">
        <f t="shared" si="4"/>
        <v>1</v>
      </c>
      <c r="AC45" s="3218">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97"/>
      <c r="Q46" s="3215">
        <f t="shared" si="11"/>
        <v>111</v>
      </c>
      <c r="R46" s="1569" t="s">
        <v>10</v>
      </c>
      <c r="S46" s="1570">
        <f t="shared" si="12"/>
        <v>100</v>
      </c>
      <c r="T46" s="1569" t="s">
        <v>10</v>
      </c>
      <c r="U46" s="1570">
        <f t="shared" si="13"/>
        <v>100</v>
      </c>
      <c r="V46" s="1569" t="s">
        <v>10</v>
      </c>
      <c r="W46" s="1570">
        <f t="shared" si="14"/>
        <v>100</v>
      </c>
      <c r="X46" s="3217"/>
      <c r="Y46" s="3497"/>
      <c r="Z46" s="3216">
        <f t="shared" si="15"/>
        <v>111</v>
      </c>
      <c r="AA46" s="3218">
        <f t="shared" si="3"/>
        <v>1</v>
      </c>
      <c r="AB46" s="3218">
        <f t="shared" si="4"/>
        <v>1</v>
      </c>
      <c r="AC46" s="3218">
        <f t="shared" si="5"/>
        <v>1</v>
      </c>
    </row>
    <row r="47" spans="1:29" ht="14.4">
      <c r="A47" s="606" t="s">
        <v>732</v>
      </c>
      <c r="B47" s="885"/>
      <c r="C47" s="2648" t="s">
        <v>9</v>
      </c>
      <c r="D47" s="2649"/>
      <c r="E47" s="2650">
        <v>18000</v>
      </c>
      <c r="F47" s="2651"/>
      <c r="G47" s="2652">
        <v>17000</v>
      </c>
      <c r="H47" s="2653"/>
      <c r="I47" s="2650">
        <v>17000</v>
      </c>
      <c r="J47" s="2653"/>
      <c r="K47" s="1602"/>
      <c r="L47" s="2141"/>
      <c r="M47" s="2142"/>
      <c r="N47" s="2131"/>
      <c r="O47" s="2142"/>
      <c r="P47" s="3417" t="str">
        <f>A47</f>
        <v>成交单价（元/平方米）</v>
      </c>
      <c r="Q47" s="3417"/>
      <c r="R47" s="3498">
        <f>E47</f>
        <v>18000</v>
      </c>
      <c r="S47" s="3498"/>
      <c r="T47" s="3498">
        <f>G47</f>
        <v>17000</v>
      </c>
      <c r="U47" s="3498"/>
      <c r="V47" s="3498">
        <f>I47</f>
        <v>17000</v>
      </c>
      <c r="W47" s="3498"/>
      <c r="X47" s="1555"/>
      <c r="Y47" s="1577"/>
      <c r="Z47" s="1555"/>
      <c r="AA47" s="1555"/>
      <c r="AB47" s="1555"/>
      <c r="AC47" s="1555"/>
    </row>
    <row r="48" spans="1:29" ht="15" thickBot="1">
      <c r="A48" s="614" t="s">
        <v>2692</v>
      </c>
      <c r="B48" s="886"/>
      <c r="C48" s="2654">
        <f>R49</f>
        <v>18808</v>
      </c>
      <c r="D48" s="2655"/>
      <c r="E48" s="2656">
        <f>R48</f>
        <v>19166</v>
      </c>
      <c r="F48" s="2656"/>
      <c r="G48" s="2654">
        <f>T48</f>
        <v>18821</v>
      </c>
      <c r="H48" s="2655"/>
      <c r="I48" s="2656">
        <f>V48</f>
        <v>18437</v>
      </c>
      <c r="J48" s="2655"/>
      <c r="K48" s="1603"/>
      <c r="L48" s="2141"/>
      <c r="M48" s="2142"/>
      <c r="N48" s="2142"/>
      <c r="O48" s="2142"/>
      <c r="P48" s="3417" t="str">
        <f>A48</f>
        <v>比较价格（元/平方米）</v>
      </c>
      <c r="Q48" s="3417"/>
      <c r="R48" s="3498">
        <f>IF(F1="售价",ROUND(PRODUCT(R47,AA7:AA46),0),ROUND(PRODUCT(R47,AA7:AA46),1))</f>
        <v>19166</v>
      </c>
      <c r="S48" s="3498"/>
      <c r="T48" s="3498">
        <f>IF(F1="售价",ROUND(PRODUCT(T47,AB7:AB46),0),ROUND(PRODUCT(T47,AB7:AB46),1))</f>
        <v>18821</v>
      </c>
      <c r="U48" s="3498"/>
      <c r="V48" s="3498">
        <f>IF(F1="售价",ROUND(PRODUCT(V47,AC7:AC46),0),ROUND(PRODUCT(V47,AC7:AC46),1))</f>
        <v>18437</v>
      </c>
      <c r="W48" s="3498"/>
      <c r="X48" s="1555"/>
      <c r="Y48" s="1555"/>
      <c r="Z48" s="1555"/>
      <c r="AA48" s="1555"/>
      <c r="AB48" s="1555"/>
      <c r="AC48" s="1555"/>
    </row>
    <row r="49" spans="1:29" ht="15" thickBot="1">
      <c r="A49" s="620" t="s">
        <v>2930</v>
      </c>
      <c r="B49" s="621"/>
      <c r="C49" s="2657">
        <f>R49</f>
        <v>18808</v>
      </c>
      <c r="D49" s="2657"/>
      <c r="E49" s="2657"/>
      <c r="F49" s="2657"/>
      <c r="G49" s="2657"/>
      <c r="H49" s="2657"/>
      <c r="I49" s="2657"/>
      <c r="J49" s="2657"/>
      <c r="K49" s="1604"/>
      <c r="L49" s="2141"/>
      <c r="M49" s="2142"/>
      <c r="N49" s="2142"/>
      <c r="O49" s="2142"/>
      <c r="P49" s="3439" t="str">
        <f>A49</f>
        <v>估价对象XX用房的比较价格（楼面单价，元/平方米）</v>
      </c>
      <c r="Q49" s="3440"/>
      <c r="R49" s="3499">
        <f>IF(F1="售价",ROUND(AVERAGE(R48:V48),0),ROUND(AVERAGE(R48:V48),1))</f>
        <v>18808</v>
      </c>
      <c r="S49" s="3499"/>
      <c r="T49" s="3499"/>
      <c r="U49" s="3499"/>
      <c r="V49" s="3499"/>
      <c r="W49" s="349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6.4777777777777823E-2</v>
      </c>
      <c r="F52" s="626" t="str">
        <f>IF(OR(E52&gt;=0.3,E52&lt;=-0.3),"超过30%","")</f>
        <v/>
      </c>
      <c r="G52" s="625">
        <f>IF(G47&lt;G48,G48/G47-1,G47/G48-1)</f>
        <v>0.10711764705882354</v>
      </c>
      <c r="H52" s="626" t="str">
        <f>IF(OR(G52&gt;=0.3,G52&lt;=-0.3),"超过30%","")</f>
        <v/>
      </c>
      <c r="I52" s="625">
        <f>IF(I47&lt;I48,I48/I47-1,I47/I48-1)</f>
        <v>8.4529411764705964E-2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1.8330588172785767E-2</v>
      </c>
      <c r="F53" s="626" t="str">
        <f>IF(OR(E53&gt;=0.2,E53&lt;=-0.2),"超过20%","")</f>
        <v/>
      </c>
      <c r="G53" s="625">
        <f>IF(G48&lt;I48,I48/G48-1,G48/I48-1)</f>
        <v>2.0827683462602442E-2</v>
      </c>
      <c r="H53" s="626" t="str">
        <f>IF(OR(G53&gt;=0.2,G53&lt;=-0.2),"超过20%","")</f>
        <v/>
      </c>
      <c r="I53" s="625">
        <f>IF(I48&lt;E48,E48/I48-1,I48/E48-1)</f>
        <v>3.9540055323534107E-2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5.8823529411764719E-2</v>
      </c>
      <c r="F54" s="626" t="str">
        <f>IF(OR(E54&gt;=0.3,E54&lt;=-0.3),"超过30%","")</f>
        <v/>
      </c>
      <c r="G54" s="625">
        <f>IF(G47&lt;I47,I47/G47-1,G47/I47-1)</f>
        <v>0</v>
      </c>
      <c r="H54" s="626" t="str">
        <f>IF(OR(G54&gt;=0.3,G54&lt;=-0.3),"超过30%","")</f>
        <v/>
      </c>
      <c r="I54" s="625">
        <f>IF(I47&lt;E47,E47/I47-1,I47/E47-1)</f>
        <v>5.8823529411764719E-2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5"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v>100</v>
      </c>
      <c r="E59" s="649">
        <v>100</v>
      </c>
      <c r="F59" s="649">
        <v>99.5</v>
      </c>
      <c r="G59" s="649">
        <v>99.5</v>
      </c>
      <c r="H59" s="649">
        <v>99.5</v>
      </c>
      <c r="I59" s="649">
        <v>99</v>
      </c>
      <c r="J59" s="649">
        <v>99</v>
      </c>
      <c r="K59" s="649">
        <v>99</v>
      </c>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573</v>
      </c>
      <c r="B63" s="664" t="s">
        <v>530</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97</v>
      </c>
      <c r="E77" s="678">
        <f>D77-$K15</f>
        <v>94</v>
      </c>
      <c r="F77" s="678">
        <f>E77-$K15</f>
        <v>91</v>
      </c>
      <c r="G77" s="678">
        <f>F77-$K15</f>
        <v>88</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97</v>
      </c>
      <c r="E79" s="678">
        <f>D79-$K17</f>
        <v>94</v>
      </c>
      <c r="F79" s="678">
        <f>E79-$K17</f>
        <v>91</v>
      </c>
      <c r="G79" s="678">
        <f>F79-$K17</f>
        <v>88</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 thickTop="1">
      <c r="A90" s="686"/>
      <c r="B90" s="672" t="str">
        <f>B27</f>
        <v>道路级别</v>
      </c>
      <c r="C90" s="3187" t="s">
        <v>3161</v>
      </c>
      <c r="D90" s="3187" t="s">
        <v>3162</v>
      </c>
      <c r="E90" s="3187" t="s">
        <v>3163</v>
      </c>
      <c r="F90" s="3187" t="s">
        <v>3164</v>
      </c>
      <c r="G90" s="3187" t="s">
        <v>3165</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743</v>
      </c>
      <c r="C100" s="3179" t="s">
        <v>3146</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187" t="s">
        <v>3147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190" t="s">
        <v>3149</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187" t="s">
        <v>3150</v>
      </c>
      <c r="D109" s="3187" t="s">
        <v>3151</v>
      </c>
      <c r="E109" s="3187" t="s">
        <v>3152</v>
      </c>
      <c r="F109" s="3190" t="s">
        <v>3153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187" t="s">
        <v>3155</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7" t="s">
        <v>3154</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3159</v>
      </c>
      <c r="D118" s="3190" t="s">
        <v>3160</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187" t="s">
        <v>3150</v>
      </c>
      <c r="D122" s="3187" t="s">
        <v>3151</v>
      </c>
      <c r="E122" s="3187" t="s">
        <v>3152</v>
      </c>
      <c r="F122" s="3190" t="s">
        <v>3153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C41" sqref="C41"/>
    </sheetView>
  </sheetViews>
  <sheetFormatPr defaultColWidth="9" defaultRowHeight="13.8"/>
  <cols>
    <col min="1" max="1" width="10.44140625" style="1335" customWidth="1"/>
    <col min="2" max="2" width="15.77734375" style="1335" customWidth="1"/>
    <col min="3" max="3" width="18.218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2644" t="s">
        <v>715</v>
      </c>
      <c r="C1" s="2645" t="s">
        <v>716</v>
      </c>
      <c r="D1" s="2646" t="s">
        <v>3141</v>
      </c>
      <c r="E1" s="2647"/>
      <c r="F1" s="2828" t="s">
        <v>3111</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t="e">
        <f>C49</f>
        <v>#DIV/0!</v>
      </c>
      <c r="C3" s="851" t="s">
        <v>718</v>
      </c>
      <c r="D3" s="850">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517</v>
      </c>
      <c r="B4" s="512"/>
      <c r="C4" s="3423" t="s">
        <v>518</v>
      </c>
      <c r="D4" s="3424"/>
      <c r="E4" s="3448" t="s">
        <v>519</v>
      </c>
      <c r="F4" s="3449"/>
      <c r="G4" s="3423" t="s">
        <v>520</v>
      </c>
      <c r="H4" s="3424"/>
      <c r="I4" s="3423" t="s">
        <v>521</v>
      </c>
      <c r="J4" s="3424"/>
      <c r="K4" s="852" t="s">
        <v>522</v>
      </c>
      <c r="L4" s="2130"/>
      <c r="M4" s="2131"/>
      <c r="N4" s="2131"/>
      <c r="O4" s="2131"/>
      <c r="P4" s="3425" t="s">
        <v>523</v>
      </c>
      <c r="Q4" s="3426"/>
      <c r="R4" s="3411" t="s">
        <v>519</v>
      </c>
      <c r="S4" s="3412"/>
      <c r="T4" s="3411" t="s">
        <v>520</v>
      </c>
      <c r="U4" s="3412"/>
      <c r="V4" s="3431" t="s">
        <v>521</v>
      </c>
      <c r="W4" s="3431"/>
      <c r="X4" s="1563"/>
      <c r="Y4" s="3411" t="s">
        <v>523</v>
      </c>
      <c r="Z4" s="3412"/>
      <c r="AA4" s="3406" t="s">
        <v>519</v>
      </c>
      <c r="AB4" s="3406" t="s">
        <v>520</v>
      </c>
      <c r="AC4" s="3406" t="s">
        <v>521</v>
      </c>
    </row>
    <row r="5" spans="1:29">
      <c r="A5" s="514"/>
      <c r="B5" s="515"/>
      <c r="C5" s="3434" t="s">
        <v>2924</v>
      </c>
      <c r="D5" s="3435"/>
      <c r="E5" s="3496" t="s">
        <v>3140</v>
      </c>
      <c r="F5" s="3451"/>
      <c r="G5" s="3495" t="s">
        <v>3156</v>
      </c>
      <c r="H5" s="3435"/>
      <c r="I5" s="3495" t="s">
        <v>3157</v>
      </c>
      <c r="J5" s="3435"/>
      <c r="K5" s="853"/>
      <c r="L5" s="2130"/>
      <c r="M5" s="2131"/>
      <c r="N5" s="2131"/>
      <c r="O5" s="2131"/>
      <c r="P5" s="3427"/>
      <c r="Q5" s="3428"/>
      <c r="R5" s="3413"/>
      <c r="S5" s="3414"/>
      <c r="T5" s="3413"/>
      <c r="U5" s="3414"/>
      <c r="V5" s="3431"/>
      <c r="W5" s="3431"/>
      <c r="X5" s="1563"/>
      <c r="Y5" s="3413"/>
      <c r="Z5" s="3414"/>
      <c r="AA5" s="3407"/>
      <c r="AB5" s="3407"/>
      <c r="AC5" s="3407"/>
    </row>
    <row r="6" spans="1:29" ht="15" thickBot="1">
      <c r="A6" s="516"/>
      <c r="B6" s="517"/>
      <c r="C6" s="3452" t="s">
        <v>2928</v>
      </c>
      <c r="D6" s="3433"/>
      <c r="E6" s="3453" t="s">
        <v>2928</v>
      </c>
      <c r="F6" s="3454"/>
      <c r="G6" s="3452" t="s">
        <v>2928</v>
      </c>
      <c r="H6" s="3433"/>
      <c r="I6" s="3452" t="s">
        <v>2928</v>
      </c>
      <c r="J6" s="3433"/>
      <c r="K6" s="853" t="s">
        <v>524</v>
      </c>
      <c r="L6" s="2130"/>
      <c r="M6" s="2131"/>
      <c r="N6" s="2131"/>
      <c r="O6" s="2131"/>
      <c r="P6" s="3429"/>
      <c r="Q6" s="3430"/>
      <c r="R6" s="3413"/>
      <c r="S6" s="3414"/>
      <c r="T6" s="3415"/>
      <c r="U6" s="3416"/>
      <c r="V6" s="3431"/>
      <c r="W6" s="3431"/>
      <c r="X6" s="1563"/>
      <c r="Y6" s="3415"/>
      <c r="Z6" s="3416"/>
      <c r="AA6" s="3408"/>
      <c r="AB6" s="3408"/>
      <c r="AC6" s="3408"/>
    </row>
    <row r="7" spans="1:29" s="1218" customFormat="1" ht="15" thickBot="1">
      <c r="A7" s="2933"/>
      <c r="B7" s="2940" t="s">
        <v>525</v>
      </c>
      <c r="C7" s="518">
        <f>'数据-取费表'!B2</f>
        <v>43353</v>
      </c>
      <c r="D7" s="519">
        <v>100</v>
      </c>
      <c r="E7" s="520">
        <v>43221</v>
      </c>
      <c r="F7" s="521">
        <f>SUMIF(58:58,YEAR(E7)&amp;"-"&amp;MONTH(E7),59:59)</f>
        <v>0</v>
      </c>
      <c r="G7" s="520">
        <v>43221</v>
      </c>
      <c r="H7" s="519">
        <f>SUMIF(58:58,YEAR(G7)&amp;"-"&amp;MONTH(G7),59:59)</f>
        <v>0</v>
      </c>
      <c r="I7" s="520">
        <v>43221</v>
      </c>
      <c r="J7" s="519">
        <f>SUMIF(58:58,YEAR(I7)&amp;"-"&amp;MONTH(I7),59:59)</f>
        <v>0</v>
      </c>
      <c r="K7" s="854"/>
      <c r="L7" s="2132"/>
      <c r="M7" s="2133"/>
      <c r="N7" s="2133"/>
      <c r="O7" s="2133"/>
      <c r="P7" s="3409" t="s">
        <v>526</v>
      </c>
      <c r="Q7" s="3418"/>
      <c r="R7" s="1564" t="s">
        <v>13</v>
      </c>
      <c r="S7" s="1565">
        <f t="shared" ref="S7:S15" si="0">F7</f>
        <v>0</v>
      </c>
      <c r="T7" s="1564" t="s">
        <v>13</v>
      </c>
      <c r="U7" s="1565">
        <f t="shared" ref="U7:U15" si="1">H7</f>
        <v>0</v>
      </c>
      <c r="V7" s="1564" t="s">
        <v>13</v>
      </c>
      <c r="W7" s="1565">
        <f t="shared" ref="W7:W15" si="2">J7</f>
        <v>0</v>
      </c>
      <c r="X7" s="1566"/>
      <c r="Y7" s="3409" t="s">
        <v>526</v>
      </c>
      <c r="Z7" s="3410"/>
      <c r="AA7" s="1567" t="e">
        <f>D7/F7</f>
        <v>#DIV/0!</v>
      </c>
      <c r="AB7" s="1567" t="e">
        <f>D7/H7</f>
        <v>#DIV/0!</v>
      </c>
      <c r="AC7" s="1567" t="e">
        <f>D7/J7</f>
        <v>#DIV/0!</v>
      </c>
    </row>
    <row r="8" spans="1:29" s="1218" customFormat="1" ht="1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09" t="s">
        <v>529</v>
      </c>
      <c r="Q8" s="3410"/>
      <c r="R8" s="1564" t="s">
        <v>13</v>
      </c>
      <c r="S8" s="1565">
        <f t="shared" si="0"/>
        <v>100</v>
      </c>
      <c r="T8" s="1564" t="s">
        <v>13</v>
      </c>
      <c r="U8" s="1565">
        <f t="shared" si="1"/>
        <v>100</v>
      </c>
      <c r="V8" s="1564" t="s">
        <v>13</v>
      </c>
      <c r="W8" s="1565">
        <f t="shared" si="2"/>
        <v>100</v>
      </c>
      <c r="X8" s="1566"/>
      <c r="Y8" s="3409" t="s">
        <v>529</v>
      </c>
      <c r="Z8" s="3410"/>
      <c r="AA8" s="1567">
        <f t="shared" ref="AA8:AA46" si="3">D8/F8</f>
        <v>1</v>
      </c>
      <c r="AB8" s="1567">
        <f t="shared" ref="AB8:AB46" si="4">D8/H8</f>
        <v>1</v>
      </c>
      <c r="AC8" s="1567">
        <f t="shared" ref="AC8:AC46" si="5">D8/J8</f>
        <v>1</v>
      </c>
    </row>
    <row r="9" spans="1:29" s="1218" customFormat="1" ht="14.4">
      <c r="A9" s="2935"/>
      <c r="B9" s="2942" t="s">
        <v>2755</v>
      </c>
      <c r="C9" s="3211" t="s">
        <v>3143</v>
      </c>
      <c r="D9" s="253">
        <v>100</v>
      </c>
      <c r="E9" s="857" t="s">
        <v>3142</v>
      </c>
      <c r="F9" s="858">
        <f>SUMIF(63:63,E9,64:64)-SUMIF(63:63,C9,64:64)+100</f>
        <v>100</v>
      </c>
      <c r="G9" s="857" t="s">
        <v>3142</v>
      </c>
      <c r="H9" s="253">
        <f>SUMIF(63:63,G9,64:64)-SUMIF(63:63,C9,64:64)+100</f>
        <v>100</v>
      </c>
      <c r="I9" s="857" t="s">
        <v>3142</v>
      </c>
      <c r="J9" s="253">
        <f>SUMIF(63:63,I9,64:64)-SUMIF(63:63,C9,64:64)+100</f>
        <v>100</v>
      </c>
      <c r="K9" s="854"/>
      <c r="L9" s="2132"/>
      <c r="M9" s="2133"/>
      <c r="N9" s="2133"/>
      <c r="O9" s="2134"/>
      <c r="P9" s="3417" t="s">
        <v>531</v>
      </c>
      <c r="Q9" s="1149" t="str">
        <f t="shared" ref="Q9:Q15" si="6">B9</f>
        <v>用途</v>
      </c>
      <c r="R9" s="1564" t="s">
        <v>8</v>
      </c>
      <c r="S9" s="1565">
        <f t="shared" si="0"/>
        <v>100</v>
      </c>
      <c r="T9" s="1564" t="s">
        <v>8</v>
      </c>
      <c r="U9" s="1565">
        <f t="shared" si="1"/>
        <v>100</v>
      </c>
      <c r="V9" s="1564" t="s">
        <v>8</v>
      </c>
      <c r="W9" s="1565">
        <f t="shared" si="2"/>
        <v>100</v>
      </c>
      <c r="X9" s="1566"/>
      <c r="Y9" s="3374" t="s">
        <v>532</v>
      </c>
      <c r="Z9" s="1148" t="str">
        <f t="shared" ref="Z9:Z15" si="7">Q9</f>
        <v>用途</v>
      </c>
      <c r="AA9" s="1567">
        <f t="shared" si="3"/>
        <v>1</v>
      </c>
      <c r="AB9" s="1567">
        <f t="shared" si="4"/>
        <v>1</v>
      </c>
      <c r="AC9" s="1567">
        <f t="shared" si="5"/>
        <v>1</v>
      </c>
    </row>
    <row r="10" spans="1:29" s="1336" customFormat="1" ht="28.8">
      <c r="A10" s="2936"/>
      <c r="B10" s="2941" t="s">
        <v>2756</v>
      </c>
      <c r="C10" s="860" t="s">
        <v>3144</v>
      </c>
      <c r="D10" s="254">
        <v>100</v>
      </c>
      <c r="E10" s="860" t="s">
        <v>3144</v>
      </c>
      <c r="F10" s="862">
        <f>SUMIF(65:65,E10,66:66)-SUMIF(65:65,C10,66:66)+100</f>
        <v>100</v>
      </c>
      <c r="G10" s="860" t="s">
        <v>3144</v>
      </c>
      <c r="H10" s="254">
        <f>SUMIF(65:65,G10,66:66)-SUMIF(65:65,C10,66:66)+100</f>
        <v>100</v>
      </c>
      <c r="I10" s="860" t="s">
        <v>3144</v>
      </c>
      <c r="J10" s="254">
        <f>SUMIF(65:65,I10,66:66)-SUMIF(65:65,C10,66:66)+100</f>
        <v>100</v>
      </c>
      <c r="K10" s="86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74"/>
      <c r="Z10" s="1148" t="str">
        <f t="shared" si="7"/>
        <v>土地使用年限（年）</v>
      </c>
      <c r="AA10" s="1567">
        <f t="shared" si="3"/>
        <v>1</v>
      </c>
      <c r="AB10" s="1567">
        <f t="shared" si="4"/>
        <v>1</v>
      </c>
      <c r="AC10" s="1567">
        <f t="shared" si="5"/>
        <v>1</v>
      </c>
    </row>
    <row r="11" spans="1:29" ht="15">
      <c r="A11" s="2937"/>
      <c r="B11" s="2941" t="s">
        <v>2757</v>
      </c>
      <c r="C11" s="532">
        <f>'比较法-住宅、综合'!C13</f>
        <v>2.64</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17"/>
      <c r="Q11" s="1149" t="str">
        <f t="shared" si="6"/>
        <v>容积率</v>
      </c>
      <c r="R11" s="1564" t="s">
        <v>11</v>
      </c>
      <c r="S11" s="1565">
        <f t="shared" si="0"/>
        <v>102</v>
      </c>
      <c r="T11" s="1564" t="s">
        <v>11</v>
      </c>
      <c r="U11" s="1565">
        <f t="shared" si="1"/>
        <v>96</v>
      </c>
      <c r="V11" s="1564" t="s">
        <v>11</v>
      </c>
      <c r="W11" s="1565">
        <f t="shared" si="2"/>
        <v>98</v>
      </c>
      <c r="X11" s="1566"/>
      <c r="Y11" s="3374"/>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17"/>
      <c r="Q12" s="1149">
        <f t="shared" si="6"/>
        <v>111</v>
      </c>
      <c r="R12" s="1564" t="s">
        <v>11</v>
      </c>
      <c r="S12" s="1565">
        <f t="shared" si="0"/>
        <v>100</v>
      </c>
      <c r="T12" s="1564" t="s">
        <v>11</v>
      </c>
      <c r="U12" s="1565">
        <f t="shared" si="1"/>
        <v>100</v>
      </c>
      <c r="V12" s="1564" t="s">
        <v>11</v>
      </c>
      <c r="W12" s="1565">
        <f t="shared" si="2"/>
        <v>100</v>
      </c>
      <c r="X12" s="1566"/>
      <c r="Y12" s="3374"/>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17"/>
      <c r="Q13" s="1149">
        <f t="shared" si="6"/>
        <v>111</v>
      </c>
      <c r="R13" s="1564" t="s">
        <v>11</v>
      </c>
      <c r="S13" s="1565">
        <f t="shared" si="0"/>
        <v>100</v>
      </c>
      <c r="T13" s="1564" t="s">
        <v>11</v>
      </c>
      <c r="U13" s="1565">
        <f t="shared" si="1"/>
        <v>100</v>
      </c>
      <c r="V13" s="1564" t="s">
        <v>11</v>
      </c>
      <c r="W13" s="1565">
        <f t="shared" si="2"/>
        <v>100</v>
      </c>
      <c r="X13" s="1566"/>
      <c r="Y13" s="3374"/>
      <c r="Z13" s="1148">
        <f t="shared" si="7"/>
        <v>111</v>
      </c>
      <c r="AA13" s="1567">
        <f t="shared" si="3"/>
        <v>1</v>
      </c>
      <c r="AB13" s="1567">
        <f t="shared" si="4"/>
        <v>1</v>
      </c>
      <c r="AC13" s="1567">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17"/>
      <c r="Q14" s="1149">
        <f t="shared" si="6"/>
        <v>111</v>
      </c>
      <c r="R14" s="1564" t="s">
        <v>11</v>
      </c>
      <c r="S14" s="1565">
        <f t="shared" si="0"/>
        <v>100</v>
      </c>
      <c r="T14" s="1564" t="s">
        <v>11</v>
      </c>
      <c r="U14" s="1565">
        <f t="shared" si="1"/>
        <v>100</v>
      </c>
      <c r="V14" s="1564" t="s">
        <v>11</v>
      </c>
      <c r="W14" s="1565">
        <f t="shared" si="2"/>
        <v>100</v>
      </c>
      <c r="X14" s="1566"/>
      <c r="Y14" s="3374"/>
      <c r="Z14" s="1148">
        <f t="shared" si="7"/>
        <v>111</v>
      </c>
      <c r="AA14" s="1567">
        <f t="shared" si="3"/>
        <v>1</v>
      </c>
      <c r="AB14" s="1567">
        <f t="shared" si="4"/>
        <v>1</v>
      </c>
      <c r="AC14" s="1567">
        <f t="shared" si="5"/>
        <v>1</v>
      </c>
    </row>
    <row r="15" spans="1:29" ht="109.5" customHeight="1">
      <c r="A15" s="2931" t="s">
        <v>2753</v>
      </c>
      <c r="B15" s="166" t="s">
        <v>291</v>
      </c>
      <c r="C15" s="866" t="str">
        <f>估价对象房地状况!C3</f>
        <v>估价对象周边居住用地比例高、居住小区规模和社区发展完善程度较好，周边有尚城、聚豪园等多个住宅项目，综合评价居住社区成熟度较好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19" t="s">
        <v>536</v>
      </c>
      <c r="Q15" s="1568" t="str">
        <f t="shared" si="6"/>
        <v>居住社区成熟度</v>
      </c>
      <c r="R15" s="1569" t="s">
        <v>11</v>
      </c>
      <c r="S15" s="1570">
        <f t="shared" si="0"/>
        <v>100</v>
      </c>
      <c r="T15" s="1569" t="s">
        <v>11</v>
      </c>
      <c r="U15" s="1570">
        <f t="shared" si="1"/>
        <v>100</v>
      </c>
      <c r="V15" s="1569" t="s">
        <v>11</v>
      </c>
      <c r="W15" s="1570">
        <f t="shared" si="2"/>
        <v>100</v>
      </c>
      <c r="X15" s="1563"/>
      <c r="Y15" s="3419" t="s">
        <v>536</v>
      </c>
      <c r="Z15" s="1571" t="str">
        <f t="shared" si="7"/>
        <v>居住社区成熟度</v>
      </c>
      <c r="AA15" s="1572">
        <f t="shared" si="3"/>
        <v>1</v>
      </c>
      <c r="AB15" s="1572">
        <f t="shared" si="4"/>
        <v>1</v>
      </c>
      <c r="AC15" s="1572">
        <f t="shared" si="5"/>
        <v>1</v>
      </c>
    </row>
    <row r="16" spans="1:29" ht="15">
      <c r="A16" s="531"/>
      <c r="B16" s="868"/>
      <c r="C16" s="575" t="s">
        <v>3087</v>
      </c>
      <c r="D16" s="554"/>
      <c r="E16" s="575" t="s">
        <v>3087</v>
      </c>
      <c r="F16" s="556"/>
      <c r="G16" s="557" t="s">
        <v>3087</v>
      </c>
      <c r="H16" s="558"/>
      <c r="I16" s="557" t="s">
        <v>3087</v>
      </c>
      <c r="J16" s="554"/>
      <c r="K16" s="869"/>
      <c r="L16" s="2139"/>
      <c r="M16" s="2131"/>
      <c r="N16" s="2131"/>
      <c r="O16" s="2138"/>
      <c r="P16" s="3420"/>
      <c r="Q16" s="1568"/>
      <c r="R16" s="1569"/>
      <c r="S16" s="1570"/>
      <c r="T16" s="1569"/>
      <c r="U16" s="1570"/>
      <c r="V16" s="1569"/>
      <c r="W16" s="1570"/>
      <c r="X16" s="1563"/>
      <c r="Y16" s="3420"/>
      <c r="Z16" s="1571"/>
      <c r="AA16" s="1572">
        <v>1</v>
      </c>
      <c r="AB16" s="1572">
        <v>1</v>
      </c>
      <c r="AC16" s="1572">
        <v>1</v>
      </c>
    </row>
    <row r="17" spans="1:29" ht="96.6">
      <c r="A17" s="531"/>
      <c r="B17" s="870" t="s">
        <v>292</v>
      </c>
      <c r="C17" s="871" t="str">
        <f>估价对象房地状况!C6</f>
        <v>估价对象周边道路状况、公共交通通达情况：有071、003、030、36等多路公交车，停车便捷程度，综合评价交通便捷度较好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20"/>
      <c r="Q17" s="1568" t="str">
        <f>B17</f>
        <v>交通便捷度</v>
      </c>
      <c r="R17" s="1569" t="s">
        <v>11</v>
      </c>
      <c r="S17" s="1570">
        <f>F17</f>
        <v>100</v>
      </c>
      <c r="T17" s="1569" t="s">
        <v>11</v>
      </c>
      <c r="U17" s="1570">
        <f>H17</f>
        <v>100</v>
      </c>
      <c r="V17" s="1569" t="s">
        <v>11</v>
      </c>
      <c r="W17" s="1570">
        <f>J17</f>
        <v>100</v>
      </c>
      <c r="X17" s="1563"/>
      <c r="Y17" s="3420"/>
      <c r="Z17" s="1571" t="str">
        <f>Q17</f>
        <v>交通便捷度</v>
      </c>
      <c r="AA17" s="1572">
        <f t="shared" si="3"/>
        <v>1</v>
      </c>
      <c r="AB17" s="1572">
        <f t="shared" si="4"/>
        <v>1</v>
      </c>
      <c r="AC17" s="1572">
        <f t="shared" si="5"/>
        <v>1</v>
      </c>
    </row>
    <row r="18" spans="1:29" ht="15">
      <c r="A18" s="531"/>
      <c r="B18" s="594"/>
      <c r="C18" s="872" t="s">
        <v>3087</v>
      </c>
      <c r="D18" s="558"/>
      <c r="E18" s="872" t="s">
        <v>3087</v>
      </c>
      <c r="F18" s="562"/>
      <c r="G18" s="872" t="s">
        <v>3087</v>
      </c>
      <c r="H18" s="554"/>
      <c r="I18" s="872" t="s">
        <v>3087</v>
      </c>
      <c r="J18" s="554"/>
      <c r="K18" s="869"/>
      <c r="L18" s="2139"/>
      <c r="M18" s="2131"/>
      <c r="N18" s="2131"/>
      <c r="O18" s="2138"/>
      <c r="P18" s="3420"/>
      <c r="Q18" s="1568"/>
      <c r="R18" s="1569"/>
      <c r="S18" s="1570"/>
      <c r="T18" s="1569"/>
      <c r="U18" s="1570"/>
      <c r="V18" s="1569"/>
      <c r="W18" s="1570"/>
      <c r="X18" s="1563"/>
      <c r="Y18" s="3420"/>
      <c r="Z18" s="1571"/>
      <c r="AA18" s="1572">
        <v>1</v>
      </c>
      <c r="AB18" s="1572">
        <v>1</v>
      </c>
      <c r="AC18" s="1572">
        <v>1</v>
      </c>
    </row>
    <row r="19" spans="1:29" ht="55.2">
      <c r="A19" s="531"/>
      <c r="B19" s="2621" t="s">
        <v>2545</v>
      </c>
      <c r="C19" s="871" t="str">
        <f>估价对象房地状况!C7</f>
        <v>估价对象所在区域公共配套设施齐备情况较好：中山市实验中学</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20"/>
      <c r="Q19" s="1568" t="str">
        <f>B19</f>
        <v>公共配套设施</v>
      </c>
      <c r="R19" s="1569" t="s">
        <v>11</v>
      </c>
      <c r="S19" s="1570">
        <f>F19</f>
        <v>100</v>
      </c>
      <c r="T19" s="1569" t="s">
        <v>11</v>
      </c>
      <c r="U19" s="1570">
        <f>H19</f>
        <v>100</v>
      </c>
      <c r="V19" s="1569" t="s">
        <v>11</v>
      </c>
      <c r="W19" s="1570">
        <f>J19</f>
        <v>100</v>
      </c>
      <c r="X19" s="1563"/>
      <c r="Y19" s="3420"/>
      <c r="Z19" s="1571" t="str">
        <f>Q19</f>
        <v>公共配套设施</v>
      </c>
      <c r="AA19" s="1572">
        <f t="shared" si="3"/>
        <v>1</v>
      </c>
      <c r="AB19" s="1572">
        <f t="shared" si="4"/>
        <v>1</v>
      </c>
      <c r="AC19" s="1572">
        <f t="shared" si="5"/>
        <v>1</v>
      </c>
    </row>
    <row r="20" spans="1:29" ht="15">
      <c r="A20" s="531"/>
      <c r="B20" s="594"/>
      <c r="C20" s="575" t="s">
        <v>3087</v>
      </c>
      <c r="D20" s="554"/>
      <c r="E20" s="575" t="s">
        <v>3087</v>
      </c>
      <c r="F20" s="556"/>
      <c r="G20" s="575" t="s">
        <v>3087</v>
      </c>
      <c r="H20" s="554"/>
      <c r="I20" s="575" t="s">
        <v>3087</v>
      </c>
      <c r="J20" s="554"/>
      <c r="K20" s="869"/>
      <c r="L20" s="2139"/>
      <c r="M20" s="2131"/>
      <c r="N20" s="2131"/>
      <c r="O20" s="2138"/>
      <c r="P20" s="3420"/>
      <c r="Q20" s="1568"/>
      <c r="R20" s="1569"/>
      <c r="S20" s="1570"/>
      <c r="T20" s="1569"/>
      <c r="U20" s="1570"/>
      <c r="V20" s="1569"/>
      <c r="W20" s="1570"/>
      <c r="X20" s="1563"/>
      <c r="Y20" s="3420"/>
      <c r="Z20" s="1571"/>
      <c r="AA20" s="1572">
        <v>1</v>
      </c>
      <c r="AB20" s="1572">
        <v>1</v>
      </c>
      <c r="AC20" s="1572">
        <v>1</v>
      </c>
    </row>
    <row r="21" spans="1:29" ht="27.6">
      <c r="A21" s="531"/>
      <c r="B21" s="2614" t="s">
        <v>2557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20"/>
      <c r="Q21" s="2600" t="str">
        <f>B21</f>
        <v>基础设施水平</v>
      </c>
      <c r="R21" s="1569" t="s">
        <v>11</v>
      </c>
      <c r="S21" s="1570">
        <f>F21</f>
        <v>100</v>
      </c>
      <c r="T21" s="1569" t="s">
        <v>11</v>
      </c>
      <c r="U21" s="1570">
        <f>H21</f>
        <v>100</v>
      </c>
      <c r="V21" s="1569" t="s">
        <v>11</v>
      </c>
      <c r="W21" s="1570">
        <f>J21</f>
        <v>100</v>
      </c>
      <c r="X21" s="2602"/>
      <c r="Y21" s="3420"/>
      <c r="Z21" s="2601" t="str">
        <f>Q21</f>
        <v>基础设施水平</v>
      </c>
      <c r="AA21" s="1572">
        <f t="shared" ref="AA21" si="8">D21/F21</f>
        <v>1</v>
      </c>
      <c r="AB21" s="1572">
        <f t="shared" ref="AB21" si="9">D21/H21</f>
        <v>1</v>
      </c>
      <c r="AC21" s="1572">
        <f t="shared" ref="AC21" si="10">D21/J21</f>
        <v>1</v>
      </c>
    </row>
    <row r="22" spans="1:29" ht="15">
      <c r="A22" s="531"/>
      <c r="B22" s="920"/>
      <c r="C22" s="872" t="s">
        <v>3103</v>
      </c>
      <c r="D22" s="554"/>
      <c r="E22" s="872" t="s">
        <v>3103</v>
      </c>
      <c r="F22" s="556"/>
      <c r="G22" s="872" t="s">
        <v>3103</v>
      </c>
      <c r="H22" s="554"/>
      <c r="I22" s="872" t="s">
        <v>3103</v>
      </c>
      <c r="J22" s="554"/>
      <c r="K22" s="2620"/>
      <c r="L22" s="2139"/>
      <c r="M22" s="2131"/>
      <c r="N22" s="2131"/>
      <c r="O22" s="2138"/>
      <c r="P22" s="3420"/>
      <c r="Q22" s="2600"/>
      <c r="R22" s="1569"/>
      <c r="S22" s="1570"/>
      <c r="T22" s="1569"/>
      <c r="U22" s="1570"/>
      <c r="V22" s="1569"/>
      <c r="W22" s="1570"/>
      <c r="X22" s="2602"/>
      <c r="Y22" s="3420"/>
      <c r="Z22" s="2601"/>
      <c r="AA22" s="1572">
        <v>1</v>
      </c>
      <c r="AB22" s="1572">
        <v>1</v>
      </c>
      <c r="AC22" s="1572">
        <v>1</v>
      </c>
    </row>
    <row r="23" spans="1:29" ht="55.2">
      <c r="A23" s="531"/>
      <c r="B23" s="870" t="s">
        <v>293</v>
      </c>
      <c r="C23" s="871" t="str">
        <f>估价对象房地状况!C9</f>
        <v>周边2公里区域自然环境：；人文环境：；综合评价环境状况较好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20"/>
      <c r="Q23" s="1568" t="str">
        <f>B23</f>
        <v>自然及人文环境</v>
      </c>
      <c r="R23" s="1569" t="s">
        <v>11</v>
      </c>
      <c r="S23" s="1570">
        <f>F23</f>
        <v>100</v>
      </c>
      <c r="T23" s="1569" t="s">
        <v>11</v>
      </c>
      <c r="U23" s="1570">
        <f>H23</f>
        <v>100</v>
      </c>
      <c r="V23" s="1569" t="s">
        <v>11</v>
      </c>
      <c r="W23" s="1570">
        <f>J23</f>
        <v>100</v>
      </c>
      <c r="X23" s="1563"/>
      <c r="Y23" s="3420"/>
      <c r="Z23" s="1571" t="str">
        <f>Q23</f>
        <v>自然及人文环境</v>
      </c>
      <c r="AA23" s="1572">
        <f t="shared" si="3"/>
        <v>1</v>
      </c>
      <c r="AB23" s="1572">
        <f t="shared" si="4"/>
        <v>1</v>
      </c>
      <c r="AC23" s="1572">
        <f t="shared" si="5"/>
        <v>1</v>
      </c>
    </row>
    <row r="24" spans="1:29" ht="15">
      <c r="A24" s="531"/>
      <c r="B24" s="594"/>
      <c r="C24" s="575" t="s">
        <v>3085</v>
      </c>
      <c r="D24" s="554"/>
      <c r="E24" s="575" t="s">
        <v>3085</v>
      </c>
      <c r="F24" s="556"/>
      <c r="G24" s="575" t="s">
        <v>3085</v>
      </c>
      <c r="H24" s="554"/>
      <c r="I24" s="575" t="s">
        <v>3085</v>
      </c>
      <c r="J24" s="554"/>
      <c r="K24" s="869"/>
      <c r="L24" s="2139"/>
      <c r="M24" s="2131"/>
      <c r="N24" s="2131"/>
      <c r="O24" s="2138"/>
      <c r="P24" s="3420"/>
      <c r="Q24" s="1568"/>
      <c r="R24" s="1569"/>
      <c r="S24" s="1570"/>
      <c r="T24" s="1569"/>
      <c r="U24" s="1570"/>
      <c r="V24" s="1569"/>
      <c r="W24" s="1570"/>
      <c r="X24" s="1563"/>
      <c r="Y24" s="3420"/>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20"/>
      <c r="Q25" s="1568" t="str">
        <f t="shared" ref="Q25:Q46" si="11">B25</f>
        <v>楼层-1</v>
      </c>
      <c r="R25" s="1569" t="s">
        <v>11</v>
      </c>
      <c r="S25" s="1570">
        <f>F25</f>
        <v>100</v>
      </c>
      <c r="T25" s="1569" t="s">
        <v>11</v>
      </c>
      <c r="U25" s="1570">
        <f>H25</f>
        <v>100</v>
      </c>
      <c r="V25" s="1569" t="s">
        <v>11</v>
      </c>
      <c r="W25" s="1570">
        <f>J25</f>
        <v>100</v>
      </c>
      <c r="X25" s="1563"/>
      <c r="Y25" s="3420"/>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20"/>
      <c r="Q26" s="1568" t="str">
        <f t="shared" si="11"/>
        <v>朝向</v>
      </c>
      <c r="R26" s="1569" t="s">
        <v>11</v>
      </c>
      <c r="S26" s="1570">
        <f>F26</f>
        <v>100</v>
      </c>
      <c r="T26" s="1569" t="s">
        <v>11</v>
      </c>
      <c r="U26" s="1570">
        <f>H26</f>
        <v>100</v>
      </c>
      <c r="V26" s="1569" t="s">
        <v>11</v>
      </c>
      <c r="W26" s="1570">
        <f>J26</f>
        <v>100</v>
      </c>
      <c r="X26" s="1563"/>
      <c r="Y26" s="3420"/>
      <c r="Z26" s="1571" t="str">
        <f>Q26</f>
        <v>朝向</v>
      </c>
      <c r="AA26" s="1572">
        <f t="shared" si="3"/>
        <v>1</v>
      </c>
      <c r="AB26" s="1572">
        <f t="shared" si="4"/>
        <v>1</v>
      </c>
      <c r="AC26" s="1572">
        <f t="shared" si="5"/>
        <v>1</v>
      </c>
    </row>
    <row r="27" spans="1:29" s="1218" customFormat="1" ht="15">
      <c r="A27" s="535"/>
      <c r="B27" s="536" t="s">
        <v>720</v>
      </c>
      <c r="C27" s="3219" t="s">
        <v>3164</v>
      </c>
      <c r="D27" s="874">
        <v>100</v>
      </c>
      <c r="E27" s="3219" t="s">
        <v>3164</v>
      </c>
      <c r="F27" s="875">
        <f>SUMIF(90:90,E27,91:91)-SUMIF(90:90,C27,91:91)+100</f>
        <v>100</v>
      </c>
      <c r="G27" s="3180" t="s">
        <v>3163</v>
      </c>
      <c r="H27" s="874">
        <f>SUMIF(90:90,G27,91:91)-SUMIF(90:90,C27,91:91)+100</f>
        <v>101</v>
      </c>
      <c r="I27" s="3219" t="s">
        <v>3164</v>
      </c>
      <c r="J27" s="874">
        <f>SUMIF(90:90,I27,91:91)-SUMIF(90:90,C27,91:91)+100</f>
        <v>100</v>
      </c>
      <c r="K27" s="864"/>
      <c r="L27" s="2132"/>
      <c r="M27" s="2133"/>
      <c r="N27" s="2133"/>
      <c r="O27" s="2134"/>
      <c r="P27" s="3420"/>
      <c r="Q27" s="1149" t="str">
        <f t="shared" si="11"/>
        <v>道路级别</v>
      </c>
      <c r="R27" s="1564" t="s">
        <v>11</v>
      </c>
      <c r="S27" s="1565">
        <f>F27</f>
        <v>100</v>
      </c>
      <c r="T27" s="1564" t="s">
        <v>11</v>
      </c>
      <c r="U27" s="1565">
        <f>H27</f>
        <v>101</v>
      </c>
      <c r="V27" s="1564" t="s">
        <v>11</v>
      </c>
      <c r="W27" s="1565">
        <f>J27</f>
        <v>100</v>
      </c>
      <c r="X27" s="1566"/>
      <c r="Y27" s="3420"/>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20"/>
      <c r="Q28" s="1568">
        <f t="shared" si="11"/>
        <v>111</v>
      </c>
      <c r="R28" s="1569" t="s">
        <v>11</v>
      </c>
      <c r="S28" s="1570">
        <f t="shared" ref="S28:S46" si="12">F28</f>
        <v>100</v>
      </c>
      <c r="T28" s="1569" t="s">
        <v>11</v>
      </c>
      <c r="U28" s="1570">
        <f t="shared" ref="U28:U46" si="13">H28</f>
        <v>100</v>
      </c>
      <c r="V28" s="1569" t="s">
        <v>11</v>
      </c>
      <c r="W28" s="1570">
        <f t="shared" ref="W28:W46" si="14">J28</f>
        <v>100</v>
      </c>
      <c r="X28" s="1563"/>
      <c r="Y28" s="3420"/>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20"/>
      <c r="Q29" s="1568">
        <f t="shared" si="11"/>
        <v>111</v>
      </c>
      <c r="R29" s="1569" t="s">
        <v>11</v>
      </c>
      <c r="S29" s="1570">
        <f t="shared" si="12"/>
        <v>100</v>
      </c>
      <c r="T29" s="1569" t="s">
        <v>11</v>
      </c>
      <c r="U29" s="1570">
        <f t="shared" si="13"/>
        <v>100</v>
      </c>
      <c r="V29" s="1569" t="s">
        <v>11</v>
      </c>
      <c r="W29" s="1570">
        <f t="shared" si="14"/>
        <v>100</v>
      </c>
      <c r="X29" s="1563"/>
      <c r="Y29" s="3420"/>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20"/>
      <c r="Q30" s="1568">
        <f t="shared" si="11"/>
        <v>111</v>
      </c>
      <c r="R30" s="1569" t="s">
        <v>11</v>
      </c>
      <c r="S30" s="1570">
        <f t="shared" si="12"/>
        <v>100</v>
      </c>
      <c r="T30" s="1569" t="s">
        <v>11</v>
      </c>
      <c r="U30" s="1570">
        <f t="shared" si="13"/>
        <v>100</v>
      </c>
      <c r="V30" s="1569" t="s">
        <v>11</v>
      </c>
      <c r="W30" s="1570">
        <f t="shared" si="14"/>
        <v>100</v>
      </c>
      <c r="X30" s="1563"/>
      <c r="Y30" s="3420"/>
      <c r="Z30" s="1571">
        <f t="shared" si="15"/>
        <v>111</v>
      </c>
      <c r="AA30" s="1572">
        <f t="shared" si="3"/>
        <v>1</v>
      </c>
      <c r="AB30" s="1572">
        <f t="shared" si="4"/>
        <v>1</v>
      </c>
      <c r="AC30" s="157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20"/>
      <c r="Q31" s="1568">
        <f t="shared" si="11"/>
        <v>111</v>
      </c>
      <c r="R31" s="1569" t="s">
        <v>11</v>
      </c>
      <c r="S31" s="1570">
        <f t="shared" si="12"/>
        <v>100</v>
      </c>
      <c r="T31" s="1569" t="s">
        <v>11</v>
      </c>
      <c r="U31" s="1570">
        <f t="shared" si="13"/>
        <v>100</v>
      </c>
      <c r="V31" s="1569" t="s">
        <v>11</v>
      </c>
      <c r="W31" s="1570">
        <f t="shared" si="14"/>
        <v>100</v>
      </c>
      <c r="X31" s="1563"/>
      <c r="Y31" s="3420"/>
      <c r="Z31" s="1571">
        <f t="shared" si="15"/>
        <v>111</v>
      </c>
      <c r="AA31" s="1572">
        <f t="shared" si="3"/>
        <v>1</v>
      </c>
      <c r="AB31" s="1572">
        <f t="shared" si="4"/>
        <v>1</v>
      </c>
      <c r="AC31" s="1572">
        <f t="shared" si="5"/>
        <v>1</v>
      </c>
    </row>
    <row r="32" spans="1:29" ht="15">
      <c r="A32" s="2928" t="s">
        <v>2754</v>
      </c>
      <c r="B32" s="172" t="s">
        <v>721</v>
      </c>
      <c r="C32" s="877" t="s">
        <v>3145</v>
      </c>
      <c r="D32" s="596">
        <v>100</v>
      </c>
      <c r="E32" s="877" t="s">
        <v>3145</v>
      </c>
      <c r="F32" s="574">
        <f>SUMIF(100:100,E32,101:101)-SUMIF(100:100,C32,101:101)+100</f>
        <v>100</v>
      </c>
      <c r="G32" s="877" t="s">
        <v>3145</v>
      </c>
      <c r="H32" s="596">
        <f>SUMIF(100:100,G32,101:101)-SUMIF(100:100,C32,101:101)+100</f>
        <v>100</v>
      </c>
      <c r="I32" s="877" t="s">
        <v>3145</v>
      </c>
      <c r="J32" s="539">
        <f>SUMIF(100:100,I32,101:101)-SUMIF(100:100,C32,101:101)+100</f>
        <v>100</v>
      </c>
      <c r="K32" s="863">
        <v>3</v>
      </c>
      <c r="L32" s="2139"/>
      <c r="M32" s="2131"/>
      <c r="N32" s="2131"/>
      <c r="O32" s="2138"/>
      <c r="P32" s="3421" t="s">
        <v>546</v>
      </c>
      <c r="Q32" s="1568" t="str">
        <f t="shared" si="11"/>
        <v>建筑类型</v>
      </c>
      <c r="R32" s="1569" t="s">
        <v>11</v>
      </c>
      <c r="S32" s="1570">
        <f t="shared" si="12"/>
        <v>100</v>
      </c>
      <c r="T32" s="1569" t="s">
        <v>11</v>
      </c>
      <c r="U32" s="1570">
        <f t="shared" si="13"/>
        <v>100</v>
      </c>
      <c r="V32" s="1569" t="s">
        <v>11</v>
      </c>
      <c r="W32" s="1570">
        <f t="shared" si="14"/>
        <v>100</v>
      </c>
      <c r="X32" s="1563"/>
      <c r="Y32" s="3422" t="s">
        <v>546</v>
      </c>
      <c r="Z32" s="1571" t="str">
        <f t="shared" si="15"/>
        <v>建筑类型</v>
      </c>
      <c r="AA32" s="1572">
        <f t="shared" si="3"/>
        <v>1</v>
      </c>
      <c r="AB32" s="1572">
        <f t="shared" si="4"/>
        <v>1</v>
      </c>
      <c r="AC32" s="1572">
        <f t="shared" si="5"/>
        <v>1</v>
      </c>
    </row>
    <row r="33" spans="1:29" s="1337" customFormat="1" ht="15">
      <c r="A33" s="602"/>
      <c r="B33" s="526" t="s">
        <v>722</v>
      </c>
      <c r="C33" s="878">
        <f>'数据-汇总表'!E3</f>
        <v>429582.71</v>
      </c>
      <c r="D33" s="254">
        <v>100</v>
      </c>
      <c r="E33" s="533">
        <v>280000</v>
      </c>
      <c r="F33" s="862">
        <f>LOOKUP(E33,103:103,104:104)-LOOKUP(C33,103:103,104:104)+100</f>
        <v>98</v>
      </c>
      <c r="G33" s="532">
        <v>579079</v>
      </c>
      <c r="H33" s="254">
        <f>LOOKUP(G33,103:103,104:104)-LOOKUP(C33,103:103,104:104)+100</f>
        <v>100</v>
      </c>
      <c r="I33" s="533">
        <v>145000</v>
      </c>
      <c r="J33" s="254">
        <f>LOOKUP(I33,103:103,104:104)-LOOKUP(C33,103:103,104:104)+100</f>
        <v>96</v>
      </c>
      <c r="K33" s="864"/>
      <c r="L33" s="2137"/>
      <c r="M33" s="2168"/>
      <c r="N33" s="2168"/>
      <c r="O33" s="2140"/>
      <c r="P33" s="3422"/>
      <c r="Q33" s="1601" t="str">
        <f t="shared" si="11"/>
        <v>项目建筑规模</v>
      </c>
      <c r="R33" s="1573" t="s">
        <v>11</v>
      </c>
      <c r="S33" s="1574">
        <f t="shared" si="12"/>
        <v>98</v>
      </c>
      <c r="T33" s="1573" t="s">
        <v>11</v>
      </c>
      <c r="U33" s="1574">
        <f t="shared" si="13"/>
        <v>100</v>
      </c>
      <c r="V33" s="1573" t="s">
        <v>11</v>
      </c>
      <c r="W33" s="1574">
        <f t="shared" si="14"/>
        <v>96</v>
      </c>
      <c r="X33" s="1575"/>
      <c r="Y33" s="3422"/>
      <c r="Z33" s="1576" t="str">
        <f t="shared" si="15"/>
        <v>项目建筑规模</v>
      </c>
      <c r="AA33" s="1572">
        <f t="shared" si="3"/>
        <v>1.0204081632653061</v>
      </c>
      <c r="AB33" s="1572">
        <f t="shared" si="4"/>
        <v>1</v>
      </c>
      <c r="AC33" s="1572">
        <f t="shared" si="5"/>
        <v>1.0416666666666667</v>
      </c>
    </row>
    <row r="34" spans="1:29" ht="15">
      <c r="A34" s="593"/>
      <c r="B34" s="526" t="s">
        <v>723</v>
      </c>
      <c r="C34" s="879" t="s">
        <v>3068</v>
      </c>
      <c r="D34" s="539">
        <v>100</v>
      </c>
      <c r="E34" s="879" t="s">
        <v>3068</v>
      </c>
      <c r="F34" s="574">
        <f>SUMIF(105:105,E34,106:106)-SUMIF(105:105,C34,106:106)+100</f>
        <v>100</v>
      </c>
      <c r="G34" s="879" t="s">
        <v>3068</v>
      </c>
      <c r="H34" s="539">
        <f>SUMIF(105:105,G34,106:106)-SUMIF(105:105,C34,106:106)+100</f>
        <v>100</v>
      </c>
      <c r="I34" s="879" t="s">
        <v>3068</v>
      </c>
      <c r="J34" s="539">
        <f>SUMIF(105:105,I34,106:106)-SUMIF(105:105,C34,106:106)+100</f>
        <v>100</v>
      </c>
      <c r="K34" s="863">
        <v>2</v>
      </c>
      <c r="L34" s="2139"/>
      <c r="M34" s="2131"/>
      <c r="N34" s="2131"/>
      <c r="O34" s="2138"/>
      <c r="P34" s="3422"/>
      <c r="Q34" s="1568" t="str">
        <f t="shared" si="11"/>
        <v>建筑结构</v>
      </c>
      <c r="R34" s="1569" t="s">
        <v>11</v>
      </c>
      <c r="S34" s="1570">
        <f t="shared" si="12"/>
        <v>100</v>
      </c>
      <c r="T34" s="1569" t="s">
        <v>11</v>
      </c>
      <c r="U34" s="1570">
        <f t="shared" si="13"/>
        <v>100</v>
      </c>
      <c r="V34" s="1569" t="s">
        <v>11</v>
      </c>
      <c r="W34" s="1570">
        <f t="shared" si="14"/>
        <v>100</v>
      </c>
      <c r="X34" s="1563"/>
      <c r="Y34" s="3422"/>
      <c r="Z34" s="1571" t="str">
        <f t="shared" si="15"/>
        <v>建筑结构</v>
      </c>
      <c r="AA34" s="1572">
        <f t="shared" si="3"/>
        <v>1</v>
      </c>
      <c r="AB34" s="1572">
        <f t="shared" si="4"/>
        <v>1</v>
      </c>
      <c r="AC34" s="1572">
        <f t="shared" si="5"/>
        <v>1</v>
      </c>
    </row>
    <row r="35" spans="1:29" ht="15">
      <c r="A35" s="593"/>
      <c r="B35" s="526" t="s">
        <v>724</v>
      </c>
      <c r="C35" s="598" t="s">
        <v>3148</v>
      </c>
      <c r="D35" s="539">
        <v>100</v>
      </c>
      <c r="E35" s="598" t="s">
        <v>3148</v>
      </c>
      <c r="F35" s="574">
        <f>SUMIF(107:107,E35,108:108)-SUMIF(107:107,C35,108:108)+100</f>
        <v>100</v>
      </c>
      <c r="G35" s="598" t="s">
        <v>3148</v>
      </c>
      <c r="H35" s="539">
        <f>SUMIF(107:107,G35,108:108)-SUMIF(107:107,C35,108:108)+100</f>
        <v>100</v>
      </c>
      <c r="I35" s="598" t="s">
        <v>3148</v>
      </c>
      <c r="J35" s="539">
        <f>SUMIF(107:107,I35,108:108)-SUMIF(107:107,C35,108:108)+100</f>
        <v>100</v>
      </c>
      <c r="K35" s="863">
        <v>2</v>
      </c>
      <c r="L35" s="2139"/>
      <c r="M35" s="2131"/>
      <c r="N35" s="2131"/>
      <c r="O35" s="2138"/>
      <c r="P35" s="3422"/>
      <c r="Q35" s="1568" t="str">
        <f t="shared" si="11"/>
        <v>建筑品质</v>
      </c>
      <c r="R35" s="1569" t="s">
        <v>11</v>
      </c>
      <c r="S35" s="1570">
        <f t="shared" si="12"/>
        <v>100</v>
      </c>
      <c r="T35" s="1569" t="s">
        <v>11</v>
      </c>
      <c r="U35" s="1570">
        <f t="shared" si="13"/>
        <v>100</v>
      </c>
      <c r="V35" s="1569" t="s">
        <v>11</v>
      </c>
      <c r="W35" s="1570">
        <f t="shared" si="14"/>
        <v>100</v>
      </c>
      <c r="X35" s="1563"/>
      <c r="Y35" s="3422"/>
      <c r="Z35" s="1571" t="str">
        <f t="shared" si="15"/>
        <v>建筑品质</v>
      </c>
      <c r="AA35" s="1572">
        <f t="shared" si="3"/>
        <v>1</v>
      </c>
      <c r="AB35" s="1572">
        <f t="shared" si="4"/>
        <v>1</v>
      </c>
      <c r="AC35" s="1572">
        <f t="shared" si="5"/>
        <v>1</v>
      </c>
    </row>
    <row r="36" spans="1:29" ht="15">
      <c r="A36" s="593"/>
      <c r="B36" s="526" t="s">
        <v>725</v>
      </c>
      <c r="C36" s="598" t="s">
        <v>3118</v>
      </c>
      <c r="D36" s="539">
        <v>100</v>
      </c>
      <c r="E36" s="598" t="s">
        <v>3118</v>
      </c>
      <c r="F36" s="574">
        <f>SUMIF(109:109,E36,110:110)-SUMIF(109:109,C36,110:110)+100</f>
        <v>100</v>
      </c>
      <c r="G36" s="598" t="s">
        <v>3118</v>
      </c>
      <c r="H36" s="539">
        <f>SUMIF(109:109,G36,110:110)-SUMIF(109:109,C36,110:110)+100</f>
        <v>100</v>
      </c>
      <c r="I36" s="598" t="s">
        <v>3118</v>
      </c>
      <c r="J36" s="539">
        <f>SUMIF(109:109,I36,110:110)-SUMIF(109:109,C36,110:110)+100</f>
        <v>100</v>
      </c>
      <c r="K36" s="863">
        <v>2</v>
      </c>
      <c r="L36" s="2139"/>
      <c r="M36" s="2131"/>
      <c r="N36" s="2131"/>
      <c r="O36" s="2138"/>
      <c r="P36" s="3422"/>
      <c r="Q36" s="1568" t="str">
        <f t="shared" si="11"/>
        <v>公共部分装修</v>
      </c>
      <c r="R36" s="1569" t="s">
        <v>11</v>
      </c>
      <c r="S36" s="1570">
        <f t="shared" si="12"/>
        <v>100</v>
      </c>
      <c r="T36" s="1569" t="s">
        <v>11</v>
      </c>
      <c r="U36" s="1570">
        <f t="shared" si="13"/>
        <v>100</v>
      </c>
      <c r="V36" s="1569" t="s">
        <v>11</v>
      </c>
      <c r="W36" s="1570">
        <f t="shared" si="14"/>
        <v>100</v>
      </c>
      <c r="X36" s="1563"/>
      <c r="Y36" s="3422"/>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22"/>
      <c r="Q37" s="1149" t="str">
        <f t="shared" si="11"/>
        <v>成新度</v>
      </c>
      <c r="R37" s="1564" t="s">
        <v>11</v>
      </c>
      <c r="S37" s="1565">
        <f t="shared" si="12"/>
        <v>100</v>
      </c>
      <c r="T37" s="1564" t="s">
        <v>11</v>
      </c>
      <c r="U37" s="1565">
        <f t="shared" si="13"/>
        <v>100</v>
      </c>
      <c r="V37" s="1564" t="s">
        <v>11</v>
      </c>
      <c r="W37" s="1565">
        <f t="shared" si="14"/>
        <v>99</v>
      </c>
      <c r="X37" s="1566"/>
      <c r="Y37" s="3422"/>
      <c r="Z37" s="1148" t="str">
        <f t="shared" si="15"/>
        <v>成新度</v>
      </c>
      <c r="AA37" s="1567">
        <f t="shared" si="3"/>
        <v>1</v>
      </c>
      <c r="AB37" s="1567">
        <f t="shared" si="4"/>
        <v>1</v>
      </c>
      <c r="AC37" s="1567">
        <f t="shared" si="5"/>
        <v>1.0101010101010102</v>
      </c>
    </row>
    <row r="38" spans="1:29" ht="15">
      <c r="A38" s="593"/>
      <c r="B38" s="526" t="s">
        <v>727</v>
      </c>
      <c r="C38" s="598" t="s">
        <v>3123</v>
      </c>
      <c r="D38" s="539">
        <v>100</v>
      </c>
      <c r="E38" s="598" t="s">
        <v>3123</v>
      </c>
      <c r="F38" s="574">
        <f>SUMIF(114:114,E38,115:115)-SUMIF(114:114,C38,115:115)+100</f>
        <v>100</v>
      </c>
      <c r="G38" s="598" t="s">
        <v>3123</v>
      </c>
      <c r="H38" s="539">
        <f>SUMIF(114:114,G38,115:115)-SUMIF(114:114,C38,115:115)+100</f>
        <v>100</v>
      </c>
      <c r="I38" s="598" t="s">
        <v>3123</v>
      </c>
      <c r="J38" s="539">
        <f>SUMIF(114:114,I38,115:115)-SUMIF(114:114,C38,115:115)+100</f>
        <v>100</v>
      </c>
      <c r="K38" s="863">
        <v>2</v>
      </c>
      <c r="L38" s="2139"/>
      <c r="M38" s="2131"/>
      <c r="N38" s="2131"/>
      <c r="O38" s="2138"/>
      <c r="P38" s="3422" t="s">
        <v>546</v>
      </c>
      <c r="Q38" s="1568" t="str">
        <f t="shared" si="11"/>
        <v>物业管理</v>
      </c>
      <c r="R38" s="1569" t="s">
        <v>11</v>
      </c>
      <c r="S38" s="1570">
        <f t="shared" si="12"/>
        <v>100</v>
      </c>
      <c r="T38" s="1569" t="s">
        <v>11</v>
      </c>
      <c r="U38" s="1570">
        <f t="shared" si="13"/>
        <v>100</v>
      </c>
      <c r="V38" s="1569" t="s">
        <v>11</v>
      </c>
      <c r="W38" s="1570">
        <f t="shared" si="14"/>
        <v>100</v>
      </c>
      <c r="X38" s="1563"/>
      <c r="Y38" s="3422" t="s">
        <v>546</v>
      </c>
      <c r="Z38" s="1571" t="str">
        <f t="shared" si="15"/>
        <v>物业管理</v>
      </c>
      <c r="AA38" s="1572">
        <f t="shared" si="3"/>
        <v>1</v>
      </c>
      <c r="AB38" s="1572">
        <f t="shared" si="4"/>
        <v>1</v>
      </c>
      <c r="AC38" s="1572">
        <f t="shared" si="5"/>
        <v>1</v>
      </c>
    </row>
    <row r="39" spans="1:29" ht="15">
      <c r="A39" s="593"/>
      <c r="B39" s="1892" t="s">
        <v>2563</v>
      </c>
      <c r="C39" s="598" t="s">
        <v>3103</v>
      </c>
      <c r="D39" s="539">
        <v>100</v>
      </c>
      <c r="E39" s="598" t="s">
        <v>3103</v>
      </c>
      <c r="F39" s="574">
        <f>SUMIF(116:116,E39,117:117)-SUMIF(116:116,C39,117:117)+100</f>
        <v>100</v>
      </c>
      <c r="G39" s="598" t="s">
        <v>3103</v>
      </c>
      <c r="H39" s="539">
        <f>SUMIF(116:116,G39,117:117)-SUMIF(116:116,C39,117:117)+100</f>
        <v>100</v>
      </c>
      <c r="I39" s="598" t="s">
        <v>3103</v>
      </c>
      <c r="J39" s="539">
        <f>SUMIF(116:116,I39,117:117)-SUMIF(116:116,C39,117:117)+100</f>
        <v>100</v>
      </c>
      <c r="K39" s="863">
        <v>1</v>
      </c>
      <c r="L39" s="2139"/>
      <c r="M39" s="2131"/>
      <c r="N39" s="2131"/>
      <c r="O39" s="2138"/>
      <c r="P39" s="3422"/>
      <c r="Q39" s="1568" t="str">
        <f t="shared" si="11"/>
        <v>市政基础设施</v>
      </c>
      <c r="R39" s="1569" t="s">
        <v>11</v>
      </c>
      <c r="S39" s="1570">
        <f t="shared" si="12"/>
        <v>100</v>
      </c>
      <c r="T39" s="1569" t="s">
        <v>11</v>
      </c>
      <c r="U39" s="1570">
        <f t="shared" si="13"/>
        <v>100</v>
      </c>
      <c r="V39" s="1569" t="s">
        <v>11</v>
      </c>
      <c r="W39" s="1570">
        <f t="shared" si="14"/>
        <v>100</v>
      </c>
      <c r="X39" s="1563"/>
      <c r="Y39" s="3422"/>
      <c r="Z39" s="1571" t="str">
        <f t="shared" si="15"/>
        <v>市政基础设施</v>
      </c>
      <c r="AA39" s="1572">
        <f t="shared" si="3"/>
        <v>1</v>
      </c>
      <c r="AB39" s="1572">
        <f t="shared" si="4"/>
        <v>1</v>
      </c>
      <c r="AC39" s="1572">
        <f t="shared" si="5"/>
        <v>1</v>
      </c>
    </row>
    <row r="40" spans="1:29" ht="15">
      <c r="A40" s="593"/>
      <c r="B40" s="526" t="s">
        <v>728</v>
      </c>
      <c r="C40" s="598" t="s">
        <v>3158</v>
      </c>
      <c r="D40" s="539">
        <v>100</v>
      </c>
      <c r="E40" s="598" t="s">
        <v>3158</v>
      </c>
      <c r="F40" s="574">
        <f>SUMIF(118:118,E40,119:119)-SUMIF(118:118,C40,119:119)+100</f>
        <v>100</v>
      </c>
      <c r="G40" s="598" t="s">
        <v>3158</v>
      </c>
      <c r="H40" s="539">
        <f>SUMIF(118:118,G40,119:119)-SUMIF(118:118,C40,119:119)+100</f>
        <v>100</v>
      </c>
      <c r="I40" s="598" t="s">
        <v>3158</v>
      </c>
      <c r="J40" s="539">
        <f>SUMIF(118:118,I40,119:119)-SUMIF(118:118,C40,119:119)+100</f>
        <v>100</v>
      </c>
      <c r="K40" s="863">
        <v>15</v>
      </c>
      <c r="L40" s="2139"/>
      <c r="M40" s="2131"/>
      <c r="N40" s="2131"/>
      <c r="O40" s="2138"/>
      <c r="P40" s="3422"/>
      <c r="Q40" s="1568" t="str">
        <f t="shared" si="11"/>
        <v>房型</v>
      </c>
      <c r="R40" s="1569" t="s">
        <v>11</v>
      </c>
      <c r="S40" s="1570">
        <f t="shared" si="12"/>
        <v>100</v>
      </c>
      <c r="T40" s="1569" t="s">
        <v>11</v>
      </c>
      <c r="U40" s="1570">
        <f t="shared" si="13"/>
        <v>100</v>
      </c>
      <c r="V40" s="1569" t="s">
        <v>11</v>
      </c>
      <c r="W40" s="1570">
        <f t="shared" si="14"/>
        <v>100</v>
      </c>
      <c r="X40" s="1563"/>
      <c r="Y40" s="3422"/>
      <c r="Z40" s="1571" t="str">
        <f t="shared" si="15"/>
        <v>房型</v>
      </c>
      <c r="AA40" s="1572">
        <f t="shared" si="3"/>
        <v>1</v>
      </c>
      <c r="AB40" s="1572">
        <f t="shared" si="4"/>
        <v>1</v>
      </c>
      <c r="AC40" s="1572">
        <f t="shared" si="5"/>
        <v>1</v>
      </c>
    </row>
    <row r="41" spans="1:29" s="1337" customFormat="1" ht="28.8">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22"/>
      <c r="Q41" s="1601" t="str">
        <f t="shared" si="11"/>
        <v>单套/主力户型建筑面积</v>
      </c>
      <c r="R41" s="1573" t="s">
        <v>11</v>
      </c>
      <c r="S41" s="1574">
        <f t="shared" si="12"/>
        <v>100</v>
      </c>
      <c r="T41" s="1573" t="s">
        <v>11</v>
      </c>
      <c r="U41" s="1574">
        <f t="shared" si="13"/>
        <v>100</v>
      </c>
      <c r="V41" s="1573" t="s">
        <v>11</v>
      </c>
      <c r="W41" s="1574">
        <f t="shared" si="14"/>
        <v>100</v>
      </c>
      <c r="X41" s="1575"/>
      <c r="Y41" s="3422"/>
      <c r="Z41" s="1576" t="str">
        <f t="shared" si="15"/>
        <v>单套/主力户型建筑面积</v>
      </c>
      <c r="AA41" s="1572">
        <f t="shared" si="3"/>
        <v>1</v>
      </c>
      <c r="AB41" s="1572">
        <f t="shared" si="4"/>
        <v>1</v>
      </c>
      <c r="AC41" s="1572">
        <f t="shared" si="5"/>
        <v>1</v>
      </c>
    </row>
    <row r="42" spans="1:29" ht="15">
      <c r="A42" s="593"/>
      <c r="B42" s="526" t="s">
        <v>730</v>
      </c>
      <c r="C42" s="598" t="s">
        <v>3118</v>
      </c>
      <c r="D42" s="539">
        <v>100</v>
      </c>
      <c r="E42" s="873" t="s">
        <v>3118</v>
      </c>
      <c r="F42" s="574">
        <f>SUMIF(122:122,E42,123:123)-SUMIF(122:122,C42,123:123)+100</f>
        <v>100</v>
      </c>
      <c r="G42" s="873" t="s">
        <v>3118</v>
      </c>
      <c r="H42" s="539">
        <f>SUMIF(122:122,G42,123:123)-SUMIF(122:122,C42,123:123)+100</f>
        <v>100</v>
      </c>
      <c r="I42" s="873" t="s">
        <v>3118</v>
      </c>
      <c r="J42" s="539">
        <f>SUMIF(122:122,I42,123:123)-SUMIF(122:122,C42,123:123)+100</f>
        <v>100</v>
      </c>
      <c r="K42" s="863">
        <v>2</v>
      </c>
      <c r="L42" s="2139"/>
      <c r="M42" s="2131"/>
      <c r="N42" s="2131"/>
      <c r="O42" s="2138"/>
      <c r="P42" s="3422"/>
      <c r="Q42" s="1568" t="str">
        <f t="shared" si="11"/>
        <v>内部装修</v>
      </c>
      <c r="R42" s="1569" t="s">
        <v>11</v>
      </c>
      <c r="S42" s="1570">
        <f t="shared" si="12"/>
        <v>100</v>
      </c>
      <c r="T42" s="1569" t="s">
        <v>11</v>
      </c>
      <c r="U42" s="1570">
        <f t="shared" si="13"/>
        <v>100</v>
      </c>
      <c r="V42" s="1569" t="s">
        <v>11</v>
      </c>
      <c r="W42" s="1570">
        <f t="shared" si="14"/>
        <v>100</v>
      </c>
      <c r="X42" s="1563"/>
      <c r="Y42" s="3422"/>
      <c r="Z42" s="1571" t="str">
        <f t="shared" si="15"/>
        <v>内部装修</v>
      </c>
      <c r="AA42" s="1572">
        <f t="shared" si="3"/>
        <v>1</v>
      </c>
      <c r="AB42" s="1572">
        <f t="shared" si="4"/>
        <v>1</v>
      </c>
      <c r="AC42" s="1572">
        <f t="shared" si="5"/>
        <v>1</v>
      </c>
    </row>
    <row r="43" spans="1:29" ht="28.8">
      <c r="A43" s="593"/>
      <c r="B43" s="526" t="s">
        <v>731</v>
      </c>
      <c r="C43" s="598" t="s">
        <v>3087</v>
      </c>
      <c r="D43" s="539">
        <v>100</v>
      </c>
      <c r="E43" s="598" t="s">
        <v>3087</v>
      </c>
      <c r="F43" s="574">
        <f>SUMIF(124:124,E43,125:125)-SUMIF(124:124,C43,125:125)+100</f>
        <v>100</v>
      </c>
      <c r="G43" s="598" t="s">
        <v>3087</v>
      </c>
      <c r="H43" s="539">
        <f>SUMIF(124:124,G43,125:125)-SUMIF(124:124,C43,125:125)+100</f>
        <v>100</v>
      </c>
      <c r="I43" s="598" t="s">
        <v>3087</v>
      </c>
      <c r="J43" s="539">
        <f>SUMIF(124:124,I43,125:125)-SUMIF(124:124,C43,125:125)+100</f>
        <v>100</v>
      </c>
      <c r="K43" s="863">
        <v>2</v>
      </c>
      <c r="L43" s="2139"/>
      <c r="M43" s="2131"/>
      <c r="N43" s="2131"/>
      <c r="O43" s="2138"/>
      <c r="P43" s="3422"/>
      <c r="Q43" s="1568" t="str">
        <f t="shared" si="11"/>
        <v>内部装修维护情况</v>
      </c>
      <c r="R43" s="1569" t="s">
        <v>11</v>
      </c>
      <c r="S43" s="1570">
        <f t="shared" si="12"/>
        <v>100</v>
      </c>
      <c r="T43" s="1569" t="s">
        <v>11</v>
      </c>
      <c r="U43" s="1570">
        <f t="shared" si="13"/>
        <v>100</v>
      </c>
      <c r="V43" s="1569" t="s">
        <v>11</v>
      </c>
      <c r="W43" s="1570">
        <f t="shared" si="14"/>
        <v>100</v>
      </c>
      <c r="X43" s="1563"/>
      <c r="Y43" s="3422"/>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22"/>
      <c r="Q44" s="1149">
        <f t="shared" si="11"/>
        <v>111</v>
      </c>
      <c r="R44" s="1564" t="s">
        <v>11</v>
      </c>
      <c r="S44" s="1565">
        <f t="shared" si="12"/>
        <v>100</v>
      </c>
      <c r="T44" s="1564" t="s">
        <v>11</v>
      </c>
      <c r="U44" s="1565">
        <f t="shared" si="13"/>
        <v>100</v>
      </c>
      <c r="V44" s="1564" t="s">
        <v>11</v>
      </c>
      <c r="W44" s="1565">
        <f t="shared" si="14"/>
        <v>100</v>
      </c>
      <c r="X44" s="1566"/>
      <c r="Y44" s="3422"/>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22"/>
      <c r="Q45" s="1568">
        <f t="shared" si="11"/>
        <v>111</v>
      </c>
      <c r="R45" s="1569" t="s">
        <v>11</v>
      </c>
      <c r="S45" s="1570">
        <f t="shared" si="12"/>
        <v>100</v>
      </c>
      <c r="T45" s="1569" t="s">
        <v>11</v>
      </c>
      <c r="U45" s="1570">
        <f t="shared" si="13"/>
        <v>100</v>
      </c>
      <c r="V45" s="1569" t="s">
        <v>11</v>
      </c>
      <c r="W45" s="1570">
        <f t="shared" si="14"/>
        <v>100</v>
      </c>
      <c r="X45" s="1563"/>
      <c r="Y45" s="3422"/>
      <c r="Z45" s="1571">
        <f t="shared" si="15"/>
        <v>111</v>
      </c>
      <c r="AA45" s="1572">
        <f t="shared" si="3"/>
        <v>1</v>
      </c>
      <c r="AB45" s="1572">
        <f t="shared" si="4"/>
        <v>1</v>
      </c>
      <c r="AC45" s="1572">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97"/>
      <c r="Q46" s="1568">
        <f t="shared" si="11"/>
        <v>111</v>
      </c>
      <c r="R46" s="1569" t="s">
        <v>10</v>
      </c>
      <c r="S46" s="1570">
        <f t="shared" si="12"/>
        <v>100</v>
      </c>
      <c r="T46" s="1569" t="s">
        <v>10</v>
      </c>
      <c r="U46" s="1570">
        <f t="shared" si="13"/>
        <v>100</v>
      </c>
      <c r="V46" s="1569" t="s">
        <v>10</v>
      </c>
      <c r="W46" s="1570">
        <f t="shared" si="14"/>
        <v>100</v>
      </c>
      <c r="X46" s="1563"/>
      <c r="Y46" s="3497"/>
      <c r="Z46" s="1571">
        <f t="shared" si="15"/>
        <v>111</v>
      </c>
      <c r="AA46" s="1572">
        <f t="shared" si="3"/>
        <v>1</v>
      </c>
      <c r="AB46" s="1572">
        <f t="shared" si="4"/>
        <v>1</v>
      </c>
      <c r="AC46" s="1572">
        <f t="shared" si="5"/>
        <v>1</v>
      </c>
    </row>
    <row r="47" spans="1:29" ht="14.4">
      <c r="A47" s="606" t="s">
        <v>732</v>
      </c>
      <c r="B47" s="885"/>
      <c r="C47" s="2648" t="s">
        <v>9</v>
      </c>
      <c r="D47" s="2649"/>
      <c r="E47" s="2650">
        <v>12500</v>
      </c>
      <c r="F47" s="2651"/>
      <c r="G47" s="2652">
        <v>12252</v>
      </c>
      <c r="H47" s="2653"/>
      <c r="I47" s="2650">
        <v>12723</v>
      </c>
      <c r="J47" s="2653"/>
      <c r="K47" s="1602"/>
      <c r="L47" s="2141"/>
      <c r="M47" s="2142"/>
      <c r="N47" s="2131"/>
      <c r="O47" s="2142"/>
      <c r="P47" s="3417" t="str">
        <f>A47</f>
        <v>成交单价（元/平方米）</v>
      </c>
      <c r="Q47" s="3417"/>
      <c r="R47" s="3498">
        <f>E47</f>
        <v>12500</v>
      </c>
      <c r="S47" s="3498"/>
      <c r="T47" s="3498">
        <f>G47</f>
        <v>12252</v>
      </c>
      <c r="U47" s="3498"/>
      <c r="V47" s="3498">
        <f>I47</f>
        <v>12723</v>
      </c>
      <c r="W47" s="3498"/>
      <c r="X47" s="1555"/>
      <c r="Y47" s="1577"/>
      <c r="Z47" s="1555"/>
      <c r="AA47" s="1555"/>
      <c r="AB47" s="1555"/>
      <c r="AC47" s="1555"/>
    </row>
    <row r="48" spans="1:29" ht="15" thickBot="1">
      <c r="A48" s="614" t="s">
        <v>2759</v>
      </c>
      <c r="B48" s="886"/>
      <c r="C48" s="2654" t="e">
        <f>R49</f>
        <v>#DIV/0!</v>
      </c>
      <c r="D48" s="2655"/>
      <c r="E48" s="2656" t="e">
        <f>R48</f>
        <v>#DIV/0!</v>
      </c>
      <c r="F48" s="2656"/>
      <c r="G48" s="2654" t="e">
        <f>T48</f>
        <v>#DIV/0!</v>
      </c>
      <c r="H48" s="2655"/>
      <c r="I48" s="2656" t="e">
        <f>V48</f>
        <v>#DIV/0!</v>
      </c>
      <c r="J48" s="2655"/>
      <c r="K48" s="1603"/>
      <c r="L48" s="2141"/>
      <c r="M48" s="2142"/>
      <c r="N48" s="2142"/>
      <c r="O48" s="2142"/>
      <c r="P48" s="3417" t="str">
        <f>A48</f>
        <v>比较价格（元/平方米）</v>
      </c>
      <c r="Q48" s="341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5"/>
      <c r="Y48" s="1555"/>
      <c r="Z48" s="1555"/>
      <c r="AA48" s="1555"/>
      <c r="AB48" s="1555"/>
      <c r="AC48" s="1555"/>
    </row>
    <row r="49" spans="1:29" ht="15" thickBot="1">
      <c r="A49" s="620" t="s">
        <v>2930</v>
      </c>
      <c r="B49" s="621"/>
      <c r="C49" s="2657" t="e">
        <f>R49</f>
        <v>#DIV/0!</v>
      </c>
      <c r="D49" s="2657"/>
      <c r="E49" s="2657"/>
      <c r="F49" s="2657"/>
      <c r="G49" s="2657"/>
      <c r="H49" s="2657"/>
      <c r="I49" s="2657"/>
      <c r="J49" s="2657"/>
      <c r="K49" s="1604"/>
      <c r="L49" s="2141"/>
      <c r="M49" s="2142"/>
      <c r="N49" s="2142"/>
      <c r="O49" s="2142"/>
      <c r="P49" s="3439" t="str">
        <f>A49</f>
        <v>估价对象XX用房的比较价格（楼面单价，元/平方米）</v>
      </c>
      <c r="Q49" s="3440"/>
      <c r="R49" s="3499" t="e">
        <f>IF(F1="售价",ROUND(AVERAGE(R48:V48),0),ROUND(AVERAGE(R48:V48),1))</f>
        <v>#DIV/0!</v>
      </c>
      <c r="S49" s="3499"/>
      <c r="T49" s="3499"/>
      <c r="U49" s="3499"/>
      <c r="V49" s="3499"/>
      <c r="W49" s="349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5"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 thickTop="1">
      <c r="A90" s="686"/>
      <c r="B90" s="672" t="str">
        <f>B27</f>
        <v>道路级别</v>
      </c>
      <c r="C90" s="3187" t="s">
        <v>3167</v>
      </c>
      <c r="D90" s="3187" t="s">
        <v>3168</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743</v>
      </c>
      <c r="C100" s="3179" t="s">
        <v>3146</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187" t="s">
        <v>3147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190" t="s">
        <v>3149</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187" t="s">
        <v>3150</v>
      </c>
      <c r="D109" s="3187" t="s">
        <v>3151</v>
      </c>
      <c r="E109" s="3187" t="s">
        <v>3152</v>
      </c>
      <c r="F109" s="3190" t="s">
        <v>3153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187" t="s">
        <v>3155</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7" t="s">
        <v>3154</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3159</v>
      </c>
      <c r="D118" s="3190" t="s">
        <v>3160</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187" t="s">
        <v>3150</v>
      </c>
      <c r="D122" s="3187" t="s">
        <v>3151</v>
      </c>
      <c r="E122" s="3187" t="s">
        <v>3152</v>
      </c>
      <c r="F122" s="3190" t="s">
        <v>3153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46" sqref="E46"/>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2983</v>
      </c>
      <c r="D1" s="3147" t="s">
        <v>3069</v>
      </c>
      <c r="E1" s="2408" t="s">
        <v>2374</v>
      </c>
      <c r="F1" s="2409">
        <f ca="1">J53</f>
        <v>31.810000000000002</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6413</v>
      </c>
      <c r="C2" s="2054"/>
      <c r="D2" s="2052"/>
      <c r="E2" s="2053"/>
      <c r="F2" s="2053"/>
      <c r="G2" s="1586"/>
      <c r="H2" s="2054"/>
      <c r="I2" s="2054"/>
      <c r="J2" s="2054"/>
      <c r="K2" s="2055"/>
      <c r="L2" s="2054"/>
      <c r="M2" s="2054"/>
    </row>
    <row r="3" spans="1:33" ht="18" customHeight="1" thickBot="1">
      <c r="A3" s="832" t="s">
        <v>1724</v>
      </c>
      <c r="B3" s="833">
        <f ca="1">IF(ISERROR(B2*10000/F43),0,ROUND(B2*10000/F43,0))</f>
        <v>5169</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2457</v>
      </c>
      <c r="C5" s="55">
        <f ca="1">C6+C10+C12</f>
        <v>490</v>
      </c>
      <c r="D5" s="2517" t="s">
        <v>2460</v>
      </c>
      <c r="E5" s="2511"/>
      <c r="F5" s="2512"/>
      <c r="G5" s="1588"/>
      <c r="H5" s="780">
        <v>1</v>
      </c>
      <c r="I5" s="781" t="s">
        <v>2457</v>
      </c>
      <c r="J5" s="55">
        <f ca="1">J6+J10+J12</f>
        <v>0</v>
      </c>
      <c r="K5" s="2517" t="s">
        <v>2460</v>
      </c>
      <c r="L5" s="2511"/>
      <c r="M5" s="2512"/>
    </row>
    <row r="6" spans="1:33" ht="18" customHeight="1">
      <c r="A6" s="1827" t="s">
        <v>1821</v>
      </c>
      <c r="B6" s="3479" t="s">
        <v>2462</v>
      </c>
      <c r="C6" s="782">
        <f ca="1">ROUND(F6*F8*F7*(1-F9)/10000,0)</f>
        <v>489</v>
      </c>
      <c r="D6" s="2518" t="s">
        <v>2461</v>
      </c>
      <c r="E6" s="783" t="s">
        <v>1735</v>
      </c>
      <c r="F6" s="784">
        <f ca="1">INDIRECT("'数据-取费表'!u"&amp;$G$1)</f>
        <v>1.2</v>
      </c>
      <c r="G6" s="1588"/>
      <c r="H6" s="2525" t="s">
        <v>2467</v>
      </c>
      <c r="I6" s="3479" t="s">
        <v>2462</v>
      </c>
      <c r="J6" s="782">
        <f ca="1">ROUND(M6*M8*M7*(1-M9)/10000,0)</f>
        <v>0</v>
      </c>
      <c r="K6" s="340" t="s">
        <v>1734</v>
      </c>
      <c r="L6" s="783" t="s">
        <v>1735</v>
      </c>
      <c r="M6" s="784">
        <f ca="1">INDIRECT("'数据-取费表'!z"&amp;$G$1)</f>
        <v>0</v>
      </c>
    </row>
    <row r="7" spans="1:33" ht="18" customHeight="1">
      <c r="A7" s="2521"/>
      <c r="B7" s="3480"/>
      <c r="C7" s="787"/>
      <c r="D7" s="788"/>
      <c r="E7" s="783" t="s">
        <v>1736</v>
      </c>
      <c r="F7" s="784">
        <f ca="1">IF(INDIRECT("'数据-取费表'!ah"&amp;$G$1)="",INDIRECT("'数据-取费表'!k"&amp;$G$1),INDIRECT("'数据-取费表'!ah"&amp;$G$1))</f>
        <v>12407.02</v>
      </c>
      <c r="G7" s="1588"/>
      <c r="H7" s="2510"/>
      <c r="I7" s="3480"/>
      <c r="J7" s="787"/>
      <c r="K7" s="788"/>
      <c r="L7" s="783" t="s">
        <v>1736</v>
      </c>
      <c r="M7" s="784">
        <f ca="1">F7</f>
        <v>12407.02</v>
      </c>
    </row>
    <row r="8" spans="1:33" ht="18" customHeight="1">
      <c r="A8" s="2514"/>
      <c r="B8" s="3481"/>
      <c r="C8" s="787"/>
      <c r="D8" s="788"/>
      <c r="E8" s="783" t="s">
        <v>1737</v>
      </c>
      <c r="F8" s="784">
        <f ca="1">INDIRECT("'数据-取费表'!ai"&amp;$G$1)</f>
        <v>365</v>
      </c>
      <c r="G8" s="1588"/>
      <c r="H8" s="2510"/>
      <c r="I8" s="3481"/>
      <c r="J8" s="787"/>
      <c r="K8" s="788"/>
      <c r="L8" s="783" t="s">
        <v>1737</v>
      </c>
      <c r="M8" s="784">
        <f ca="1">INDIRECT("'数据-取费表'!ai"&amp;$G$1)</f>
        <v>365</v>
      </c>
    </row>
    <row r="9" spans="1:33" ht="18" customHeight="1">
      <c r="A9" s="785"/>
      <c r="B9" s="3482"/>
      <c r="C9" s="787"/>
      <c r="D9" s="788"/>
      <c r="E9" s="783" t="s">
        <v>1738</v>
      </c>
      <c r="F9" s="793">
        <f ca="1">INDIRECT("'数据-取费表'!w"&amp;$G$1)</f>
        <v>0.1</v>
      </c>
      <c r="G9" s="1588"/>
      <c r="H9" s="2526"/>
      <c r="I9" s="3481"/>
      <c r="J9" s="787"/>
      <c r="K9" s="788"/>
      <c r="L9" s="794" t="s">
        <v>1738</v>
      </c>
      <c r="M9" s="795">
        <f ca="1">INDIRECT("'数据-取费表'!ab"&amp;$G$1)</f>
        <v>0</v>
      </c>
    </row>
    <row r="10" spans="1:33" ht="18" customHeight="1">
      <c r="A10" s="1827" t="s">
        <v>2465</v>
      </c>
      <c r="B10" s="2515" t="s">
        <v>2458</v>
      </c>
      <c r="C10" s="798">
        <f ca="1">ROUND(IF(F10="押一",C6/12*F11,IF(F10="押二",C6/12*2*F11,IF(F10="押三",C6/12*3*F11,C11*F11))),0)</f>
        <v>1</v>
      </c>
      <c r="D10" s="2522" t="s">
        <v>2972</v>
      </c>
      <c r="E10" s="2519" t="s">
        <v>2463</v>
      </c>
      <c r="F10" s="2642" t="s">
        <v>3070</v>
      </c>
      <c r="G10" s="1588"/>
      <c r="H10" s="2582" t="s">
        <v>2468</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2464</v>
      </c>
      <c r="F11" s="795">
        <f ca="1">'数据-取费表'!B39</f>
        <v>1.4999999999999999E-2</v>
      </c>
      <c r="G11" s="1588"/>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8"/>
      <c r="H12" s="2572" t="s">
        <v>2469</v>
      </c>
      <c r="I12" s="2585" t="s">
        <v>2459</v>
      </c>
      <c r="J12" s="2586"/>
      <c r="K12" s="2561"/>
      <c r="L12" s="2562"/>
      <c r="M12" s="2575"/>
    </row>
    <row r="13" spans="1:33" ht="18" customHeight="1" thickTop="1">
      <c r="A13" s="1826">
        <v>2</v>
      </c>
      <c r="B13" s="1824" t="s">
        <v>1739</v>
      </c>
      <c r="C13" s="791">
        <f ca="1">ROUND(C29*F13,0)</f>
        <v>3069</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2035</v>
      </c>
      <c r="D14" s="1976" t="s">
        <v>1742</v>
      </c>
      <c r="E14" s="1977"/>
      <c r="F14" s="804"/>
      <c r="G14" s="1588"/>
      <c r="H14" s="1645" t="s">
        <v>1827</v>
      </c>
      <c r="I14" s="2228" t="s">
        <v>2825</v>
      </c>
      <c r="J14" s="53">
        <f ca="1">C29</f>
        <v>3069</v>
      </c>
      <c r="K14" s="26"/>
      <c r="L14" s="800"/>
      <c r="M14" s="801"/>
    </row>
    <row r="15" spans="1:33" s="2061" customFormat="1" ht="18" customHeight="1" thickBot="1">
      <c r="A15" s="1644" t="s">
        <v>1882</v>
      </c>
      <c r="B15" s="783" t="s">
        <v>643</v>
      </c>
      <c r="C15" s="53">
        <f ca="1">ROUND(C14*F15,0)</f>
        <v>102</v>
      </c>
      <c r="D15" s="805" t="s">
        <v>1743</v>
      </c>
      <c r="E15" s="805" t="s">
        <v>1744</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307</v>
      </c>
      <c r="K16" s="1818" t="s">
        <v>1747</v>
      </c>
      <c r="L16" s="2507"/>
      <c r="M16" s="2512"/>
    </row>
    <row r="17" spans="1:33" s="2061" customFormat="1" ht="18" customHeight="1">
      <c r="A17" s="1644" t="s">
        <v>1884</v>
      </c>
      <c r="B17" s="783" t="s">
        <v>649</v>
      </c>
      <c r="C17" s="53">
        <f ca="1">ROUND(F17*(F43+INDIRECT("'数据-取费表'!S"&amp;$G$1))/10000,0)</f>
        <v>271</v>
      </c>
      <c r="D17" s="783" t="s">
        <v>1748</v>
      </c>
      <c r="E17" s="783" t="s">
        <v>1749</v>
      </c>
      <c r="F17" s="56">
        <f>'数据-取费表'!B35</f>
        <v>200</v>
      </c>
      <c r="G17" s="1589"/>
      <c r="H17" s="1645" t="s">
        <v>1827</v>
      </c>
      <c r="I17" s="783" t="s">
        <v>652</v>
      </c>
      <c r="J17" s="53">
        <f ca="1">ROUND(IF(项目基本情况!B11="自然人",J5*M17,J18+J19+J20),0)</f>
        <v>261</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31</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2439</v>
      </c>
      <c r="D19" s="260" t="s">
        <v>1754</v>
      </c>
      <c r="E19" s="1979"/>
      <c r="F19" s="56"/>
      <c r="G19" s="1588"/>
      <c r="H19" s="1644" t="s">
        <v>1882</v>
      </c>
      <c r="I19" s="783" t="s">
        <v>1755</v>
      </c>
      <c r="J19" s="53">
        <f ca="1">IF(K19="按租金收入计税",ROUND(J5*M19,1),ROUND(C29*F33*0.7,1))</f>
        <v>257.8</v>
      </c>
      <c r="K19" s="810" t="s">
        <v>661</v>
      </c>
      <c r="L19" s="783" t="s">
        <v>1744</v>
      </c>
      <c r="M19" s="808">
        <f>IF(K19="按租金收入计税",'数据-取费表'!B51,'数据-取费表'!B50)</f>
        <v>1.2E-2</v>
      </c>
    </row>
    <row r="20" spans="1:33" s="2061" customFormat="1" ht="18" customHeight="1">
      <c r="A20" s="1645" t="s">
        <v>1886</v>
      </c>
      <c r="B20" s="783" t="s">
        <v>662</v>
      </c>
      <c r="C20" s="53">
        <f ca="1">ROUND(C19*F20,0)</f>
        <v>61</v>
      </c>
      <c r="D20" s="811" t="s">
        <v>1756</v>
      </c>
      <c r="E20" s="783" t="s">
        <v>1744</v>
      </c>
      <c r="F20" s="808">
        <f>'数据-取费表'!B37</f>
        <v>2.5000000000000001E-2</v>
      </c>
      <c r="G20" s="1589"/>
      <c r="H20" s="1647" t="s">
        <v>1877</v>
      </c>
      <c r="I20" s="340" t="s">
        <v>1757</v>
      </c>
      <c r="J20" s="54">
        <f ca="1">ROUND(M20*M21/10000,0)</f>
        <v>3</v>
      </c>
      <c r="K20" s="813" t="s">
        <v>1758</v>
      </c>
      <c r="L20" s="783" t="s">
        <v>1759</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2.5000000000000001E-2</v>
      </c>
      <c r="G21" s="1589"/>
      <c r="H21" s="2527"/>
      <c r="I21" s="792"/>
      <c r="J21" s="69"/>
      <c r="K21" s="815"/>
      <c r="L21" s="783" t="s">
        <v>1763</v>
      </c>
      <c r="M21" s="784">
        <f ca="1">INDIRECT("'数据-取费表'!r"&amp;$G$1)</f>
        <v>4701.13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46</v>
      </c>
      <c r="K22" s="2505" t="s">
        <v>1766</v>
      </c>
      <c r="L22" s="783" t="s">
        <v>1744</v>
      </c>
      <c r="M22" s="816">
        <f ca="1">INDIRECT("'数据-取费表'!Ak"&amp;$G$1)</f>
        <v>1.4999999999999999E-2</v>
      </c>
    </row>
    <row r="23" spans="1:33" s="2061" customFormat="1" ht="18" customHeight="1">
      <c r="A23" s="1644" t="s">
        <v>1828</v>
      </c>
      <c r="B23" s="783" t="s">
        <v>2534</v>
      </c>
      <c r="C23" s="53">
        <f ca="1">ROUND(IF('数据-取费表'!B22&lt;=1,(C19+C20)*F24*F23/2,(C19+C20)*(POWER((1+F24),F23/2)-1)),0)</f>
        <v>119</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1.1999999999999999E-3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2821</v>
      </c>
      <c r="J25" s="791">
        <f ca="1">J5-J16</f>
        <v>-307</v>
      </c>
      <c r="K25" s="2569" t="s">
        <v>1774</v>
      </c>
      <c r="L25" s="2570"/>
      <c r="M25" s="2571"/>
    </row>
    <row r="26" spans="1:33" ht="18" customHeight="1">
      <c r="A26" s="1644" t="s">
        <v>1828</v>
      </c>
      <c r="B26" s="783" t="s">
        <v>2438</v>
      </c>
      <c r="C26" s="53">
        <f ca="1">ROUND((C19+C20)*F26,0)</f>
        <v>200</v>
      </c>
      <c r="D26" s="811" t="s">
        <v>1775</v>
      </c>
      <c r="E26" s="794" t="s">
        <v>1776</v>
      </c>
      <c r="F26" s="793">
        <f ca="1">INDIRECT("'数据-取费表'!q"&amp;$G$1)</f>
        <v>0.08</v>
      </c>
      <c r="G26" s="1588"/>
      <c r="H26" s="2523" t="s">
        <v>1777</v>
      </c>
      <c r="I26" s="2229" t="s">
        <v>2826</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2E-3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3069</v>
      </c>
      <c r="D29" s="2566"/>
      <c r="E29" s="2567"/>
      <c r="F29" s="2568"/>
      <c r="G29" s="1589"/>
      <c r="H29" s="822" t="s">
        <v>1784</v>
      </c>
      <c r="I29" s="823" t="s">
        <v>1785</v>
      </c>
      <c r="J29" s="824">
        <f ca="1">ROUND(J26/(1+F40)^F41,0)</f>
        <v>0</v>
      </c>
      <c r="K29" s="825" t="s">
        <v>1786</v>
      </c>
      <c r="L29" s="826"/>
      <c r="M29" s="827">
        <f ca="1">INDIRECT("'数据-取费表'!k"&amp;$G$1)</f>
        <v>12407.02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148</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87.7</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26.1</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58.8</v>
      </c>
      <c r="D33" s="3204" t="s">
        <v>3109</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2.8</v>
      </c>
      <c r="D34" s="813" t="s">
        <v>1796</v>
      </c>
      <c r="E34" s="783" t="s">
        <v>1797</v>
      </c>
      <c r="F34" s="639">
        <f>'数据-取费表'!B52</f>
        <v>6</v>
      </c>
      <c r="G34" s="2059"/>
      <c r="H34" s="2062"/>
      <c r="I34" s="834" t="s">
        <v>1810</v>
      </c>
      <c r="J34" s="835"/>
      <c r="K34" s="2077"/>
      <c r="L34" s="2076"/>
      <c r="M34" s="2076"/>
    </row>
    <row r="35" spans="1:18" ht="18" customHeight="1">
      <c r="A35" s="814"/>
      <c r="B35" s="792"/>
      <c r="C35" s="69"/>
      <c r="D35" s="815"/>
      <c r="E35" s="783" t="s">
        <v>1798</v>
      </c>
      <c r="F35" s="784">
        <f ca="1">INDIRECT("'数据-取费表'!r"&amp;$G$1)</f>
        <v>4701.13</v>
      </c>
      <c r="G35" s="2059"/>
      <c r="H35" s="2062"/>
      <c r="I35" s="836" t="s">
        <v>1811</v>
      </c>
      <c r="J35" s="837">
        <f ca="1">ROUND(C13*J36,0)</f>
        <v>246</v>
      </c>
      <c r="K35" s="2075"/>
      <c r="L35" s="2074"/>
      <c r="M35" s="2074"/>
    </row>
    <row r="36" spans="1:18" ht="18" customHeight="1">
      <c r="A36" s="1645" t="s">
        <v>1886</v>
      </c>
      <c r="B36" s="783" t="s">
        <v>1799</v>
      </c>
      <c r="C36" s="53">
        <f ca="1">ROUND(C29*F36,1)</f>
        <v>46</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4.5999999999999996</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9.8000000000000007</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2821</v>
      </c>
      <c r="C39" s="791">
        <f ca="1">C5-C30</f>
        <v>342</v>
      </c>
      <c r="D39" s="2569" t="s">
        <v>1803</v>
      </c>
      <c r="E39" s="2570"/>
      <c r="F39" s="2571"/>
      <c r="G39" s="2059"/>
      <c r="H39" s="2074"/>
      <c r="I39" s="836" t="s">
        <v>1815</v>
      </c>
      <c r="J39" s="844">
        <f ca="1">ROUND(J35/C39,3)</f>
        <v>0.71899999999999997</v>
      </c>
      <c r="K39" s="2080"/>
      <c r="L39" s="2074"/>
      <c r="M39" s="2074"/>
    </row>
    <row r="40" spans="1:18" ht="18" customHeight="1">
      <c r="A40" s="780" t="s">
        <v>1892</v>
      </c>
      <c r="B40" s="2229" t="s">
        <v>2300</v>
      </c>
      <c r="C40" s="782">
        <f ca="1">ROUND(C39*(1-((1+F42)/(1+F40))^F41)/(F40-F42),0)</f>
        <v>6413</v>
      </c>
      <c r="D40" s="813" t="s">
        <v>1804</v>
      </c>
      <c r="E40" s="783" t="s">
        <v>2419</v>
      </c>
      <c r="F40" s="793">
        <f ca="1">INDIRECT("'数据-取费表'!I"&amp;$G$1)</f>
        <v>0.06</v>
      </c>
      <c r="G40" s="2059"/>
      <c r="H40" s="2059"/>
      <c r="I40" s="836" t="s">
        <v>1816</v>
      </c>
      <c r="J40" s="844">
        <f ca="1">1-J39</f>
        <v>0.28100000000000003</v>
      </c>
      <c r="K40" s="2080"/>
      <c r="L40" s="2059"/>
      <c r="M40" s="2059"/>
    </row>
    <row r="41" spans="1:18" ht="18" customHeight="1">
      <c r="A41" s="785"/>
      <c r="B41" s="786"/>
      <c r="C41" s="787"/>
      <c r="D41" s="820" t="s">
        <v>1805</v>
      </c>
      <c r="E41" s="783" t="s">
        <v>2962</v>
      </c>
      <c r="F41" s="821">
        <f ca="1">IF(INDIRECT("'数据-取费表'!af"&amp;$G$1)=0,INDIRECT("'数据-取费表'!ae"&amp;$G$1),INDIRECT("'数据-取费表'!af"&amp;$G$1))</f>
        <v>31.810000000000002</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0.47899999999999998</v>
      </c>
      <c r="K42" s="2079"/>
      <c r="L42" s="1985"/>
      <c r="M42" s="1985"/>
    </row>
    <row r="43" spans="1:18" ht="18" customHeight="1" thickBot="1">
      <c r="A43" s="822" t="s">
        <v>1784</v>
      </c>
      <c r="B43" s="823" t="s">
        <v>1807</v>
      </c>
      <c r="C43" s="824">
        <f ca="1">ROUND(C40*10000/F43,0)</f>
        <v>5169</v>
      </c>
      <c r="D43" s="825" t="s">
        <v>1808</v>
      </c>
      <c r="E43" s="826" t="s">
        <v>1809</v>
      </c>
      <c r="F43" s="827">
        <f ca="1">INDIRECT("'数据-取费表'!k"&amp;$G$1)</f>
        <v>12407.02</v>
      </c>
      <c r="G43" s="2059"/>
      <c r="H43" s="1985"/>
      <c r="I43" s="846" t="s">
        <v>1819</v>
      </c>
      <c r="J43" s="847">
        <f ca="1">1-J42</f>
        <v>0.52100000000000002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-7158</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3068</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632</v>
      </c>
      <c r="E48" s="2373" t="s">
        <v>2295</v>
      </c>
      <c r="F48" s="2374"/>
      <c r="G48" s="2087"/>
      <c r="I48" s="2380" t="s">
        <v>2344</v>
      </c>
      <c r="J48" s="2387" t="s">
        <v>2350</v>
      </c>
      <c r="K48" s="2388" t="s">
        <v>2351</v>
      </c>
      <c r="L48" s="2389">
        <f ca="1">INDIRECT("'数据-取费表'!f"&amp;$G$1)</f>
        <v>33.81</v>
      </c>
      <c r="O48" s="2419" t="s">
        <v>2379</v>
      </c>
      <c r="P48" s="2420" t="s">
        <v>2405</v>
      </c>
      <c r="Q48" s="2421">
        <f ca="1">C40+J29</f>
        <v>6413</v>
      </c>
      <c r="R48" s="2420" t="s">
        <v>2380</v>
      </c>
    </row>
    <row r="49" spans="1:18" s="2056" customFormat="1" ht="18" customHeight="1" thickBot="1">
      <c r="A49" s="785"/>
      <c r="B49" s="786"/>
      <c r="C49" s="787"/>
      <c r="D49" s="788"/>
      <c r="E49" s="783" t="s">
        <v>1736</v>
      </c>
      <c r="F49" s="784">
        <f ca="1">F7</f>
        <v>12407.02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3069</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1559</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31.810000000000002</v>
      </c>
      <c r="K53" s="3500" t="s">
        <v>2964</v>
      </c>
      <c r="L53" s="3501"/>
      <c r="O53" s="2422" t="s">
        <v>2388</v>
      </c>
      <c r="P53" s="2420" t="s">
        <v>2389</v>
      </c>
      <c r="Q53" s="2421">
        <f ca="1">J53</f>
        <v>31.810000000000002</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6413</v>
      </c>
      <c r="R54" s="2424" t="s">
        <v>2392</v>
      </c>
    </row>
    <row r="55" spans="1:18" s="2056" customFormat="1" ht="18" customHeight="1" thickTop="1" thickBot="1">
      <c r="A55" s="796">
        <v>2</v>
      </c>
      <c r="B55" s="797" t="s">
        <v>640</v>
      </c>
      <c r="C55" s="798">
        <f ca="1">C13</f>
        <v>3069</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3069</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53</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6413</v>
      </c>
      <c r="R57" s="2420" t="s">
        <v>2380</v>
      </c>
    </row>
    <row r="58" spans="1:18" s="2056" customFormat="1" ht="28.5" customHeight="1" thickBot="1">
      <c r="A58" s="1645" t="s">
        <v>1821</v>
      </c>
      <c r="B58" s="783" t="s">
        <v>652</v>
      </c>
      <c r="C58" s="53">
        <f ca="1">ROUND(IF(项目基本情况!B11="自然人",C47*F58,C59+C60+C61),1)</f>
        <v>2.8</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2.8</v>
      </c>
      <c r="D61" s="813" t="s">
        <v>665</v>
      </c>
      <c r="E61" s="783" t="s">
        <v>666</v>
      </c>
      <c r="F61" s="639">
        <f t="shared" si="0"/>
        <v>6</v>
      </c>
      <c r="K61" s="2083"/>
      <c r="O61" s="2422" t="s">
        <v>2386</v>
      </c>
      <c r="P61" s="2420" t="s">
        <v>2394</v>
      </c>
      <c r="Q61" s="2421" t="e">
        <f ca="1">L58</f>
        <v>#DIV/0!</v>
      </c>
      <c r="R61" s="2424" t="s">
        <v>2395</v>
      </c>
    </row>
    <row r="62" spans="1:18" s="2056" customFormat="1" ht="16.2" thickBot="1">
      <c r="A62" s="814"/>
      <c r="B62" s="792"/>
      <c r="C62" s="69"/>
      <c r="D62" s="815"/>
      <c r="E62" s="783" t="s">
        <v>670</v>
      </c>
      <c r="F62" s="784">
        <f t="shared" ca="1" si="0"/>
        <v>4701.13</v>
      </c>
      <c r="I62" s="2406" t="s">
        <v>2367</v>
      </c>
      <c r="J62" s="2407" t="s">
        <v>2368</v>
      </c>
      <c r="K62" s="2407" t="s">
        <v>2369</v>
      </c>
      <c r="L62" s="2407" t="s">
        <v>2350</v>
      </c>
      <c r="M62" s="3120" t="s">
        <v>2939</v>
      </c>
      <c r="O62" s="2422" t="s">
        <v>2388</v>
      </c>
      <c r="P62" s="2420" t="str">
        <f>K59</f>
        <v>建设期及建筑物耐用年限下的土地年期修正系数Kn</v>
      </c>
      <c r="Q62" s="2421" t="e">
        <f ca="1">L59</f>
        <v>#DIV/0!</v>
      </c>
      <c r="R62" s="2424" t="s">
        <v>2397</v>
      </c>
    </row>
    <row r="63" spans="1:18" s="2056" customFormat="1" ht="16.2" thickBot="1">
      <c r="A63" s="1645" t="s">
        <v>1886</v>
      </c>
      <c r="B63" s="783" t="s">
        <v>672</v>
      </c>
      <c r="C63" s="53">
        <f ca="1">ROUND(C56*F63,1)</f>
        <v>46</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6413</v>
      </c>
      <c r="R63" s="2424" t="s">
        <v>2392</v>
      </c>
    </row>
    <row r="64" spans="1:18" s="2056" customFormat="1" ht="16.2" thickBot="1">
      <c r="A64" s="1645" t="s">
        <v>1887</v>
      </c>
      <c r="B64" s="783" t="s">
        <v>675</v>
      </c>
      <c r="C64" s="53">
        <f ca="1">ROUND(C55*F64,1)</f>
        <v>4.5999999999999996</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f ca="1">C47-C57</f>
        <v>-53</v>
      </c>
      <c r="D66" s="2659" t="s">
        <v>696</v>
      </c>
      <c r="E66" s="2658"/>
      <c r="F66" s="819"/>
      <c r="K66" s="2083"/>
      <c r="O66" s="2419" t="s">
        <v>2379</v>
      </c>
      <c r="P66" s="2420" t="s">
        <v>2409</v>
      </c>
      <c r="Q66" s="2421">
        <f ca="1">C40+J29</f>
        <v>6413</v>
      </c>
      <c r="R66" s="2420" t="s">
        <v>2380</v>
      </c>
    </row>
    <row r="67" spans="1:18" s="2056" customFormat="1" ht="19.2" thickBot="1">
      <c r="A67" s="780" t="s">
        <v>1777</v>
      </c>
      <c r="B67" s="2229" t="s">
        <v>2300</v>
      </c>
      <c r="C67" s="782">
        <f ca="1">ROUND(C66*(1-((1+F69)/(1+F67))^F68)/(F67-F69),0)</f>
        <v>-745</v>
      </c>
      <c r="D67" s="813" t="s">
        <v>700</v>
      </c>
      <c r="E67" s="783" t="s">
        <v>701</v>
      </c>
      <c r="F67" s="793">
        <f ca="1">F40</f>
        <v>0.06</v>
      </c>
      <c r="K67" s="2083"/>
      <c r="O67" s="2419" t="s">
        <v>2381</v>
      </c>
      <c r="P67" s="2420" t="s">
        <v>2412</v>
      </c>
      <c r="Q67" s="2421">
        <f ca="1">L60</f>
        <v>0</v>
      </c>
      <c r="R67" s="2424" t="s">
        <v>2414</v>
      </c>
    </row>
    <row r="68" spans="1:18" ht="20.399999999999999" thickBot="1">
      <c r="A68" s="785"/>
      <c r="B68" s="786"/>
      <c r="C68" s="787"/>
      <c r="D68" s="820" t="s">
        <v>1805</v>
      </c>
      <c r="E68" s="783" t="s">
        <v>1781</v>
      </c>
      <c r="F68" s="821">
        <f ca="1">F41</f>
        <v>31.810000000000002</v>
      </c>
      <c r="O68" s="2422" t="s">
        <v>2383</v>
      </c>
      <c r="P68" s="2420" t="s">
        <v>2413</v>
      </c>
      <c r="Q68" s="2426">
        <f ca="1">L51</f>
        <v>1559</v>
      </c>
      <c r="R68" s="2427" t="s">
        <v>2416</v>
      </c>
    </row>
    <row r="69" spans="1:18" ht="19.2" thickBot="1">
      <c r="A69" s="789"/>
      <c r="B69" s="790"/>
      <c r="C69" s="791"/>
      <c r="D69" s="815"/>
      <c r="E69" s="783" t="s">
        <v>706</v>
      </c>
      <c r="F69" s="2368"/>
      <c r="O69" s="2422" t="s">
        <v>2384</v>
      </c>
      <c r="P69" s="2428" t="s">
        <v>2398</v>
      </c>
      <c r="Q69" s="2421">
        <f ca="1">ROUND(Q70-Q71*Q72,0)</f>
        <v>96</v>
      </c>
      <c r="R69" s="2424"/>
    </row>
    <row r="70" spans="1:18" ht="16.2" thickBot="1">
      <c r="A70" s="822" t="s">
        <v>1784</v>
      </c>
      <c r="B70" s="823" t="s">
        <v>1807</v>
      </c>
      <c r="C70" s="824">
        <f ca="1">ROUND(C67*10000/F70,0)</f>
        <v>-600</v>
      </c>
      <c r="D70" s="825" t="s">
        <v>1808</v>
      </c>
      <c r="E70" s="826" t="s">
        <v>1809</v>
      </c>
      <c r="F70" s="827">
        <f ca="1">F43</f>
        <v>12407.02</v>
      </c>
      <c r="O70" s="2422" t="s">
        <v>2399</v>
      </c>
      <c r="P70" s="2428" t="s">
        <v>2400</v>
      </c>
      <c r="Q70" s="2421">
        <f ca="1">C39</f>
        <v>342</v>
      </c>
      <c r="R70" s="2420" t="s">
        <v>2380</v>
      </c>
    </row>
    <row r="71" spans="1:18" ht="16.2" thickBot="1">
      <c r="O71" s="2422" t="s">
        <v>2401</v>
      </c>
      <c r="P71" s="2428" t="s">
        <v>2402</v>
      </c>
      <c r="Q71" s="2421">
        <f ca="1">C13</f>
        <v>3069</v>
      </c>
      <c r="R71" s="2420" t="s">
        <v>2380</v>
      </c>
    </row>
    <row r="72" spans="1:18" ht="16.2" thickBot="1">
      <c r="O72" s="2422" t="s">
        <v>2403</v>
      </c>
      <c r="P72" s="2428" t="s">
        <v>2404</v>
      </c>
      <c r="Q72" s="2423">
        <f ca="1">J36</f>
        <v>0.08</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6413</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D45" sqref="D45"/>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2983</v>
      </c>
      <c r="D1" s="3147" t="s">
        <v>3069</v>
      </c>
      <c r="E1" s="2408" t="s">
        <v>866</v>
      </c>
      <c r="F1" s="2409">
        <f ca="1">J53</f>
        <v>31.810000000000002</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6413</v>
      </c>
      <c r="C2" s="2054"/>
      <c r="D2" s="2052"/>
      <c r="E2" s="2053"/>
      <c r="F2" s="2053"/>
      <c r="G2" s="1586"/>
      <c r="H2" s="2054"/>
      <c r="I2" s="2054"/>
      <c r="J2" s="2054"/>
      <c r="K2" s="2055"/>
      <c r="L2" s="2054"/>
      <c r="M2" s="2054"/>
    </row>
    <row r="3" spans="1:33" ht="18" customHeight="1" thickBot="1">
      <c r="A3" s="832" t="s">
        <v>515</v>
      </c>
      <c r="B3" s="833">
        <f ca="1">IF(ISERROR(B2*10000/F43),0,ROUND(B2*10000/F43,0))</f>
        <v>5169</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f ca="1">C6+C10+C12</f>
        <v>490</v>
      </c>
      <c r="D5" s="2517" t="s">
        <v>2460</v>
      </c>
      <c r="E5" s="2511"/>
      <c r="F5" s="2512"/>
      <c r="G5" s="1588"/>
      <c r="H5" s="780">
        <v>1</v>
      </c>
      <c r="I5" s="781" t="s">
        <v>2457</v>
      </c>
      <c r="J5" s="55">
        <f ca="1">J6+J10+J12</f>
        <v>0</v>
      </c>
      <c r="K5" s="2517" t="s">
        <v>2460</v>
      </c>
      <c r="L5" s="2511"/>
      <c r="M5" s="2512"/>
    </row>
    <row r="6" spans="1:33" ht="18" customHeight="1">
      <c r="A6" s="1827" t="s">
        <v>1821</v>
      </c>
      <c r="B6" s="3479" t="s">
        <v>2462</v>
      </c>
      <c r="C6" s="782">
        <f ca="1">ROUND(F6*F8*F7*(1-F9)/10000,0)</f>
        <v>489</v>
      </c>
      <c r="D6" s="2518" t="s">
        <v>2461</v>
      </c>
      <c r="E6" s="783" t="s">
        <v>1735</v>
      </c>
      <c r="F6" s="784">
        <f ca="1">INDIRECT("'数据-取费表'!u"&amp;$G$1)</f>
        <v>1.2</v>
      </c>
      <c r="G6" s="1588"/>
      <c r="H6" s="2525" t="s">
        <v>1821</v>
      </c>
      <c r="I6" s="3479" t="s">
        <v>2462</v>
      </c>
      <c r="J6" s="782">
        <f ca="1">ROUND(M6*M8*M7*(1-M9)/10000,0)</f>
        <v>0</v>
      </c>
      <c r="K6" s="340" t="s">
        <v>632</v>
      </c>
      <c r="L6" s="783" t="s">
        <v>1735</v>
      </c>
      <c r="M6" s="784">
        <f ca="1">INDIRECT("'数据-取费表'!z"&amp;$G$1)</f>
        <v>0</v>
      </c>
    </row>
    <row r="7" spans="1:33" ht="18" customHeight="1">
      <c r="A7" s="2521"/>
      <c r="B7" s="3480"/>
      <c r="C7" s="787"/>
      <c r="D7" s="788"/>
      <c r="E7" s="783" t="s">
        <v>634</v>
      </c>
      <c r="F7" s="784">
        <f ca="1">IF(INDIRECT("'数据-取费表'!ah"&amp;$G$1)="",INDIRECT("'数据-取费表'!k"&amp;$G$1),INDIRECT("'数据-取费表'!ah"&amp;$G$1))</f>
        <v>12407.02</v>
      </c>
      <c r="G7" s="1588"/>
      <c r="H7" s="2510"/>
      <c r="I7" s="3480"/>
      <c r="J7" s="787"/>
      <c r="K7" s="788"/>
      <c r="L7" s="783" t="s">
        <v>634</v>
      </c>
      <c r="M7" s="784">
        <f ca="1">F7</f>
        <v>12407.02</v>
      </c>
    </row>
    <row r="8" spans="1:33" ht="18" customHeight="1">
      <c r="A8" s="2514"/>
      <c r="B8" s="3481"/>
      <c r="C8" s="787"/>
      <c r="D8" s="788"/>
      <c r="E8" s="783" t="s">
        <v>635</v>
      </c>
      <c r="F8" s="784">
        <f ca="1">INDIRECT("'数据-取费表'!ai"&amp;$G$1)</f>
        <v>365</v>
      </c>
      <c r="G8" s="1588"/>
      <c r="H8" s="2510"/>
      <c r="I8" s="3481"/>
      <c r="J8" s="787"/>
      <c r="K8" s="788"/>
      <c r="L8" s="783" t="s">
        <v>635</v>
      </c>
      <c r="M8" s="784">
        <f ca="1">INDIRECT("'数据-取费表'!ai"&amp;$G$1)</f>
        <v>365</v>
      </c>
    </row>
    <row r="9" spans="1:33" ht="18" customHeight="1">
      <c r="A9" s="785"/>
      <c r="B9" s="3482"/>
      <c r="C9" s="787"/>
      <c r="D9" s="788"/>
      <c r="E9" s="783" t="s">
        <v>636</v>
      </c>
      <c r="F9" s="793">
        <f ca="1">INDIRECT("'数据-取费表'!w"&amp;$G$1)</f>
        <v>0.1</v>
      </c>
      <c r="G9" s="1588"/>
      <c r="H9" s="2526"/>
      <c r="I9" s="3481"/>
      <c r="J9" s="787"/>
      <c r="K9" s="788"/>
      <c r="L9" s="794" t="s">
        <v>636</v>
      </c>
      <c r="M9" s="795">
        <f ca="1">INDIRECT("'数据-取费表'!ab"&amp;$G$1)</f>
        <v>0</v>
      </c>
    </row>
    <row r="10" spans="1:33" ht="18" customHeight="1">
      <c r="A10" s="1827" t="s">
        <v>1822</v>
      </c>
      <c r="B10" s="2515" t="s">
        <v>2458</v>
      </c>
      <c r="C10" s="798">
        <f ca="1">ROUND(IF(F10="押一",C6/12*F11,IF(F10="押二",C6/12*2*F11,IF(F10="押三",C6/12*3*F11,C11*F11))),0)</f>
        <v>1</v>
      </c>
      <c r="D10" s="2522" t="s">
        <v>2972</v>
      </c>
      <c r="E10" s="2519" t="s">
        <v>2463</v>
      </c>
      <c r="F10" s="2642" t="s">
        <v>3070</v>
      </c>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f ca="1">ROUND(C29*F13,0)</f>
        <v>3069</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2035</v>
      </c>
      <c r="D14" s="3174" t="s">
        <v>1742</v>
      </c>
      <c r="E14" s="3173"/>
      <c r="F14" s="804"/>
      <c r="G14" s="1588"/>
      <c r="H14" s="1645" t="s">
        <v>1821</v>
      </c>
      <c r="I14" s="2228" t="s">
        <v>2824</v>
      </c>
      <c r="J14" s="53">
        <f ca="1">C29</f>
        <v>3069</v>
      </c>
      <c r="K14" s="26"/>
      <c r="L14" s="800"/>
      <c r="M14" s="801"/>
    </row>
    <row r="15" spans="1:33" s="2061" customFormat="1" ht="18" customHeight="1" thickBot="1">
      <c r="A15" s="1644" t="s">
        <v>1829</v>
      </c>
      <c r="B15" s="783" t="s">
        <v>643</v>
      </c>
      <c r="C15" s="53">
        <f ca="1">ROUND(C14*F15,0)</f>
        <v>102</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307</v>
      </c>
      <c r="K16" s="1818" t="s">
        <v>648</v>
      </c>
      <c r="L16" s="3176"/>
      <c r="M16" s="2512"/>
    </row>
    <row r="17" spans="1:33" s="2061" customFormat="1" ht="18" customHeight="1">
      <c r="A17" s="1644" t="s">
        <v>1884</v>
      </c>
      <c r="B17" s="783" t="s">
        <v>649</v>
      </c>
      <c r="C17" s="53">
        <f ca="1">ROUND(F17*(F43+INDIRECT("'数据-取费表'!S"&amp;$G$1))/10000,0)</f>
        <v>271</v>
      </c>
      <c r="D17" s="783" t="s">
        <v>650</v>
      </c>
      <c r="E17" s="783" t="s">
        <v>651</v>
      </c>
      <c r="F17" s="56">
        <f>'数据-取费表'!B35</f>
        <v>200</v>
      </c>
      <c r="G17" s="1589"/>
      <c r="H17" s="1645" t="s">
        <v>1821</v>
      </c>
      <c r="I17" s="783" t="s">
        <v>652</v>
      </c>
      <c r="J17" s="53">
        <f ca="1">ROUND(IF(项目基本情况!B11="自然人",J5*M17,J18+J19+J20),0)</f>
        <v>261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31</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2439</v>
      </c>
      <c r="D19" s="260" t="s">
        <v>1754</v>
      </c>
      <c r="E19" s="3177"/>
      <c r="F19" s="56"/>
      <c r="G19" s="1588"/>
      <c r="H19" s="1644" t="s">
        <v>1829</v>
      </c>
      <c r="I19" s="783" t="s">
        <v>660</v>
      </c>
      <c r="J19" s="53">
        <f ca="1">IF(K19="按租金收入计税",ROUND(J5*M19,1),ROUND(C29*F33*0.7,1))</f>
        <v>257.8</v>
      </c>
      <c r="K19" s="810" t="s">
        <v>661</v>
      </c>
      <c r="L19" s="783" t="s">
        <v>645</v>
      </c>
      <c r="M19" s="808">
        <f>IF(K19="按租金收入计税",'数据-取费表'!B51,'数据-取费表'!B50)</f>
        <v>1.2E-2</v>
      </c>
    </row>
    <row r="20" spans="1:33" s="2061" customFormat="1" ht="18" customHeight="1">
      <c r="A20" s="1645" t="s">
        <v>1886</v>
      </c>
      <c r="B20" s="783" t="s">
        <v>662</v>
      </c>
      <c r="C20" s="53">
        <f ca="1">ROUND(C19*F20,0)</f>
        <v>61</v>
      </c>
      <c r="D20" s="811" t="s">
        <v>663</v>
      </c>
      <c r="E20" s="783" t="s">
        <v>645</v>
      </c>
      <c r="F20" s="808">
        <f>'数据-取费表'!B37</f>
        <v>2.5000000000000001E-2</v>
      </c>
      <c r="G20" s="1589"/>
      <c r="H20" s="1647" t="s">
        <v>1830</v>
      </c>
      <c r="I20" s="340" t="s">
        <v>664</v>
      </c>
      <c r="J20" s="54">
        <f ca="1">ROUND(M20*M21/10000,0)</f>
        <v>3</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4701.13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46</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119</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f ca="1">J5-J16</f>
        <v>-307</v>
      </c>
      <c r="K25" s="2569" t="s">
        <v>1774</v>
      </c>
      <c r="L25" s="2570"/>
      <c r="M25" s="2571"/>
    </row>
    <row r="26" spans="1:33" ht="18" customHeight="1">
      <c r="A26" s="1644" t="s">
        <v>1828</v>
      </c>
      <c r="B26" s="783" t="s">
        <v>2438</v>
      </c>
      <c r="C26" s="53">
        <f ca="1">ROUND((C19+C20)*F26,0)</f>
        <v>200</v>
      </c>
      <c r="D26" s="811" t="s">
        <v>697</v>
      </c>
      <c r="E26" s="794" t="s">
        <v>698</v>
      </c>
      <c r="F26" s="793">
        <f ca="1">INDIRECT("'数据-取费表'!q"&amp;$G$1)</f>
        <v>0.08</v>
      </c>
      <c r="G26" s="1588"/>
      <c r="H26" s="2523" t="s">
        <v>1777</v>
      </c>
      <c r="I26" s="2229" t="s">
        <v>2826</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2E-3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3069</v>
      </c>
      <c r="D29" s="2566"/>
      <c r="E29" s="2567"/>
      <c r="F29" s="2568"/>
      <c r="G29" s="1589"/>
      <c r="H29" s="822" t="s">
        <v>1784</v>
      </c>
      <c r="I29" s="823" t="s">
        <v>1785</v>
      </c>
      <c r="J29" s="824">
        <f ca="1">ROUND(J26/(1+F40)^F41,0)</f>
        <v>0</v>
      </c>
      <c r="K29" s="825" t="s">
        <v>1786</v>
      </c>
      <c r="L29" s="826"/>
      <c r="M29" s="827">
        <f ca="1">INDIRECT("'数据-取费表'!k"&amp;$G$1)</f>
        <v>12407.02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148</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87.7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26.1</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58.8</v>
      </c>
      <c r="D33" s="3204" t="s">
        <v>3109</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2.8</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4701.13</v>
      </c>
      <c r="G35" s="2059"/>
      <c r="H35" s="2062"/>
      <c r="I35" s="836" t="s">
        <v>1811</v>
      </c>
      <c r="J35" s="837">
        <f ca="1">ROUND(C13*J36,0)</f>
        <v>246</v>
      </c>
      <c r="K35" s="2075"/>
      <c r="L35" s="2074"/>
      <c r="M35" s="2074"/>
    </row>
    <row r="36" spans="1:18" ht="18" customHeight="1">
      <c r="A36" s="1645" t="s">
        <v>1886</v>
      </c>
      <c r="B36" s="783" t="s">
        <v>672</v>
      </c>
      <c r="C36" s="53">
        <f ca="1">ROUND(C29*F36,1)</f>
        <v>46</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4.5999999999999996</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9.8000000000000007</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2821</v>
      </c>
      <c r="C39" s="791">
        <f ca="1">C5-C30</f>
        <v>342</v>
      </c>
      <c r="D39" s="2569" t="s">
        <v>1774</v>
      </c>
      <c r="E39" s="2570"/>
      <c r="F39" s="2571"/>
      <c r="G39" s="2059"/>
      <c r="H39" s="2074"/>
      <c r="I39" s="836" t="s">
        <v>1815</v>
      </c>
      <c r="J39" s="844">
        <f ca="1">ROUND(J35/C39,3)</f>
        <v>0.71899999999999997</v>
      </c>
      <c r="K39" s="2080"/>
      <c r="L39" s="2074"/>
      <c r="M39" s="2074"/>
    </row>
    <row r="40" spans="1:18" ht="18" customHeight="1">
      <c r="A40" s="780" t="s">
        <v>1777</v>
      </c>
      <c r="B40" s="2229" t="s">
        <v>2300</v>
      </c>
      <c r="C40" s="782">
        <f ca="1">ROUND(C39*(1-((1+F42)/(1+F40))^F41)/(F40-F42),0)</f>
        <v>6413</v>
      </c>
      <c r="D40" s="813" t="s">
        <v>700</v>
      </c>
      <c r="E40" s="783" t="s">
        <v>2419</v>
      </c>
      <c r="F40" s="793">
        <f ca="1">INDIRECT("'数据-取费表'!I"&amp;$G$1)</f>
        <v>0.06</v>
      </c>
      <c r="G40" s="2059"/>
      <c r="H40" s="2059"/>
      <c r="I40" s="836" t="s">
        <v>1816</v>
      </c>
      <c r="J40" s="844">
        <f ca="1">1-J39</f>
        <v>0.28100000000000003</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31.810000000000002</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0.47899999999999998</v>
      </c>
      <c r="K42" s="2079"/>
      <c r="L42" s="1985"/>
      <c r="M42" s="1985"/>
    </row>
    <row r="43" spans="1:18" ht="18" customHeight="1" thickBot="1">
      <c r="A43" s="822" t="s">
        <v>1784</v>
      </c>
      <c r="B43" s="823" t="s">
        <v>1807</v>
      </c>
      <c r="C43" s="824">
        <f ca="1">ROUND(C40*10000/F43,0)</f>
        <v>5169</v>
      </c>
      <c r="D43" s="825" t="s">
        <v>1808</v>
      </c>
      <c r="E43" s="826" t="s">
        <v>1809</v>
      </c>
      <c r="F43" s="827">
        <f ca="1">INDIRECT("'数据-取费表'!k"&amp;$G$1)</f>
        <v>12407.02</v>
      </c>
      <c r="G43" s="2059"/>
      <c r="H43" s="1985"/>
      <c r="I43" s="846" t="s">
        <v>1819</v>
      </c>
      <c r="J43" s="847">
        <f ca="1">1-J42</f>
        <v>0.52100000000000002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-7158</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3068</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f ca="1">ROUND(F48*F50*F49*(1-F51)/10000,0)</f>
        <v>0</v>
      </c>
      <c r="D48" s="2372" t="s">
        <v>632</v>
      </c>
      <c r="E48" s="2373" t="s">
        <v>2295</v>
      </c>
      <c r="F48" s="2374"/>
      <c r="G48" s="2087"/>
      <c r="I48" s="2380" t="s">
        <v>2344</v>
      </c>
      <c r="J48" s="2387" t="s">
        <v>2350</v>
      </c>
      <c r="K48" s="2388" t="s">
        <v>2351</v>
      </c>
      <c r="L48" s="2389">
        <f ca="1">INDIRECT("'数据-取费表'!f"&amp;$G$1)</f>
        <v>33.81</v>
      </c>
      <c r="O48" s="2419" t="s">
        <v>2379</v>
      </c>
      <c r="P48" s="2420" t="s">
        <v>2405</v>
      </c>
      <c r="Q48" s="2421">
        <f ca="1">C40+J29</f>
        <v>6413</v>
      </c>
      <c r="R48" s="2420" t="s">
        <v>2380</v>
      </c>
    </row>
    <row r="49" spans="1:18" s="2056" customFormat="1" ht="18" customHeight="1" thickBot="1">
      <c r="A49" s="785"/>
      <c r="B49" s="786"/>
      <c r="C49" s="787"/>
      <c r="D49" s="788"/>
      <c r="E49" s="783" t="s">
        <v>634</v>
      </c>
      <c r="F49" s="784">
        <f ca="1">F7</f>
        <v>12407.02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3069</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1559</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31.810000000000002</v>
      </c>
      <c r="K53" s="3500" t="s">
        <v>2964</v>
      </c>
      <c r="L53" s="3501"/>
      <c r="O53" s="2422" t="s">
        <v>2388</v>
      </c>
      <c r="P53" s="2420" t="s">
        <v>2389</v>
      </c>
      <c r="Q53" s="2421">
        <f ca="1">J53</f>
        <v>31.810000000000002</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6413</v>
      </c>
      <c r="R54" s="2424" t="s">
        <v>2392</v>
      </c>
    </row>
    <row r="55" spans="1:18" s="2056" customFormat="1" ht="18" customHeight="1" thickTop="1" thickBot="1">
      <c r="A55" s="796">
        <v>2</v>
      </c>
      <c r="B55" s="797" t="s">
        <v>640</v>
      </c>
      <c r="C55" s="798">
        <f ca="1">C13</f>
        <v>3069</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3069</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53</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6413</v>
      </c>
      <c r="R57" s="2420" t="s">
        <v>2380</v>
      </c>
    </row>
    <row r="58" spans="1:18" s="2056" customFormat="1" ht="28.5" customHeight="1" thickBot="1">
      <c r="A58" s="1645" t="s">
        <v>1821</v>
      </c>
      <c r="B58" s="783" t="s">
        <v>652</v>
      </c>
      <c r="C58" s="53">
        <f ca="1">ROUND(IF(项目基本情况!B11="自然人",C47*F58,C59+C60+C61),1)</f>
        <v>2.8</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2.8</v>
      </c>
      <c r="D61" s="813" t="s">
        <v>665</v>
      </c>
      <c r="E61" s="783" t="s">
        <v>666</v>
      </c>
      <c r="F61" s="639">
        <f t="shared" si="0"/>
        <v>6</v>
      </c>
      <c r="K61" s="2083"/>
      <c r="O61" s="2422" t="s">
        <v>2386</v>
      </c>
      <c r="P61" s="2420" t="s">
        <v>2394</v>
      </c>
      <c r="Q61" s="2421" t="e">
        <f ca="1">L58</f>
        <v>#DIV/0!</v>
      </c>
      <c r="R61" s="2424" t="s">
        <v>2395</v>
      </c>
    </row>
    <row r="62" spans="1:18" s="2056" customFormat="1" ht="16.2" thickBot="1">
      <c r="A62" s="814"/>
      <c r="B62" s="792"/>
      <c r="C62" s="69"/>
      <c r="D62" s="815"/>
      <c r="E62" s="783" t="s">
        <v>670</v>
      </c>
      <c r="F62" s="784">
        <f t="shared" ca="1" si="0"/>
        <v>4701.13</v>
      </c>
      <c r="I62" s="2406" t="s">
        <v>2367</v>
      </c>
      <c r="J62" s="2407" t="s">
        <v>2368</v>
      </c>
      <c r="K62" s="2407" t="s">
        <v>2369</v>
      </c>
      <c r="L62" s="2407" t="s">
        <v>2350</v>
      </c>
      <c r="M62" s="3120" t="s">
        <v>2939</v>
      </c>
      <c r="O62" s="2422" t="s">
        <v>2388</v>
      </c>
      <c r="P62" s="2420" t="str">
        <f>K59</f>
        <v>建设期及建筑物耐用年限下的土地年期修正系数Kn</v>
      </c>
      <c r="Q62" s="2421" t="e">
        <f ca="1">L59</f>
        <v>#DIV/0!</v>
      </c>
      <c r="R62" s="2424" t="s">
        <v>2397</v>
      </c>
    </row>
    <row r="63" spans="1:18" s="2056" customFormat="1" ht="16.2" thickBot="1">
      <c r="A63" s="1645" t="s">
        <v>1886</v>
      </c>
      <c r="B63" s="783" t="s">
        <v>672</v>
      </c>
      <c r="C63" s="53">
        <f ca="1">ROUND(C56*F63,1)</f>
        <v>46</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6413</v>
      </c>
      <c r="R63" s="2424" t="s">
        <v>2392</v>
      </c>
    </row>
    <row r="64" spans="1:18" s="2056" customFormat="1" ht="16.2" thickBot="1">
      <c r="A64" s="1645" t="s">
        <v>1887</v>
      </c>
      <c r="B64" s="783" t="s">
        <v>675</v>
      </c>
      <c r="C64" s="53">
        <f ca="1">ROUND(C55*F64,1)</f>
        <v>4.5999999999999996</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f ca="1">C47-C57</f>
        <v>-53</v>
      </c>
      <c r="D66" s="3174" t="s">
        <v>696</v>
      </c>
      <c r="E66" s="3172"/>
      <c r="F66" s="819"/>
      <c r="K66" s="2083"/>
      <c r="O66" s="2419" t="s">
        <v>2379</v>
      </c>
      <c r="P66" s="2420" t="s">
        <v>2405</v>
      </c>
      <c r="Q66" s="2421">
        <f ca="1">C40+J29</f>
        <v>6413</v>
      </c>
      <c r="R66" s="2420" t="s">
        <v>2380</v>
      </c>
    </row>
    <row r="67" spans="1:18" s="2056" customFormat="1" ht="19.2" thickBot="1">
      <c r="A67" s="780" t="s">
        <v>1777</v>
      </c>
      <c r="B67" s="2229" t="s">
        <v>2300</v>
      </c>
      <c r="C67" s="782">
        <f ca="1">ROUND(C66*(1-((1+F69)/(1+F67))^F68)/(F67-F69),0)</f>
        <v>-745</v>
      </c>
      <c r="D67" s="813" t="s">
        <v>700</v>
      </c>
      <c r="E67" s="783" t="s">
        <v>701</v>
      </c>
      <c r="F67" s="793">
        <f ca="1">F40</f>
        <v>0.06</v>
      </c>
      <c r="K67" s="2083"/>
      <c r="O67" s="2419" t="s">
        <v>2381</v>
      </c>
      <c r="P67" s="2420" t="s">
        <v>2412</v>
      </c>
      <c r="Q67" s="2421">
        <f ca="1">L60</f>
        <v>0</v>
      </c>
      <c r="R67" s="2424" t="s">
        <v>2414</v>
      </c>
    </row>
    <row r="68" spans="1:18" ht="20.399999999999999" thickBot="1">
      <c r="A68" s="785"/>
      <c r="B68" s="786"/>
      <c r="C68" s="787"/>
      <c r="D68" s="820" t="s">
        <v>1805</v>
      </c>
      <c r="E68" s="783" t="s">
        <v>704</v>
      </c>
      <c r="F68" s="821">
        <f ca="1">F41</f>
        <v>31.810000000000002</v>
      </c>
      <c r="O68" s="2422" t="s">
        <v>2383</v>
      </c>
      <c r="P68" s="2420" t="s">
        <v>2413</v>
      </c>
      <c r="Q68" s="2426">
        <f ca="1">L51</f>
        <v>1559</v>
      </c>
      <c r="R68" s="2427" t="s">
        <v>2416</v>
      </c>
    </row>
    <row r="69" spans="1:18" ht="19.2" thickBot="1">
      <c r="A69" s="789"/>
      <c r="B69" s="790"/>
      <c r="C69" s="791"/>
      <c r="D69" s="815"/>
      <c r="E69" s="783" t="s">
        <v>706</v>
      </c>
      <c r="F69" s="2368"/>
      <c r="O69" s="2422" t="s">
        <v>2384</v>
      </c>
      <c r="P69" s="2428" t="s">
        <v>2398</v>
      </c>
      <c r="Q69" s="2421">
        <f ca="1">ROUND(Q70-Q71*Q72,0)</f>
        <v>96</v>
      </c>
      <c r="R69" s="2424"/>
    </row>
    <row r="70" spans="1:18" ht="16.2" thickBot="1">
      <c r="A70" s="822" t="s">
        <v>1784</v>
      </c>
      <c r="B70" s="823" t="s">
        <v>1807</v>
      </c>
      <c r="C70" s="824">
        <f ca="1">ROUND(C67*10000/F70,0)</f>
        <v>-600</v>
      </c>
      <c r="D70" s="825" t="s">
        <v>1808</v>
      </c>
      <c r="E70" s="826" t="s">
        <v>1809</v>
      </c>
      <c r="F70" s="827">
        <f ca="1">F43</f>
        <v>12407.02</v>
      </c>
      <c r="O70" s="2422" t="s">
        <v>2399</v>
      </c>
      <c r="P70" s="2428" t="s">
        <v>2400</v>
      </c>
      <c r="Q70" s="2421">
        <f ca="1">C39</f>
        <v>342</v>
      </c>
      <c r="R70" s="2420" t="s">
        <v>2380</v>
      </c>
    </row>
    <row r="71" spans="1:18" ht="16.2" thickBot="1">
      <c r="O71" s="2422" t="s">
        <v>2401</v>
      </c>
      <c r="P71" s="2428" t="s">
        <v>2402</v>
      </c>
      <c r="Q71" s="2421">
        <f ca="1">C13</f>
        <v>3069</v>
      </c>
      <c r="R71" s="2420" t="s">
        <v>2380</v>
      </c>
    </row>
    <row r="72" spans="1:18" ht="16.2" thickBot="1">
      <c r="O72" s="2422" t="s">
        <v>2403</v>
      </c>
      <c r="P72" s="2428" t="s">
        <v>2404</v>
      </c>
      <c r="Q72" s="2423">
        <f ca="1">J36</f>
        <v>0.08</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6413</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3063</v>
      </c>
      <c r="D1" s="3147" t="s">
        <v>3069</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79" t="s">
        <v>2462</v>
      </c>
      <c r="C6" s="782" t="e">
        <f ca="1">ROUND(F6*F8*F7*(1-F9)/10000,0)</f>
        <v>#N/A</v>
      </c>
      <c r="D6" s="2518" t="s">
        <v>2461</v>
      </c>
      <c r="E6" s="783" t="s">
        <v>1735</v>
      </c>
      <c r="F6" s="784" t="e">
        <f ca="1">INDIRECT("'数据-取费表'!u"&amp;$G$1)</f>
        <v>#N/A</v>
      </c>
      <c r="G6" s="1588"/>
      <c r="H6" s="2525" t="s">
        <v>1821</v>
      </c>
      <c r="I6" s="3479" t="s">
        <v>2462</v>
      </c>
      <c r="J6" s="782" t="e">
        <f ca="1">ROUND(M6*M8*M7*(1-M9)/10000,0)</f>
        <v>#N/A</v>
      </c>
      <c r="K6" s="340" t="s">
        <v>632</v>
      </c>
      <c r="L6" s="783" t="s">
        <v>1735</v>
      </c>
      <c r="M6" s="784" t="e">
        <f ca="1">INDIRECT("'数据-取费表'!z"&amp;$G$1)</f>
        <v>#N/A</v>
      </c>
    </row>
    <row r="7" spans="1:33" ht="18" customHeight="1">
      <c r="A7" s="2521"/>
      <c r="B7" s="3480"/>
      <c r="C7" s="787"/>
      <c r="D7" s="788"/>
      <c r="E7" s="783" t="s">
        <v>634</v>
      </c>
      <c r="F7" s="784" t="e">
        <f ca="1">IF(INDIRECT("'数据-取费表'!ah"&amp;$G$1)="",INDIRECT("'数据-取费表'!k"&amp;$G$1),INDIRECT("'数据-取费表'!ah"&amp;$G$1))</f>
        <v>#N/A</v>
      </c>
      <c r="G7" s="1588"/>
      <c r="H7" s="2510"/>
      <c r="I7" s="3480"/>
      <c r="J7" s="787"/>
      <c r="K7" s="788"/>
      <c r="L7" s="783" t="s">
        <v>634</v>
      </c>
      <c r="M7" s="784" t="e">
        <f ca="1">F7</f>
        <v>#N/A</v>
      </c>
    </row>
    <row r="8" spans="1:33" ht="18" customHeight="1">
      <c r="A8" s="2514"/>
      <c r="B8" s="3481"/>
      <c r="C8" s="787"/>
      <c r="D8" s="788"/>
      <c r="E8" s="783" t="s">
        <v>635</v>
      </c>
      <c r="F8" s="784" t="e">
        <f ca="1">INDIRECT("'数据-取费表'!ai"&amp;$G$1)</f>
        <v>#N/A</v>
      </c>
      <c r="G8" s="1588"/>
      <c r="H8" s="2510"/>
      <c r="I8" s="3481"/>
      <c r="J8" s="787"/>
      <c r="K8" s="788"/>
      <c r="L8" s="783" t="s">
        <v>635</v>
      </c>
      <c r="M8" s="784" t="e">
        <f ca="1">INDIRECT("'数据-取费表'!ai"&amp;$G$1)</f>
        <v>#N/A</v>
      </c>
    </row>
    <row r="9" spans="1:33" ht="18" customHeight="1">
      <c r="A9" s="785"/>
      <c r="B9" s="3482"/>
      <c r="C9" s="787"/>
      <c r="D9" s="788"/>
      <c r="E9" s="783" t="s">
        <v>636</v>
      </c>
      <c r="F9" s="793" t="e">
        <f ca="1">INDIRECT("'数据-取费表'!w"&amp;$G$1)</f>
        <v>#N/A</v>
      </c>
      <c r="G9" s="1588"/>
      <c r="H9" s="2526"/>
      <c r="I9" s="3481"/>
      <c r="J9" s="787"/>
      <c r="K9" s="788"/>
      <c r="L9" s="794" t="s">
        <v>636</v>
      </c>
      <c r="M9" s="795" t="e">
        <f ca="1">INDIRECT("'数据-取费表'!ab"&amp;$G$1)</f>
        <v>#N/A</v>
      </c>
    </row>
    <row r="10" spans="1:33" ht="18" customHeight="1">
      <c r="A10" s="1827" t="s">
        <v>1822</v>
      </c>
      <c r="B10" s="2515" t="s">
        <v>2458</v>
      </c>
      <c r="C10" s="798" t="e">
        <f ca="1">ROUND(IF(F10="押一",C6/12*F11,IF(F10="押二",C6/12*2*F11,IF(F10="押三",C6/12*3*F11,C11*F11))),0)</f>
        <v>#N/A</v>
      </c>
      <c r="D10" s="2522" t="s">
        <v>2972</v>
      </c>
      <c r="E10" s="2519" t="s">
        <v>2463</v>
      </c>
      <c r="F10" s="2642" t="s">
        <v>3070</v>
      </c>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4" t="s">
        <v>1742</v>
      </c>
      <c r="E14" s="3173"/>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6"/>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7"/>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2.5000000000000001E-2</v>
      </c>
      <c r="G20" s="1589"/>
      <c r="H20" s="1647" t="s">
        <v>1830</v>
      </c>
      <c r="I20" s="340" t="s">
        <v>664</v>
      </c>
      <c r="J20" s="54" t="e">
        <f ca="1">ROUND(M20*M21/10000,0)</f>
        <v>#N/A</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t="e">
        <f ca="1">ROUND(J14*M22,0)</f>
        <v>#N/A</v>
      </c>
      <c r="K22" s="3175"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5"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6"/>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04" t="s">
        <v>3109</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5"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5"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00" t="s">
        <v>2964</v>
      </c>
      <c r="L53" s="3501"/>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5"/>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7"/>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4" t="s">
        <v>653</v>
      </c>
      <c r="E58" s="3175"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5" t="s">
        <v>657</v>
      </c>
      <c r="E59" s="783" t="s">
        <v>645</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5"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5" t="s">
        <v>687</v>
      </c>
      <c r="E63" s="783" t="s">
        <v>645</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3175" t="s">
        <v>676</v>
      </c>
      <c r="E64" s="783" t="s">
        <v>645</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3175" t="s">
        <v>679</v>
      </c>
      <c r="E65" s="783" t="s">
        <v>645</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3174" t="s">
        <v>696</v>
      </c>
      <c r="E66" s="3172"/>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18" t="s">
        <v>2470</v>
      </c>
      <c r="B1" s="3519"/>
      <c r="C1" s="3520"/>
      <c r="D1" s="3521">
        <f>SUM(I10,I15,I20,I21,I23)</f>
        <v>0</v>
      </c>
      <c r="E1" s="3521"/>
      <c r="F1" s="3521"/>
      <c r="G1" s="3521"/>
      <c r="H1" s="3521"/>
      <c r="I1" s="3522"/>
    </row>
    <row r="2" spans="1:9">
      <c r="A2" s="3508" t="s">
        <v>2471</v>
      </c>
      <c r="B2" s="3509" t="s">
        <v>2472</v>
      </c>
      <c r="C2" s="3509"/>
      <c r="D2" s="2528" t="s">
        <v>2473</v>
      </c>
      <c r="E2" s="2528" t="s">
        <v>2474</v>
      </c>
      <c r="F2" s="2528" t="s">
        <v>2475</v>
      </c>
      <c r="G2" s="2528" t="s">
        <v>2476</v>
      </c>
      <c r="H2" s="2528" t="s">
        <v>2477</v>
      </c>
      <c r="I2" s="2529" t="s">
        <v>2478</v>
      </c>
    </row>
    <row r="3" spans="1:9">
      <c r="A3" s="3508"/>
      <c r="B3" s="3509" t="s">
        <v>2479</v>
      </c>
      <c r="C3" s="3509"/>
      <c r="D3" s="2530"/>
      <c r="E3" s="2528"/>
      <c r="F3" s="2531"/>
      <c r="G3" s="2531"/>
      <c r="H3" s="2532"/>
      <c r="I3" s="2533">
        <f>ROUND(D3*E3*F3*G3*H3/10000,0)</f>
        <v>0</v>
      </c>
    </row>
    <row r="4" spans="1:9">
      <c r="A4" s="3508"/>
      <c r="B4" s="3509" t="s">
        <v>2480</v>
      </c>
      <c r="C4" s="3509"/>
      <c r="D4" s="2530"/>
      <c r="E4" s="2528"/>
      <c r="F4" s="2531"/>
      <c r="G4" s="2531"/>
      <c r="H4" s="2532"/>
      <c r="I4" s="2533">
        <f t="shared" ref="I4:I9" si="0">ROUND(D4*E4*F4*G4*H4/10000,0)</f>
        <v>0</v>
      </c>
    </row>
    <row r="5" spans="1:9">
      <c r="A5" s="3508"/>
      <c r="B5" s="3509" t="s">
        <v>2481</v>
      </c>
      <c r="C5" s="3509"/>
      <c r="D5" s="2530"/>
      <c r="E5" s="2528"/>
      <c r="F5" s="2531"/>
      <c r="G5" s="2531"/>
      <c r="H5" s="2532"/>
      <c r="I5" s="2533">
        <f t="shared" si="0"/>
        <v>0</v>
      </c>
    </row>
    <row r="6" spans="1:9">
      <c r="A6" s="3508"/>
      <c r="B6" s="3509" t="s">
        <v>2482</v>
      </c>
      <c r="C6" s="3509"/>
      <c r="D6" s="2530"/>
      <c r="E6" s="2528"/>
      <c r="F6" s="2531"/>
      <c r="G6" s="2531"/>
      <c r="H6" s="2532"/>
      <c r="I6" s="2533">
        <f t="shared" si="0"/>
        <v>0</v>
      </c>
    </row>
    <row r="7" spans="1:9">
      <c r="A7" s="3508"/>
      <c r="B7" s="3509" t="s">
        <v>2483</v>
      </c>
      <c r="C7" s="3509"/>
      <c r="D7" s="2530"/>
      <c r="E7" s="2528"/>
      <c r="F7" s="2531"/>
      <c r="G7" s="2531"/>
      <c r="H7" s="2532"/>
      <c r="I7" s="2533">
        <f t="shared" si="0"/>
        <v>0</v>
      </c>
    </row>
    <row r="8" spans="1:9">
      <c r="A8" s="3508"/>
      <c r="B8" s="3509" t="s">
        <v>2484</v>
      </c>
      <c r="C8" s="3509"/>
      <c r="D8" s="2530"/>
      <c r="E8" s="2528"/>
      <c r="F8" s="2531"/>
      <c r="G8" s="2531"/>
      <c r="H8" s="2532"/>
      <c r="I8" s="2533">
        <f t="shared" si="0"/>
        <v>0</v>
      </c>
    </row>
    <row r="9" spans="1:9">
      <c r="A9" s="3508"/>
      <c r="B9" s="3509" t="s">
        <v>2485</v>
      </c>
      <c r="C9" s="3509"/>
      <c r="D9" s="2530"/>
      <c r="E9" s="2528"/>
      <c r="F9" s="2531"/>
      <c r="G9" s="2531"/>
      <c r="H9" s="2532"/>
      <c r="I9" s="2533">
        <f t="shared" si="0"/>
        <v>0</v>
      </c>
    </row>
    <row r="10" spans="1:9">
      <c r="A10" s="3508"/>
      <c r="B10" s="3510" t="s">
        <v>2486</v>
      </c>
      <c r="C10" s="3510"/>
      <c r="D10" s="2534">
        <v>527</v>
      </c>
      <c r="E10" s="2534" t="e">
        <f>ROUND(D1*10000/D10/H9,0)</f>
        <v>#DIV/0!</v>
      </c>
      <c r="F10" s="2535"/>
      <c r="G10" s="2535"/>
      <c r="H10" s="2536"/>
      <c r="I10" s="2537">
        <f>SUM(I3:I9)</f>
        <v>0</v>
      </c>
    </row>
    <row r="11" spans="1:9" ht="15.6">
      <c r="A11" s="3508" t="s">
        <v>2487</v>
      </c>
      <c r="B11" s="3509" t="s">
        <v>2488</v>
      </c>
      <c r="C11" s="3509"/>
      <c r="D11" s="2530" t="s">
        <v>2489</v>
      </c>
      <c r="E11" s="2530" t="s">
        <v>2490</v>
      </c>
      <c r="F11" s="2531" t="s">
        <v>2491</v>
      </c>
      <c r="G11" s="2531" t="s">
        <v>2492</v>
      </c>
      <c r="H11" s="2538" t="s">
        <v>2493</v>
      </c>
      <c r="I11" s="2529" t="s">
        <v>2494</v>
      </c>
    </row>
    <row r="12" spans="1:9">
      <c r="A12" s="3508"/>
      <c r="B12" s="3509" t="s">
        <v>2495</v>
      </c>
      <c r="C12" s="3509"/>
      <c r="D12" s="2530"/>
      <c r="E12" s="2530"/>
      <c r="F12" s="2531"/>
      <c r="G12" s="2532"/>
      <c r="H12" s="2539"/>
      <c r="I12" s="2529">
        <f>ROUND(D12*E12*F12*G12/10000,0)</f>
        <v>0</v>
      </c>
    </row>
    <row r="13" spans="1:9">
      <c r="A13" s="3508"/>
      <c r="B13" s="3509" t="s">
        <v>2496</v>
      </c>
      <c r="C13" s="3509"/>
      <c r="D13" s="2530"/>
      <c r="E13" s="2530"/>
      <c r="F13" s="2531"/>
      <c r="G13" s="2532"/>
      <c r="H13" s="2539"/>
      <c r="I13" s="2529">
        <f>ROUND(D13*E13*F13*G13/10000,0)</f>
        <v>0</v>
      </c>
    </row>
    <row r="14" spans="1:9">
      <c r="A14" s="3508"/>
      <c r="B14" s="3509" t="s">
        <v>2497</v>
      </c>
      <c r="C14" s="3509"/>
      <c r="D14" s="2530"/>
      <c r="E14" s="2530"/>
      <c r="F14" s="2531"/>
      <c r="G14" s="2532"/>
      <c r="H14" s="2539"/>
      <c r="I14" s="2529">
        <f>ROUND(D14*E14*F14*G14/10000,0)</f>
        <v>0</v>
      </c>
    </row>
    <row r="15" spans="1:9">
      <c r="A15" s="3508"/>
      <c r="B15" s="3510" t="s">
        <v>2486</v>
      </c>
      <c r="C15" s="3510"/>
      <c r="D15" s="2534"/>
      <c r="E15" s="2534">
        <f>SUM(E12:E14)</f>
        <v>0</v>
      </c>
      <c r="F15" s="2535"/>
      <c r="G15" s="2532"/>
      <c r="H15" s="2539"/>
      <c r="I15" s="2540">
        <f>SUM(I12:I14)</f>
        <v>0</v>
      </c>
    </row>
    <row r="16" spans="1:9" ht="24">
      <c r="A16" s="3508" t="s">
        <v>2498</v>
      </c>
      <c r="B16" s="3509" t="s">
        <v>2499</v>
      </c>
      <c r="C16" s="3509"/>
      <c r="D16" s="2530" t="s">
        <v>2500</v>
      </c>
      <c r="E16" s="2541" t="s">
        <v>2501</v>
      </c>
      <c r="F16" s="2531" t="s">
        <v>2502</v>
      </c>
      <c r="G16" s="2532" t="s">
        <v>2492</v>
      </c>
      <c r="H16" s="2538" t="s">
        <v>2493</v>
      </c>
      <c r="I16" s="2529" t="s">
        <v>2494</v>
      </c>
    </row>
    <row r="17" spans="1:9" ht="15.6">
      <c r="A17" s="3508"/>
      <c r="B17" s="3509" t="s">
        <v>2503</v>
      </c>
      <c r="C17" s="3509"/>
      <c r="D17" s="2530"/>
      <c r="E17" s="2530"/>
      <c r="F17" s="2531"/>
      <c r="G17" s="2532"/>
      <c r="H17" s="2542"/>
      <c r="I17" s="2543">
        <f>ROUND(D17*E17*F17*G17/10000,0)</f>
        <v>0</v>
      </c>
    </row>
    <row r="18" spans="1:9" ht="15.6">
      <c r="A18" s="3508"/>
      <c r="B18" s="3509" t="s">
        <v>2504</v>
      </c>
      <c r="C18" s="3509"/>
      <c r="D18" s="2530"/>
      <c r="E18" s="2530"/>
      <c r="F18" s="2531"/>
      <c r="G18" s="2532"/>
      <c r="H18" s="2542"/>
      <c r="I18" s="2543">
        <f>ROUND(D18*E18*F18*G18/10000,0)</f>
        <v>0</v>
      </c>
    </row>
    <row r="19" spans="1:9" ht="15.6">
      <c r="A19" s="3508"/>
      <c r="B19" s="3509" t="s">
        <v>2505</v>
      </c>
      <c r="C19" s="3509"/>
      <c r="D19" s="2530"/>
      <c r="E19" s="2530"/>
      <c r="F19" s="2531"/>
      <c r="G19" s="2532"/>
      <c r="H19" s="2542"/>
      <c r="I19" s="2543">
        <f>ROUND(D19*E19*F19*G19/10000,0)</f>
        <v>0</v>
      </c>
    </row>
    <row r="20" spans="1:9">
      <c r="A20" s="3508"/>
      <c r="B20" s="3510" t="s">
        <v>2486</v>
      </c>
      <c r="C20" s="3510"/>
      <c r="D20" s="2534">
        <f>SUM(D17:D19)</f>
        <v>0</v>
      </c>
      <c r="E20" s="2534"/>
      <c r="F20" s="2535"/>
      <c r="G20" s="2532"/>
      <c r="H20" s="2539"/>
      <c r="I20" s="2540">
        <f>SUM(I17:I19)</f>
        <v>0</v>
      </c>
    </row>
    <row r="21" spans="1:9">
      <c r="A21" s="3508" t="s">
        <v>2506</v>
      </c>
      <c r="B21" s="3511"/>
      <c r="C21" s="3511"/>
      <c r="D21" s="3511"/>
      <c r="E21" s="3511"/>
      <c r="F21" s="3511"/>
      <c r="G21" s="3511"/>
      <c r="H21" s="2544">
        <v>0.1</v>
      </c>
      <c r="I21" s="2537">
        <f>ROUND(I10*H21,0)</f>
        <v>0</v>
      </c>
    </row>
    <row r="22" spans="1:9" ht="15.6">
      <c r="A22" s="3512" t="s">
        <v>2507</v>
      </c>
      <c r="B22" s="3513"/>
      <c r="C22" s="3514"/>
      <c r="D22" s="2545" t="s">
        <v>2508</v>
      </c>
      <c r="E22" s="2545" t="s">
        <v>2509</v>
      </c>
      <c r="F22" s="2546" t="s">
        <v>2510</v>
      </c>
      <c r="G22" s="2546" t="s">
        <v>2511</v>
      </c>
      <c r="H22" s="2538" t="s">
        <v>2512</v>
      </c>
      <c r="I22" s="2529" t="s">
        <v>2513</v>
      </c>
    </row>
    <row r="23" spans="1:9" ht="15" thickBot="1">
      <c r="A23" s="3515"/>
      <c r="B23" s="3516"/>
      <c r="C23" s="3517"/>
      <c r="D23" s="2547"/>
      <c r="E23" s="2547"/>
      <c r="F23" s="2547"/>
      <c r="G23" s="2548"/>
      <c r="H23" s="2549"/>
      <c r="I23" s="2550">
        <f>ROUND(E23*D23*F23*(1-G23)/10000,0)</f>
        <v>0</v>
      </c>
    </row>
    <row r="26" spans="1:9">
      <c r="A26" s="2551" t="s">
        <v>2514</v>
      </c>
      <c r="B26" s="2551"/>
      <c r="C26" s="2551"/>
      <c r="D26" s="2551"/>
      <c r="E26" s="3505">
        <f>C27-C30-C31-C32</f>
        <v>0</v>
      </c>
      <c r="F26" s="3505"/>
      <c r="G26" s="3505"/>
      <c r="H26" s="3061" t="s">
        <v>2842</v>
      </c>
    </row>
    <row r="27" spans="1:9">
      <c r="A27" s="2552">
        <v>1</v>
      </c>
      <c r="B27" s="2553" t="s">
        <v>2515</v>
      </c>
      <c r="C27" s="2553"/>
      <c r="D27" s="2553"/>
      <c r="E27" s="3506"/>
      <c r="F27" s="3506"/>
      <c r="G27" s="3506"/>
    </row>
    <row r="28" spans="1:9">
      <c r="A28" s="2554" t="s">
        <v>2516</v>
      </c>
      <c r="B28" s="2553" t="s">
        <v>2517</v>
      </c>
      <c r="C28" s="2553"/>
      <c r="D28" s="2553"/>
      <c r="E28" s="3506"/>
      <c r="F28" s="3506"/>
      <c r="G28" s="3506"/>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507"/>
      <c r="F32" s="3507"/>
      <c r="G32" s="3507"/>
    </row>
    <row r="33" spans="1:7" hidden="1">
      <c r="A33" s="3502" t="s">
        <v>2525</v>
      </c>
      <c r="B33" s="3503"/>
      <c r="C33" s="3503"/>
      <c r="D33" s="3504"/>
      <c r="E33" s="3505"/>
      <c r="F33" s="3505"/>
      <c r="G33" s="3505"/>
    </row>
    <row r="34" spans="1:7" hidden="1">
      <c r="A34" s="2556">
        <v>1</v>
      </c>
      <c r="B34" s="2553" t="s">
        <v>2526</v>
      </c>
      <c r="C34" s="2553"/>
      <c r="D34" s="2553"/>
      <c r="E34" s="3506"/>
      <c r="F34" s="3506"/>
      <c r="G34" s="3506"/>
    </row>
    <row r="35" spans="1:7" hidden="1">
      <c r="A35" s="2556">
        <v>2</v>
      </c>
      <c r="B35" s="2553" t="s">
        <v>2527</v>
      </c>
      <c r="C35" s="2553"/>
      <c r="D35" s="2553"/>
      <c r="E35" s="3506"/>
      <c r="F35" s="3506"/>
      <c r="G35" s="3506"/>
    </row>
    <row r="36" spans="1:7" hidden="1">
      <c r="A36" s="2556">
        <v>3</v>
      </c>
      <c r="B36" s="2553" t="s">
        <v>2528</v>
      </c>
      <c r="C36" s="2553"/>
      <c r="D36" s="2553"/>
      <c r="E36" s="3506"/>
      <c r="F36" s="3506"/>
      <c r="G36" s="3506"/>
    </row>
    <row r="37" spans="1:7" hidden="1">
      <c r="A37" s="2556">
        <v>4</v>
      </c>
      <c r="B37" s="2553" t="s">
        <v>2529</v>
      </c>
      <c r="C37" s="2553"/>
      <c r="D37" s="2553"/>
      <c r="E37" s="3506"/>
      <c r="F37" s="3506"/>
      <c r="G37" s="3506"/>
    </row>
    <row r="38" spans="1:7" hidden="1">
      <c r="A38" s="3502" t="s">
        <v>2530</v>
      </c>
      <c r="B38" s="3503"/>
      <c r="C38" s="3503"/>
      <c r="D38" s="3504"/>
      <c r="E38" s="3505"/>
      <c r="F38" s="3505"/>
      <c r="G38" s="35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599</v>
      </c>
      <c r="B1" s="741"/>
      <c r="C1" s="2179"/>
      <c r="D1" s="2179"/>
      <c r="E1" s="2179"/>
      <c r="F1" s="2179"/>
      <c r="G1" s="2105"/>
    </row>
    <row r="2" spans="1:25" s="2056" customFormat="1" ht="18" customHeight="1">
      <c r="A2" s="422" t="s">
        <v>463</v>
      </c>
      <c r="B2" s="424">
        <f ca="1">C23</f>
        <v>1237</v>
      </c>
      <c r="C2" s="2105"/>
      <c r="D2" s="2105"/>
      <c r="E2" s="2105"/>
      <c r="F2" s="2105"/>
      <c r="G2" s="2105"/>
    </row>
    <row r="3" spans="1:25" s="2056" customFormat="1" ht="18" customHeight="1">
      <c r="A3" s="1375" t="s">
        <v>1682</v>
      </c>
      <c r="B3" s="424">
        <f ca="1">ROUND(B2*10000/'数据-汇总表'!E3,0)</f>
        <v>29</v>
      </c>
      <c r="C3" s="2105"/>
      <c r="D3" s="2105"/>
      <c r="E3" s="2105"/>
      <c r="F3" s="2105"/>
      <c r="G3" s="2105"/>
    </row>
    <row r="4" spans="1:25" s="2056" customFormat="1" ht="18" customHeight="1">
      <c r="A4" s="425" t="s">
        <v>464</v>
      </c>
      <c r="B4" s="426">
        <f ca="1">ROUND(B2*10000/'数据-汇总表'!D3,0)</f>
        <v>83</v>
      </c>
      <c r="C4" s="2058"/>
      <c r="D4" s="2105"/>
      <c r="E4" s="2105"/>
      <c r="F4" s="2105"/>
      <c r="G4" s="2105"/>
    </row>
    <row r="5" spans="1:25" s="2056" customFormat="1" ht="18" customHeight="1" thickBot="1">
      <c r="A5" s="428"/>
      <c r="B5" s="429">
        <f ca="1">ROUND(B2/('数据-汇总表'!D3/666.67),0)</f>
        <v>6</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1289</v>
      </c>
      <c r="D10" s="759">
        <f>'数据-汇总表'!E3</f>
        <v>429582.71</v>
      </c>
      <c r="E10" s="748">
        <f>'数据-取费表'!B31</f>
        <v>150</v>
      </c>
      <c r="F10" s="760"/>
      <c r="G10" s="758" t="s">
        <v>610</v>
      </c>
    </row>
    <row r="11" spans="1:25" s="2180" customFormat="1" ht="13.5" customHeight="1">
      <c r="A11" s="2490" t="s">
        <v>2440</v>
      </c>
      <c r="B11" s="751" t="s">
        <v>606</v>
      </c>
      <c r="C11" s="752">
        <f>'数据-取费表'!B29</f>
        <v>1289</v>
      </c>
      <c r="D11" s="753"/>
      <c r="E11" s="752"/>
      <c r="F11" s="754"/>
      <c r="G11" s="2499" t="s">
        <v>2451</v>
      </c>
    </row>
    <row r="12" spans="1:25" s="2180" customFormat="1" ht="13.5" customHeight="1">
      <c r="A12" s="2497" t="s">
        <v>2448</v>
      </c>
      <c r="B12" s="755" t="s">
        <v>607</v>
      </c>
      <c r="C12" s="756">
        <f>ROUND(D12*E12/10000,0)</f>
        <v>1129</v>
      </c>
      <c r="D12" s="757">
        <f>'数据-汇总表'!E5</f>
        <v>376358.67</v>
      </c>
      <c r="E12" s="756">
        <f>'数据-取费表'!B27</f>
        <v>30</v>
      </c>
      <c r="F12" s="754"/>
      <c r="G12" s="758"/>
    </row>
    <row r="13" spans="1:25" s="2180" customFormat="1" ht="13.5" customHeight="1">
      <c r="A13" s="2497" t="s">
        <v>2447</v>
      </c>
      <c r="B13" s="755" t="s">
        <v>608</v>
      </c>
      <c r="C13" s="756">
        <f>ROUND(D13*E13/10000,0)</f>
        <v>160</v>
      </c>
      <c r="D13" s="757">
        <f>'数据-汇总表'!E6</f>
        <v>53224.040000000037</v>
      </c>
      <c r="E13" s="756">
        <f>'数据-取费表'!B28</f>
        <v>30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64</v>
      </c>
      <c r="D18" s="761"/>
      <c r="E18" s="762"/>
      <c r="F18" s="760">
        <f>'数据-取费表'!Q16</f>
        <v>0.05</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1353</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1353</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1237</v>
      </c>
      <c r="D22" s="759"/>
      <c r="E22" s="748"/>
      <c r="F22" s="765">
        <f>'数据-取费表'!AP16</f>
        <v>0.91400000000000003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1237</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湖北航宇置业发展有限公司：</v>
      </c>
    </row>
    <row r="4" spans="1:4" ht="34.799999999999997">
      <c r="A4" s="1788" t="str">
        <f>"受贵公司委托，我公司对"&amp;项目基本情况!K2&amp;项目基本情况!B9&amp;"进行了预评估。"</f>
        <v>受贵公司委托，我公司对湖北省鄂州市花湖开发区杨叶大道与胄山大道交叉口西侧出让国有建设用地使用权抵押价格进行了预评估。</v>
      </c>
    </row>
    <row r="5" spans="1:4" ht="17.399999999999999">
      <c r="A5" s="1791" t="s">
        <v>1902</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航宇置业发展有限公司使用的、位于湖北省鄂州市花湖开发区杨叶大道与胄山大道交叉口西侧出让国有建设用地使用权。根据《国有土地使用证》[]，估价对象（分摊）出让国有建设用地使用权面积为148860.3平方米。根据《建设工程规划许可证》[]、《出让合同》[]，估价对象规划建筑面积为429582.71平方米。</v>
      </c>
    </row>
    <row r="7" spans="1:4" ht="87">
      <c r="A7" s="2894" t="s">
        <v>2747</v>
      </c>
    </row>
    <row r="8" spans="1:4" ht="17.399999999999999">
      <c r="A8" s="1791" t="s">
        <v>1903</v>
      </c>
    </row>
    <row r="9" spans="1:4" ht="52.2">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2018年9月10日（评估专业人员勘察现场之日）</v>
      </c>
    </row>
    <row r="12" spans="1:4" ht="17.399999999999999">
      <c r="A12" s="1794" t="s">
        <v>2024</v>
      </c>
    </row>
    <row r="13" spans="1:4" ht="17.399999999999999">
      <c r="A13" s="1788" t="s">
        <v>2070</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根据《国有土地使用证》[]，估价对象（分摊）出让国有建设用地使用权面积为148860.3平方米。根据《建设工程规划许可证》[]、《出让合同》[]，估价对象规划建筑面积为429582.71平方米。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2073</v>
      </c>
    </row>
    <row r="23" spans="1:1" ht="17.399999999999999">
      <c r="A23" s="2896" t="s">
        <v>2748</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9月10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517</v>
      </c>
      <c r="B4" s="512"/>
      <c r="C4" s="3423" t="s">
        <v>518</v>
      </c>
      <c r="D4" s="3424"/>
      <c r="E4" s="3448" t="s">
        <v>519</v>
      </c>
      <c r="F4" s="3449"/>
      <c r="G4" s="3423" t="s">
        <v>520</v>
      </c>
      <c r="H4" s="3424"/>
      <c r="I4" s="3423" t="s">
        <v>521</v>
      </c>
      <c r="J4" s="3424"/>
      <c r="K4" s="513" t="s">
        <v>522</v>
      </c>
      <c r="L4" s="2130"/>
      <c r="M4" s="2131"/>
      <c r="N4" s="2131"/>
      <c r="O4" s="2131"/>
      <c r="P4" s="3425" t="s">
        <v>523</v>
      </c>
      <c r="Q4" s="3426"/>
      <c r="R4" s="3411" t="s">
        <v>519</v>
      </c>
      <c r="S4" s="3412"/>
      <c r="T4" s="3411" t="s">
        <v>520</v>
      </c>
      <c r="U4" s="3412"/>
      <c r="V4" s="3431" t="s">
        <v>521</v>
      </c>
      <c r="W4" s="3431"/>
      <c r="X4" s="1563"/>
      <c r="Y4" s="3411" t="s">
        <v>523</v>
      </c>
      <c r="Z4" s="3412"/>
      <c r="AA4" s="3406" t="s">
        <v>519</v>
      </c>
      <c r="AB4" s="3431" t="s">
        <v>520</v>
      </c>
      <c r="AC4" s="3406" t="s">
        <v>521</v>
      </c>
    </row>
    <row r="5" spans="1:29">
      <c r="A5" s="514"/>
      <c r="B5" s="515"/>
      <c r="C5" s="3434" t="s">
        <v>2924</v>
      </c>
      <c r="D5" s="3435"/>
      <c r="E5" s="3450" t="s">
        <v>2925</v>
      </c>
      <c r="F5" s="3451"/>
      <c r="G5" s="3434" t="s">
        <v>2926</v>
      </c>
      <c r="H5" s="3435"/>
      <c r="I5" s="3434" t="s">
        <v>2927</v>
      </c>
      <c r="J5" s="3435"/>
      <c r="K5" s="513"/>
      <c r="L5" s="2130"/>
      <c r="M5" s="2131"/>
      <c r="N5" s="2131"/>
      <c r="O5" s="2131"/>
      <c r="P5" s="3427"/>
      <c r="Q5" s="3428"/>
      <c r="R5" s="3413"/>
      <c r="S5" s="3414"/>
      <c r="T5" s="3413"/>
      <c r="U5" s="3414"/>
      <c r="V5" s="3431"/>
      <c r="W5" s="3431"/>
      <c r="X5" s="1563"/>
      <c r="Y5" s="3413"/>
      <c r="Z5" s="3414"/>
      <c r="AA5" s="3407"/>
      <c r="AB5" s="3431"/>
      <c r="AC5" s="3407"/>
    </row>
    <row r="6" spans="1:29" ht="15" thickBot="1">
      <c r="A6" s="516"/>
      <c r="B6" s="517"/>
      <c r="C6" s="3452" t="s">
        <v>2928</v>
      </c>
      <c r="D6" s="3433"/>
      <c r="E6" s="3453" t="s">
        <v>2928</v>
      </c>
      <c r="F6" s="3454"/>
      <c r="G6" s="3452" t="s">
        <v>2928</v>
      </c>
      <c r="H6" s="3433"/>
      <c r="I6" s="3452" t="s">
        <v>2928</v>
      </c>
      <c r="J6" s="3433"/>
      <c r="K6" s="513" t="s">
        <v>524</v>
      </c>
      <c r="L6" s="2130"/>
      <c r="M6" s="2131"/>
      <c r="N6" s="2131"/>
      <c r="O6" s="2131"/>
      <c r="P6" s="3429"/>
      <c r="Q6" s="3430"/>
      <c r="R6" s="3413"/>
      <c r="S6" s="3414"/>
      <c r="T6" s="3415"/>
      <c r="U6" s="3416"/>
      <c r="V6" s="3431"/>
      <c r="W6" s="3431"/>
      <c r="X6" s="1563"/>
      <c r="Y6" s="3415"/>
      <c r="Z6" s="3416"/>
      <c r="AA6" s="3408"/>
      <c r="AB6" s="3431"/>
      <c r="AC6" s="3408"/>
    </row>
    <row r="7" spans="1:29" s="1218" customFormat="1" ht="15" thickBot="1">
      <c r="A7" s="2933"/>
      <c r="B7" s="2940" t="s">
        <v>525</v>
      </c>
      <c r="C7" s="518">
        <f>'数据-取费表'!B2</f>
        <v>43353</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09" t="s">
        <v>526</v>
      </c>
      <c r="Q7" s="3418"/>
      <c r="R7" s="1564" t="s">
        <v>8</v>
      </c>
      <c r="S7" s="1565">
        <f t="shared" ref="S7:S15" si="0">F7</f>
        <v>0</v>
      </c>
      <c r="T7" s="1564" t="s">
        <v>8</v>
      </c>
      <c r="U7" s="1565">
        <f t="shared" ref="U7:U15" si="1">H7</f>
        <v>0</v>
      </c>
      <c r="V7" s="1564" t="s">
        <v>8</v>
      </c>
      <c r="W7" s="1565">
        <f t="shared" ref="W7:W15" si="2">J7</f>
        <v>0</v>
      </c>
      <c r="X7" s="1566"/>
      <c r="Y7" s="3409" t="s">
        <v>526</v>
      </c>
      <c r="Z7" s="3410"/>
      <c r="AA7" s="1567" t="e">
        <f>D7/F7</f>
        <v>#DIV/0!</v>
      </c>
      <c r="AB7" s="1567" t="e">
        <f>D7/H7</f>
        <v>#DIV/0!</v>
      </c>
      <c r="AC7" s="1567" t="e">
        <f>D7/J7</f>
        <v>#DIV/0!</v>
      </c>
    </row>
    <row r="8" spans="1:29" s="1218" customFormat="1" ht="1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09" t="s">
        <v>529</v>
      </c>
      <c r="Q8" s="3410"/>
      <c r="R8" s="1564" t="s">
        <v>8</v>
      </c>
      <c r="S8" s="1565">
        <f t="shared" si="0"/>
        <v>0</v>
      </c>
      <c r="T8" s="1564" t="s">
        <v>8</v>
      </c>
      <c r="U8" s="1565">
        <f t="shared" si="1"/>
        <v>0</v>
      </c>
      <c r="V8" s="1564" t="s">
        <v>8</v>
      </c>
      <c r="W8" s="1565">
        <f t="shared" si="2"/>
        <v>0</v>
      </c>
      <c r="X8" s="1566"/>
      <c r="Y8" s="3409" t="s">
        <v>529</v>
      </c>
      <c r="Z8" s="3410"/>
      <c r="AA8" s="1567" t="e">
        <f t="shared" ref="AA8:AA46" si="3">D8/F8</f>
        <v>#DIV/0!</v>
      </c>
      <c r="AB8" s="1567" t="e">
        <f t="shared" ref="AB8:AB46" si="4">D8/H8</f>
        <v>#DIV/0!</v>
      </c>
      <c r="AC8" s="1567" t="e">
        <f t="shared" ref="AC8:AC46" si="5">D8/J8</f>
        <v>#DIV/0!</v>
      </c>
    </row>
    <row r="9" spans="1:29" s="1218" customFormat="1" ht="14.4">
      <c r="A9" s="2935"/>
      <c r="B9" s="2942" t="s">
        <v>2755</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17" t="s">
        <v>531</v>
      </c>
      <c r="Q9" s="1149" t="str">
        <f t="shared" ref="Q9:Q15" si="6">B9</f>
        <v>用途</v>
      </c>
      <c r="R9" s="1564" t="s">
        <v>8</v>
      </c>
      <c r="S9" s="1565">
        <f t="shared" si="0"/>
        <v>100</v>
      </c>
      <c r="T9" s="1564" t="s">
        <v>8</v>
      </c>
      <c r="U9" s="1565">
        <f t="shared" si="1"/>
        <v>100</v>
      </c>
      <c r="V9" s="1564" t="s">
        <v>8</v>
      </c>
      <c r="W9" s="1565">
        <f t="shared" si="2"/>
        <v>100</v>
      </c>
      <c r="X9" s="1566"/>
      <c r="Y9" s="3374"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74"/>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17"/>
      <c r="Q11" s="1149" t="str">
        <f t="shared" si="6"/>
        <v>容积率</v>
      </c>
      <c r="R11" s="1564" t="s">
        <v>8</v>
      </c>
      <c r="S11" s="1565" t="e">
        <f t="shared" si="0"/>
        <v>#N/A</v>
      </c>
      <c r="T11" s="1564" t="s">
        <v>8</v>
      </c>
      <c r="U11" s="1565" t="e">
        <f t="shared" si="1"/>
        <v>#N/A</v>
      </c>
      <c r="V11" s="1564" t="s">
        <v>8</v>
      </c>
      <c r="W11" s="1565" t="e">
        <f t="shared" si="2"/>
        <v>#N/A</v>
      </c>
      <c r="X11" s="1566"/>
      <c r="Y11" s="3374"/>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74"/>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74"/>
      <c r="Z13" s="1148">
        <f t="shared" si="7"/>
        <v>111</v>
      </c>
      <c r="AA13" s="1567">
        <f t="shared" si="3"/>
        <v>1</v>
      </c>
      <c r="AB13" s="1567">
        <f t="shared" si="4"/>
        <v>1</v>
      </c>
      <c r="AC13" s="1567">
        <f t="shared" si="5"/>
        <v>1</v>
      </c>
    </row>
    <row r="14" spans="1:29" ht="15.6"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17"/>
      <c r="Q14" s="1149">
        <f t="shared" si="6"/>
        <v>111</v>
      </c>
      <c r="R14" s="1564" t="s">
        <v>8</v>
      </c>
      <c r="S14" s="1565">
        <f t="shared" si="0"/>
        <v>100</v>
      </c>
      <c r="T14" s="1564" t="s">
        <v>8</v>
      </c>
      <c r="U14" s="1565">
        <f t="shared" si="1"/>
        <v>100</v>
      </c>
      <c r="V14" s="1564" t="s">
        <v>8</v>
      </c>
      <c r="W14" s="1565">
        <f t="shared" si="2"/>
        <v>100</v>
      </c>
      <c r="X14" s="1566"/>
      <c r="Y14" s="3374"/>
      <c r="Z14" s="1148">
        <f t="shared" si="7"/>
        <v>111</v>
      </c>
      <c r="AA14" s="1567">
        <f t="shared" si="3"/>
        <v>1</v>
      </c>
      <c r="AB14" s="1567">
        <f t="shared" si="4"/>
        <v>1</v>
      </c>
      <c r="AC14" s="1567">
        <f t="shared" si="5"/>
        <v>1</v>
      </c>
    </row>
    <row r="15" spans="1:29" ht="96.6">
      <c r="A15" s="2931" t="s">
        <v>2753</v>
      </c>
      <c r="B15" s="166" t="s">
        <v>537</v>
      </c>
      <c r="C15" s="866" t="str">
        <f>估价对象房地状况!C4</f>
        <v>估价对象周边商业氛围较成熟，人流量较一般，有丽港城商业广场，商业繁华度一般</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19" t="s">
        <v>536</v>
      </c>
      <c r="Q15" s="1568" t="str">
        <f t="shared" si="6"/>
        <v>商业繁华度</v>
      </c>
      <c r="R15" s="1569" t="s">
        <v>8</v>
      </c>
      <c r="S15" s="1570">
        <f t="shared" si="0"/>
        <v>100</v>
      </c>
      <c r="T15" s="1569" t="s">
        <v>8</v>
      </c>
      <c r="U15" s="1570">
        <f t="shared" si="1"/>
        <v>100</v>
      </c>
      <c r="V15" s="1569" t="s">
        <v>8</v>
      </c>
      <c r="W15" s="1570">
        <f t="shared" si="2"/>
        <v>100</v>
      </c>
      <c r="X15" s="1563"/>
      <c r="Y15" s="3419"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20"/>
      <c r="Q16" s="1568"/>
      <c r="R16" s="1569"/>
      <c r="S16" s="1570"/>
      <c r="T16" s="1569"/>
      <c r="U16" s="1570"/>
      <c r="V16" s="1569"/>
      <c r="W16" s="1570"/>
      <c r="X16" s="1563"/>
      <c r="Y16" s="3420"/>
      <c r="Z16" s="1571"/>
      <c r="AA16" s="1572">
        <v>1</v>
      </c>
      <c r="AB16" s="1572">
        <v>1</v>
      </c>
      <c r="AC16" s="1572">
        <v>1</v>
      </c>
    </row>
    <row r="17" spans="1:29" ht="138">
      <c r="A17" s="531"/>
      <c r="B17" s="870" t="s">
        <v>292</v>
      </c>
      <c r="C17" s="871" t="str">
        <f>估价对象房地状况!C6</f>
        <v>估价对象周边道路状况、公共交通通达情况：有071、003、030、36等多路公交车，停车便捷程度，综合评价交通便捷度较好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20"/>
      <c r="Q17" s="1568" t="str">
        <f>B17</f>
        <v>交通便捷度</v>
      </c>
      <c r="R17" s="1569" t="s">
        <v>8</v>
      </c>
      <c r="S17" s="1570">
        <f>F17</f>
        <v>100</v>
      </c>
      <c r="T17" s="1569" t="s">
        <v>8</v>
      </c>
      <c r="U17" s="1570">
        <f>H17</f>
        <v>100</v>
      </c>
      <c r="V17" s="1569" t="s">
        <v>8</v>
      </c>
      <c r="W17" s="1570">
        <f>J17</f>
        <v>100</v>
      </c>
      <c r="X17" s="1563"/>
      <c r="Y17" s="3420"/>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20"/>
      <c r="Q18" s="1568"/>
      <c r="R18" s="1569"/>
      <c r="S18" s="1570"/>
      <c r="T18" s="1569"/>
      <c r="U18" s="1570"/>
      <c r="V18" s="1569"/>
      <c r="W18" s="1570"/>
      <c r="X18" s="1563"/>
      <c r="Y18" s="3420"/>
      <c r="Z18" s="1571"/>
      <c r="AA18" s="1572">
        <v>1</v>
      </c>
      <c r="AB18" s="1572">
        <v>1</v>
      </c>
      <c r="AC18" s="1572">
        <v>1</v>
      </c>
    </row>
    <row r="19" spans="1:29" ht="69">
      <c r="A19" s="531"/>
      <c r="B19" s="2621" t="s">
        <v>2545</v>
      </c>
      <c r="C19" s="871" t="str">
        <f>估价对象房地状况!C7</f>
        <v>估价对象所在区域公共配套设施齐备情况较好：中山市实验中学</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20"/>
      <c r="Q19" s="1568" t="str">
        <f>B19</f>
        <v>公共配套设施</v>
      </c>
      <c r="R19" s="1569" t="s">
        <v>8</v>
      </c>
      <c r="S19" s="1570">
        <f>F19</f>
        <v>100</v>
      </c>
      <c r="T19" s="1569" t="s">
        <v>8</v>
      </c>
      <c r="U19" s="1570">
        <f>H19</f>
        <v>100</v>
      </c>
      <c r="V19" s="1569" t="s">
        <v>8</v>
      </c>
      <c r="W19" s="1570">
        <f>J19</f>
        <v>100</v>
      </c>
      <c r="X19" s="1563"/>
      <c r="Y19" s="3420"/>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20"/>
      <c r="Q20" s="1568"/>
      <c r="R20" s="1569"/>
      <c r="S20" s="1570"/>
      <c r="T20" s="1569"/>
      <c r="U20" s="1570"/>
      <c r="V20" s="1569"/>
      <c r="W20" s="1570"/>
      <c r="X20" s="1563"/>
      <c r="Y20" s="3420"/>
      <c r="Z20" s="1571"/>
      <c r="AA20" s="1572">
        <v>1</v>
      </c>
      <c r="AB20" s="1572">
        <v>1</v>
      </c>
      <c r="AC20" s="1572">
        <v>1</v>
      </c>
    </row>
    <row r="21" spans="1:29" ht="41.4">
      <c r="A21" s="531"/>
      <c r="B21" s="2614" t="s">
        <v>2557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20"/>
      <c r="Q21" s="2600" t="str">
        <f>B21</f>
        <v>基础设施水平</v>
      </c>
      <c r="R21" s="1569" t="s">
        <v>8</v>
      </c>
      <c r="S21" s="1570">
        <f>F21</f>
        <v>100</v>
      </c>
      <c r="T21" s="1569" t="s">
        <v>8</v>
      </c>
      <c r="U21" s="1570">
        <f>H21</f>
        <v>100</v>
      </c>
      <c r="V21" s="1569" t="s">
        <v>8</v>
      </c>
      <c r="W21" s="1570">
        <f>J21</f>
        <v>100</v>
      </c>
      <c r="X21" s="2602"/>
      <c r="Y21" s="3420"/>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20"/>
      <c r="Q22" s="2600"/>
      <c r="R22" s="1569"/>
      <c r="S22" s="1570"/>
      <c r="T22" s="1569"/>
      <c r="U22" s="1570"/>
      <c r="V22" s="1569"/>
      <c r="W22" s="1570"/>
      <c r="X22" s="2602"/>
      <c r="Y22" s="3420"/>
      <c r="Z22" s="2601"/>
      <c r="AA22" s="1572">
        <v>1</v>
      </c>
      <c r="AB22" s="1572">
        <v>1</v>
      </c>
      <c r="AC22" s="1572">
        <v>1</v>
      </c>
    </row>
    <row r="23" spans="1:29" ht="69">
      <c r="A23" s="531"/>
      <c r="B23" s="870" t="s">
        <v>293</v>
      </c>
      <c r="C23" s="898" t="str">
        <f>估价对象房地状况!C9</f>
        <v>周边2公里区域自然环境：；人文环境：；综合评价环境状况较好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20"/>
      <c r="Q23" s="1568" t="str">
        <f>B23</f>
        <v>自然及人文环境</v>
      </c>
      <c r="R23" s="1569" t="s">
        <v>8</v>
      </c>
      <c r="S23" s="1570">
        <f>F23</f>
        <v>100</v>
      </c>
      <c r="T23" s="1569" t="s">
        <v>8</v>
      </c>
      <c r="U23" s="1570">
        <f>H23</f>
        <v>100</v>
      </c>
      <c r="V23" s="1569" t="s">
        <v>8</v>
      </c>
      <c r="W23" s="1570">
        <f>J23</f>
        <v>100</v>
      </c>
      <c r="X23" s="1563"/>
      <c r="Y23" s="3420"/>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20"/>
      <c r="Q24" s="1568"/>
      <c r="R24" s="1569"/>
      <c r="S24" s="1570"/>
      <c r="T24" s="1569"/>
      <c r="U24" s="1570"/>
      <c r="V24" s="1569"/>
      <c r="W24" s="1570"/>
      <c r="X24" s="1563"/>
      <c r="Y24" s="3420"/>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20"/>
      <c r="Q25" s="1568" t="str">
        <f t="shared" ref="Q25:Q46" si="11">B25</f>
        <v>临街状况</v>
      </c>
      <c r="R25" s="1569" t="s">
        <v>8</v>
      </c>
      <c r="S25" s="1570">
        <f>F25</f>
        <v>100</v>
      </c>
      <c r="T25" s="1569" t="s">
        <v>8</v>
      </c>
      <c r="U25" s="1570">
        <f>H25</f>
        <v>100</v>
      </c>
      <c r="V25" s="1569" t="s">
        <v>8</v>
      </c>
      <c r="W25" s="1570">
        <f>J25</f>
        <v>100</v>
      </c>
      <c r="X25" s="1563"/>
      <c r="Y25" s="3420"/>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20"/>
      <c r="Q26" s="1568" t="str">
        <f t="shared" si="11"/>
        <v>平面位置/可视性</v>
      </c>
      <c r="R26" s="1569" t="s">
        <v>8</v>
      </c>
      <c r="S26" s="1570">
        <f>F26</f>
        <v>100</v>
      </c>
      <c r="T26" s="1569" t="s">
        <v>8</v>
      </c>
      <c r="U26" s="1570">
        <f>H26</f>
        <v>100</v>
      </c>
      <c r="V26" s="1569" t="s">
        <v>8</v>
      </c>
      <c r="W26" s="1570">
        <f>J26</f>
        <v>100</v>
      </c>
      <c r="X26" s="1563"/>
      <c r="Y26" s="3420"/>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20"/>
      <c r="Q27" s="1149" t="str">
        <f t="shared" si="11"/>
        <v>人流量</v>
      </c>
      <c r="R27" s="1564" t="s">
        <v>8</v>
      </c>
      <c r="S27" s="1565">
        <f>F27</f>
        <v>100</v>
      </c>
      <c r="T27" s="1564" t="s">
        <v>8</v>
      </c>
      <c r="U27" s="1565">
        <f>H27</f>
        <v>100</v>
      </c>
      <c r="V27" s="1564" t="s">
        <v>8</v>
      </c>
      <c r="W27" s="1565">
        <f>J27</f>
        <v>100</v>
      </c>
      <c r="X27" s="1566"/>
      <c r="Y27" s="3420"/>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20"/>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20"/>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20"/>
      <c r="Q29" s="1568">
        <f t="shared" si="11"/>
        <v>111</v>
      </c>
      <c r="R29" s="1569" t="s">
        <v>8</v>
      </c>
      <c r="S29" s="1570">
        <f t="shared" si="12"/>
        <v>100</v>
      </c>
      <c r="T29" s="1569" t="s">
        <v>8</v>
      </c>
      <c r="U29" s="1570">
        <f t="shared" si="13"/>
        <v>100</v>
      </c>
      <c r="V29" s="1569" t="s">
        <v>8</v>
      </c>
      <c r="W29" s="1570">
        <f t="shared" si="14"/>
        <v>100</v>
      </c>
      <c r="X29" s="1563"/>
      <c r="Y29" s="3420"/>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20"/>
      <c r="Q30" s="1568">
        <f t="shared" si="11"/>
        <v>111</v>
      </c>
      <c r="R30" s="1569" t="s">
        <v>8</v>
      </c>
      <c r="S30" s="1570">
        <f t="shared" si="12"/>
        <v>100</v>
      </c>
      <c r="T30" s="1569" t="s">
        <v>8</v>
      </c>
      <c r="U30" s="1570">
        <f t="shared" si="13"/>
        <v>100</v>
      </c>
      <c r="V30" s="1569" t="s">
        <v>8</v>
      </c>
      <c r="W30" s="1570">
        <f t="shared" si="14"/>
        <v>100</v>
      </c>
      <c r="X30" s="1563"/>
      <c r="Y30" s="3420"/>
      <c r="Z30" s="1571">
        <f t="shared" si="15"/>
        <v>111</v>
      </c>
      <c r="AA30" s="1572">
        <f t="shared" si="3"/>
        <v>1</v>
      </c>
      <c r="AB30" s="1572">
        <f t="shared" si="4"/>
        <v>1</v>
      </c>
      <c r="AC30" s="157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20"/>
      <c r="Q31" s="1568">
        <f t="shared" si="11"/>
        <v>111</v>
      </c>
      <c r="R31" s="1569" t="s">
        <v>8</v>
      </c>
      <c r="S31" s="1570">
        <f t="shared" si="12"/>
        <v>100</v>
      </c>
      <c r="T31" s="1569" t="s">
        <v>8</v>
      </c>
      <c r="U31" s="1570">
        <f t="shared" si="13"/>
        <v>100</v>
      </c>
      <c r="V31" s="1569" t="s">
        <v>8</v>
      </c>
      <c r="W31" s="1570">
        <f t="shared" si="14"/>
        <v>100</v>
      </c>
      <c r="X31" s="1563"/>
      <c r="Y31" s="3420"/>
      <c r="Z31" s="1571">
        <f t="shared" si="15"/>
        <v>111</v>
      </c>
      <c r="AA31" s="1572">
        <f t="shared" si="3"/>
        <v>1</v>
      </c>
      <c r="AB31" s="1572">
        <f t="shared" si="4"/>
        <v>1</v>
      </c>
      <c r="AC31" s="1572">
        <f t="shared" si="5"/>
        <v>1</v>
      </c>
    </row>
    <row r="32" spans="1:29" ht="15">
      <c r="A32" s="2928" t="s">
        <v>2754</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21" t="s">
        <v>546</v>
      </c>
      <c r="Q32" s="1568" t="str">
        <f t="shared" si="11"/>
        <v>商业类型</v>
      </c>
      <c r="R32" s="1569" t="s">
        <v>8</v>
      </c>
      <c r="S32" s="1570">
        <f t="shared" si="12"/>
        <v>100</v>
      </c>
      <c r="T32" s="1569" t="s">
        <v>8</v>
      </c>
      <c r="U32" s="1570">
        <f t="shared" si="13"/>
        <v>100</v>
      </c>
      <c r="V32" s="1569" t="s">
        <v>8</v>
      </c>
      <c r="W32" s="1570">
        <f t="shared" si="14"/>
        <v>100</v>
      </c>
      <c r="X32" s="1563"/>
      <c r="Y32" s="3422"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22"/>
      <c r="Q33" s="1601" t="str">
        <f t="shared" si="11"/>
        <v>项目建筑规模</v>
      </c>
      <c r="R33" s="1573" t="s">
        <v>8</v>
      </c>
      <c r="S33" s="1574" t="e">
        <f t="shared" si="12"/>
        <v>#N/A</v>
      </c>
      <c r="T33" s="1573" t="s">
        <v>8</v>
      </c>
      <c r="U33" s="1574" t="e">
        <f t="shared" si="13"/>
        <v>#N/A</v>
      </c>
      <c r="V33" s="1573" t="s">
        <v>8</v>
      </c>
      <c r="W33" s="1574" t="e">
        <f t="shared" si="14"/>
        <v>#N/A</v>
      </c>
      <c r="X33" s="1575"/>
      <c r="Y33" s="3422"/>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22"/>
      <c r="Q34" s="1568" t="str">
        <f t="shared" si="11"/>
        <v>建筑结构</v>
      </c>
      <c r="R34" s="1569" t="s">
        <v>8</v>
      </c>
      <c r="S34" s="1570">
        <f t="shared" si="12"/>
        <v>100</v>
      </c>
      <c r="T34" s="1569" t="s">
        <v>8</v>
      </c>
      <c r="U34" s="1570">
        <f t="shared" si="13"/>
        <v>100</v>
      </c>
      <c r="V34" s="1569" t="s">
        <v>8</v>
      </c>
      <c r="W34" s="1570">
        <f t="shared" si="14"/>
        <v>100</v>
      </c>
      <c r="X34" s="1563"/>
      <c r="Y34" s="3422"/>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22"/>
      <c r="Q35" s="1568" t="str">
        <f t="shared" si="11"/>
        <v>公共部分装修</v>
      </c>
      <c r="R35" s="1569" t="s">
        <v>8</v>
      </c>
      <c r="S35" s="1570">
        <f t="shared" si="12"/>
        <v>100</v>
      </c>
      <c r="T35" s="1569" t="s">
        <v>8</v>
      </c>
      <c r="U35" s="1570">
        <f t="shared" si="13"/>
        <v>100</v>
      </c>
      <c r="V35" s="1569" t="s">
        <v>8</v>
      </c>
      <c r="W35" s="1570">
        <f t="shared" si="14"/>
        <v>100</v>
      </c>
      <c r="X35" s="1563"/>
      <c r="Y35" s="3422"/>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22"/>
      <c r="Q36" s="1568" t="str">
        <f t="shared" si="11"/>
        <v>成新度</v>
      </c>
      <c r="R36" s="1569" t="s">
        <v>8</v>
      </c>
      <c r="S36" s="1570" t="e">
        <f t="shared" si="12"/>
        <v>#N/A</v>
      </c>
      <c r="T36" s="1569" t="s">
        <v>8</v>
      </c>
      <c r="U36" s="1570" t="e">
        <f t="shared" si="13"/>
        <v>#N/A</v>
      </c>
      <c r="V36" s="1569" t="s">
        <v>8</v>
      </c>
      <c r="W36" s="1570" t="e">
        <f t="shared" si="14"/>
        <v>#N/A</v>
      </c>
      <c r="X36" s="1563"/>
      <c r="Y36" s="3422"/>
      <c r="Z36" s="1571" t="str">
        <f t="shared" si="15"/>
        <v>成新度</v>
      </c>
      <c r="AA36" s="1572" t="e">
        <f t="shared" si="3"/>
        <v>#N/A</v>
      </c>
      <c r="AB36" s="1572" t="e">
        <f t="shared" si="4"/>
        <v>#N/A</v>
      </c>
      <c r="AC36" s="1572" t="e">
        <f t="shared" si="5"/>
        <v>#N/A</v>
      </c>
    </row>
    <row r="37" spans="1:29" s="1218" customFormat="1" ht="15">
      <c r="A37" s="599"/>
      <c r="B37" s="1892"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22"/>
      <c r="Q37" s="1149" t="str">
        <f t="shared" si="11"/>
        <v>市政基础设施</v>
      </c>
      <c r="R37" s="1564" t="s">
        <v>8</v>
      </c>
      <c r="S37" s="1565">
        <f t="shared" si="12"/>
        <v>100</v>
      </c>
      <c r="T37" s="1564" t="s">
        <v>8</v>
      </c>
      <c r="U37" s="1565">
        <f t="shared" si="13"/>
        <v>100</v>
      </c>
      <c r="V37" s="1564" t="s">
        <v>8</v>
      </c>
      <c r="W37" s="1565">
        <f t="shared" si="14"/>
        <v>100</v>
      </c>
      <c r="X37" s="1566"/>
      <c r="Y37" s="3422"/>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22" t="s">
        <v>762</v>
      </c>
      <c r="Q38" s="1568" t="str">
        <f t="shared" si="11"/>
        <v>业态</v>
      </c>
      <c r="R38" s="1569" t="s">
        <v>8</v>
      </c>
      <c r="S38" s="1570">
        <f t="shared" si="12"/>
        <v>100</v>
      </c>
      <c r="T38" s="1569" t="s">
        <v>8</v>
      </c>
      <c r="U38" s="1570">
        <f t="shared" si="13"/>
        <v>100</v>
      </c>
      <c r="V38" s="1569" t="s">
        <v>8</v>
      </c>
      <c r="W38" s="1570">
        <f t="shared" si="14"/>
        <v>100</v>
      </c>
      <c r="X38" s="1563"/>
      <c r="Y38" s="3422"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22"/>
      <c r="Q39" s="1568" t="str">
        <f t="shared" si="11"/>
        <v>层高</v>
      </c>
      <c r="R39" s="1569" t="s">
        <v>8</v>
      </c>
      <c r="S39" s="1570">
        <f t="shared" si="12"/>
        <v>100</v>
      </c>
      <c r="T39" s="1569" t="s">
        <v>8</v>
      </c>
      <c r="U39" s="1570">
        <f t="shared" si="13"/>
        <v>100</v>
      </c>
      <c r="V39" s="1569" t="s">
        <v>8</v>
      </c>
      <c r="W39" s="1570">
        <f t="shared" si="14"/>
        <v>100</v>
      </c>
      <c r="X39" s="1563"/>
      <c r="Y39" s="3422"/>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22"/>
      <c r="Q40" s="1568" t="str">
        <f t="shared" si="11"/>
        <v>单套建筑面积</v>
      </c>
      <c r="R40" s="1569" t="s">
        <v>8</v>
      </c>
      <c r="S40" s="1570">
        <f t="shared" si="12"/>
        <v>100</v>
      </c>
      <c r="T40" s="1569" t="s">
        <v>8</v>
      </c>
      <c r="U40" s="1570">
        <f t="shared" si="13"/>
        <v>100</v>
      </c>
      <c r="V40" s="1569" t="s">
        <v>8</v>
      </c>
      <c r="W40" s="1570">
        <f t="shared" si="14"/>
        <v>100</v>
      </c>
      <c r="X40" s="1563"/>
      <c r="Y40" s="3422"/>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22"/>
      <c r="Q41" s="1601" t="str">
        <f t="shared" si="11"/>
        <v>进深比</v>
      </c>
      <c r="R41" s="1573" t="s">
        <v>8</v>
      </c>
      <c r="S41" s="1574">
        <f t="shared" si="12"/>
        <v>100</v>
      </c>
      <c r="T41" s="1573" t="s">
        <v>8</v>
      </c>
      <c r="U41" s="1574">
        <f t="shared" si="13"/>
        <v>100</v>
      </c>
      <c r="V41" s="1573" t="s">
        <v>8</v>
      </c>
      <c r="W41" s="1574">
        <f t="shared" si="14"/>
        <v>100</v>
      </c>
      <c r="X41" s="1575"/>
      <c r="Y41" s="3422"/>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22"/>
      <c r="Q42" s="1568" t="str">
        <f t="shared" si="11"/>
        <v>内部装修</v>
      </c>
      <c r="R42" s="1569" t="s">
        <v>8</v>
      </c>
      <c r="S42" s="1570">
        <f t="shared" si="12"/>
        <v>100</v>
      </c>
      <c r="T42" s="1569" t="s">
        <v>8</v>
      </c>
      <c r="U42" s="1570">
        <f t="shared" si="13"/>
        <v>100</v>
      </c>
      <c r="V42" s="1569" t="s">
        <v>8</v>
      </c>
      <c r="W42" s="1570">
        <f t="shared" si="14"/>
        <v>100</v>
      </c>
      <c r="X42" s="1563"/>
      <c r="Y42" s="3422"/>
      <c r="Z42" s="1571" t="str">
        <f t="shared" si="15"/>
        <v>内部装修</v>
      </c>
      <c r="AA42" s="1572">
        <f t="shared" si="3"/>
        <v>1</v>
      </c>
      <c r="AB42" s="1572">
        <f t="shared" si="4"/>
        <v>1</v>
      </c>
      <c r="AC42" s="1572">
        <f t="shared" si="5"/>
        <v>1</v>
      </c>
    </row>
    <row r="43" spans="1:29" ht="28.8">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22"/>
      <c r="Q43" s="1568" t="str">
        <f t="shared" si="11"/>
        <v>内部装修维护情况</v>
      </c>
      <c r="R43" s="1569" t="s">
        <v>8</v>
      </c>
      <c r="S43" s="1570">
        <f t="shared" si="12"/>
        <v>100</v>
      </c>
      <c r="T43" s="1569" t="s">
        <v>8</v>
      </c>
      <c r="U43" s="1570">
        <f t="shared" si="13"/>
        <v>100</v>
      </c>
      <c r="V43" s="1569" t="s">
        <v>8</v>
      </c>
      <c r="W43" s="1570">
        <f t="shared" si="14"/>
        <v>100</v>
      </c>
      <c r="X43" s="1563"/>
      <c r="Y43" s="3422"/>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22"/>
      <c r="Q44" s="1149">
        <f t="shared" si="11"/>
        <v>111</v>
      </c>
      <c r="R44" s="1564" t="s">
        <v>8</v>
      </c>
      <c r="S44" s="1565">
        <f t="shared" si="12"/>
        <v>100</v>
      </c>
      <c r="T44" s="1564" t="s">
        <v>8</v>
      </c>
      <c r="U44" s="1565">
        <f t="shared" si="13"/>
        <v>100</v>
      </c>
      <c r="V44" s="1564" t="s">
        <v>8</v>
      </c>
      <c r="W44" s="1565">
        <f t="shared" si="14"/>
        <v>100</v>
      </c>
      <c r="X44" s="1566"/>
      <c r="Y44" s="3422"/>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22"/>
      <c r="Q45" s="1568">
        <f t="shared" si="11"/>
        <v>111</v>
      </c>
      <c r="R45" s="1569" t="s">
        <v>8</v>
      </c>
      <c r="S45" s="1570">
        <f t="shared" si="12"/>
        <v>100</v>
      </c>
      <c r="T45" s="1569" t="s">
        <v>8</v>
      </c>
      <c r="U45" s="1570">
        <f t="shared" si="13"/>
        <v>100</v>
      </c>
      <c r="V45" s="1569" t="s">
        <v>8</v>
      </c>
      <c r="W45" s="1570">
        <f t="shared" si="14"/>
        <v>100</v>
      </c>
      <c r="X45" s="1563"/>
      <c r="Y45" s="3422"/>
      <c r="Z45" s="1571">
        <f t="shared" si="15"/>
        <v>111</v>
      </c>
      <c r="AA45" s="1572">
        <f t="shared" si="3"/>
        <v>1</v>
      </c>
      <c r="AB45" s="1572">
        <f t="shared" si="4"/>
        <v>1</v>
      </c>
      <c r="AC45" s="1572">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97"/>
      <c r="Q46" s="1568">
        <f t="shared" si="11"/>
        <v>111</v>
      </c>
      <c r="R46" s="1569" t="s">
        <v>8</v>
      </c>
      <c r="S46" s="1570">
        <f t="shared" si="12"/>
        <v>100</v>
      </c>
      <c r="T46" s="1569" t="s">
        <v>8</v>
      </c>
      <c r="U46" s="1570">
        <f t="shared" si="13"/>
        <v>100</v>
      </c>
      <c r="V46" s="1569" t="s">
        <v>8</v>
      </c>
      <c r="W46" s="1570">
        <f t="shared" si="14"/>
        <v>100</v>
      </c>
      <c r="X46" s="1563"/>
      <c r="Y46" s="3497"/>
      <c r="Z46" s="1571">
        <f t="shared" si="15"/>
        <v>111</v>
      </c>
      <c r="AA46" s="1572">
        <f t="shared" si="3"/>
        <v>1</v>
      </c>
      <c r="AB46" s="1572">
        <f t="shared" si="4"/>
        <v>1</v>
      </c>
      <c r="AC46" s="1572">
        <f t="shared" si="5"/>
        <v>1</v>
      </c>
    </row>
    <row r="47" spans="1:29" ht="14.4">
      <c r="A47" s="606" t="s">
        <v>732</v>
      </c>
      <c r="B47" s="885"/>
      <c r="C47" s="2648" t="s">
        <v>1</v>
      </c>
      <c r="D47" s="2649"/>
      <c r="E47" s="2650"/>
      <c r="F47" s="2651"/>
      <c r="G47" s="2652"/>
      <c r="H47" s="2653"/>
      <c r="I47" s="2650"/>
      <c r="J47" s="2653"/>
      <c r="K47" s="1607"/>
      <c r="L47" s="2141"/>
      <c r="M47" s="2142"/>
      <c r="N47" s="2131"/>
      <c r="O47" s="2142"/>
      <c r="P47" s="3417" t="str">
        <f>A47</f>
        <v>成交单价（元/平方米）</v>
      </c>
      <c r="Q47" s="3417"/>
      <c r="R47" s="3498">
        <f>E47</f>
        <v>0</v>
      </c>
      <c r="S47" s="3498"/>
      <c r="T47" s="3498">
        <f>G47</f>
        <v>0</v>
      </c>
      <c r="U47" s="3498"/>
      <c r="V47" s="3498">
        <f>I47</f>
        <v>0</v>
      </c>
      <c r="W47" s="3498"/>
      <c r="X47" s="1555"/>
      <c r="Y47" s="1577"/>
      <c r="Z47" s="1555"/>
      <c r="AA47" s="1555"/>
      <c r="AB47" s="1555"/>
      <c r="AC47" s="1555"/>
    </row>
    <row r="48" spans="1:29" ht="15" thickBot="1">
      <c r="A48" s="614" t="s">
        <v>2759</v>
      </c>
      <c r="B48" s="886"/>
      <c r="C48" s="2654" t="e">
        <f>R49</f>
        <v>#DIV/0!</v>
      </c>
      <c r="D48" s="2655"/>
      <c r="E48" s="2656" t="e">
        <f>R48</f>
        <v>#DIV/0!</v>
      </c>
      <c r="F48" s="2656"/>
      <c r="G48" s="2654" t="e">
        <f>T48</f>
        <v>#DIV/0!</v>
      </c>
      <c r="H48" s="2655"/>
      <c r="I48" s="2656" t="e">
        <f>V48</f>
        <v>#DIV/0!</v>
      </c>
      <c r="J48" s="2655"/>
      <c r="K48" s="1608"/>
      <c r="L48" s="2141"/>
      <c r="M48" s="2142"/>
      <c r="N48" s="2131"/>
      <c r="O48" s="2142"/>
      <c r="P48" s="3417" t="str">
        <f>A48</f>
        <v>比较价格（元/平方米）</v>
      </c>
      <c r="Q48" s="341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5"/>
      <c r="Y48" s="1555"/>
      <c r="Z48" s="1555"/>
      <c r="AA48" s="1555"/>
      <c r="AB48" s="1555"/>
      <c r="AC48" s="1555"/>
    </row>
    <row r="49" spans="1:29" ht="15" thickBot="1">
      <c r="A49" s="620" t="s">
        <v>2930</v>
      </c>
      <c r="B49" s="621"/>
      <c r="C49" s="2657" t="e">
        <f>R49</f>
        <v>#DIV/0!</v>
      </c>
      <c r="D49" s="2657"/>
      <c r="E49" s="2657"/>
      <c r="F49" s="2657"/>
      <c r="G49" s="2657"/>
      <c r="H49" s="2657"/>
      <c r="I49" s="2657"/>
      <c r="J49" s="2657"/>
      <c r="K49" s="1609"/>
      <c r="L49" s="2141"/>
      <c r="M49" s="2142"/>
      <c r="N49" s="2131"/>
      <c r="O49" s="2142"/>
      <c r="P49" s="3439" t="str">
        <f>A49</f>
        <v>估价对象XX用房的比较价格（楼面单价，元/平方米）</v>
      </c>
      <c r="Q49" s="3440"/>
      <c r="R49" s="3499" t="e">
        <f>IF(F1="售价",ROUND(AVERAGE(R48:V48),0),ROUND(AVERAGE(R48:V48),1))</f>
        <v>#DIV/0!</v>
      </c>
      <c r="S49" s="3499"/>
      <c r="T49" s="3499"/>
      <c r="U49" s="3499"/>
      <c r="V49" s="3499"/>
      <c r="W49" s="349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3"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ht="14.4">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4.4"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18"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517</v>
      </c>
      <c r="B4" s="512"/>
      <c r="C4" s="3423" t="s">
        <v>518</v>
      </c>
      <c r="D4" s="3424"/>
      <c r="E4" s="3448" t="s">
        <v>519</v>
      </c>
      <c r="F4" s="3449"/>
      <c r="G4" s="3423" t="s">
        <v>520</v>
      </c>
      <c r="H4" s="3424"/>
      <c r="I4" s="3423" t="s">
        <v>521</v>
      </c>
      <c r="J4" s="3424"/>
      <c r="K4" s="513" t="s">
        <v>522</v>
      </c>
      <c r="L4" s="2130"/>
      <c r="M4" s="2131"/>
      <c r="N4" s="2131"/>
      <c r="O4" s="2131"/>
      <c r="P4" s="3523" t="s">
        <v>523</v>
      </c>
      <c r="Q4" s="3426"/>
      <c r="R4" s="3411" t="s">
        <v>519</v>
      </c>
      <c r="S4" s="3412"/>
      <c r="T4" s="3411" t="s">
        <v>520</v>
      </c>
      <c r="U4" s="3412"/>
      <c r="V4" s="3431" t="s">
        <v>521</v>
      </c>
      <c r="W4" s="3431"/>
      <c r="X4" s="1563"/>
      <c r="Y4" s="3411" t="s">
        <v>523</v>
      </c>
      <c r="Z4" s="3412"/>
      <c r="AA4" s="3406" t="s">
        <v>519</v>
      </c>
      <c r="AB4" s="3406" t="s">
        <v>520</v>
      </c>
      <c r="AC4" s="3406" t="s">
        <v>521</v>
      </c>
    </row>
    <row r="5" spans="1:29">
      <c r="A5" s="514"/>
      <c r="B5" s="515"/>
      <c r="C5" s="3434" t="s">
        <v>2924</v>
      </c>
      <c r="D5" s="3435"/>
      <c r="E5" s="3450" t="s">
        <v>2925</v>
      </c>
      <c r="F5" s="3451"/>
      <c r="G5" s="3434" t="s">
        <v>2926</v>
      </c>
      <c r="H5" s="3435"/>
      <c r="I5" s="3434" t="s">
        <v>2927</v>
      </c>
      <c r="J5" s="3435"/>
      <c r="K5" s="513"/>
      <c r="L5" s="2130"/>
      <c r="M5" s="2131"/>
      <c r="N5" s="2131"/>
      <c r="O5" s="2131"/>
      <c r="P5" s="3524"/>
      <c r="Q5" s="3428"/>
      <c r="R5" s="3413"/>
      <c r="S5" s="3414"/>
      <c r="T5" s="3413"/>
      <c r="U5" s="3414"/>
      <c r="V5" s="3431"/>
      <c r="W5" s="3431"/>
      <c r="X5" s="1563"/>
      <c r="Y5" s="3413"/>
      <c r="Z5" s="3414"/>
      <c r="AA5" s="3407"/>
      <c r="AB5" s="3407"/>
      <c r="AC5" s="3407"/>
    </row>
    <row r="6" spans="1:29" ht="15" thickBot="1">
      <c r="A6" s="516"/>
      <c r="B6" s="517"/>
      <c r="C6" s="3452" t="s">
        <v>2928</v>
      </c>
      <c r="D6" s="3433"/>
      <c r="E6" s="3453" t="s">
        <v>2928</v>
      </c>
      <c r="F6" s="3454"/>
      <c r="G6" s="3452" t="s">
        <v>2928</v>
      </c>
      <c r="H6" s="3433"/>
      <c r="I6" s="3452" t="s">
        <v>2928</v>
      </c>
      <c r="J6" s="3433"/>
      <c r="K6" s="513" t="s">
        <v>524</v>
      </c>
      <c r="L6" s="2130"/>
      <c r="M6" s="2131"/>
      <c r="N6" s="2131"/>
      <c r="O6" s="2131"/>
      <c r="P6" s="3525"/>
      <c r="Q6" s="3430"/>
      <c r="R6" s="3413"/>
      <c r="S6" s="3414"/>
      <c r="T6" s="3415"/>
      <c r="U6" s="3416"/>
      <c r="V6" s="3431"/>
      <c r="W6" s="3431"/>
      <c r="X6" s="1563"/>
      <c r="Y6" s="3415"/>
      <c r="Z6" s="3416"/>
      <c r="AA6" s="3408"/>
      <c r="AB6" s="3408"/>
      <c r="AC6" s="3408"/>
    </row>
    <row r="7" spans="1:29" s="1218" customFormat="1" ht="15" thickBot="1">
      <c r="A7" s="2933"/>
      <c r="B7" s="2940" t="s">
        <v>525</v>
      </c>
      <c r="C7" s="518">
        <f>'数据-取费表'!B2</f>
        <v>43353</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18" t="s">
        <v>526</v>
      </c>
      <c r="Q7" s="3418"/>
      <c r="R7" s="1564" t="s">
        <v>8</v>
      </c>
      <c r="S7" s="1565">
        <f t="shared" ref="S7:S15" si="0">F7</f>
        <v>0</v>
      </c>
      <c r="T7" s="1564" t="s">
        <v>8</v>
      </c>
      <c r="U7" s="1565">
        <f t="shared" ref="U7:U15" si="1">H7</f>
        <v>0</v>
      </c>
      <c r="V7" s="1564" t="s">
        <v>8</v>
      </c>
      <c r="W7" s="1565">
        <f t="shared" ref="W7:W15" si="2">J7</f>
        <v>0</v>
      </c>
      <c r="X7" s="1566"/>
      <c r="Y7" s="3409" t="s">
        <v>526</v>
      </c>
      <c r="Z7" s="3410"/>
      <c r="AA7" s="1567" t="e">
        <f>D7/F7</f>
        <v>#DIV/0!</v>
      </c>
      <c r="AB7" s="1567" t="e">
        <f>D7/H7</f>
        <v>#DIV/0!</v>
      </c>
      <c r="AC7" s="1567" t="e">
        <f>D7/J7</f>
        <v>#DIV/0!</v>
      </c>
    </row>
    <row r="8" spans="1:29" s="1218" customFormat="1" ht="1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18" t="s">
        <v>529</v>
      </c>
      <c r="Q8" s="3410"/>
      <c r="R8" s="1564" t="s">
        <v>8</v>
      </c>
      <c r="S8" s="1565">
        <f t="shared" si="0"/>
        <v>0</v>
      </c>
      <c r="T8" s="1564" t="s">
        <v>8</v>
      </c>
      <c r="U8" s="1565">
        <f t="shared" si="1"/>
        <v>0</v>
      </c>
      <c r="V8" s="1564" t="s">
        <v>8</v>
      </c>
      <c r="W8" s="1565">
        <f t="shared" si="2"/>
        <v>0</v>
      </c>
      <c r="X8" s="1566"/>
      <c r="Y8" s="3409" t="s">
        <v>529</v>
      </c>
      <c r="Z8" s="3410"/>
      <c r="AA8" s="1567" t="e">
        <f t="shared" ref="AA8:AA47" si="3">D8/F8</f>
        <v>#DIV/0!</v>
      </c>
      <c r="AB8" s="1567" t="e">
        <f t="shared" ref="AB8:AB47" si="4">D8/H8</f>
        <v>#DIV/0!</v>
      </c>
      <c r="AC8" s="1567" t="e">
        <f t="shared" ref="AC8:AC47" si="5">D8/J8</f>
        <v>#DIV/0!</v>
      </c>
    </row>
    <row r="9" spans="1:29" s="1218" customFormat="1" ht="14.4">
      <c r="A9" s="2935"/>
      <c r="B9" s="2942" t="s">
        <v>2755</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17" t="s">
        <v>531</v>
      </c>
      <c r="Q9" s="1149" t="str">
        <f t="shared" ref="Q9:Q15" si="6">B9</f>
        <v>用途</v>
      </c>
      <c r="R9" s="1564" t="s">
        <v>8</v>
      </c>
      <c r="S9" s="1565">
        <f t="shared" si="0"/>
        <v>100</v>
      </c>
      <c r="T9" s="1564" t="s">
        <v>8</v>
      </c>
      <c r="U9" s="1565">
        <f t="shared" si="1"/>
        <v>100</v>
      </c>
      <c r="V9" s="1564" t="s">
        <v>8</v>
      </c>
      <c r="W9" s="1565">
        <f t="shared" si="2"/>
        <v>100</v>
      </c>
      <c r="X9" s="1566"/>
      <c r="Y9" s="3374"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17"/>
      <c r="Q10" s="1149" t="str">
        <f t="shared" si="6"/>
        <v>土地使用年限（年）</v>
      </c>
      <c r="R10" s="1564" t="s">
        <v>8</v>
      </c>
      <c r="S10" s="1565">
        <f t="shared" si="0"/>
        <v>100</v>
      </c>
      <c r="T10" s="1564" t="s">
        <v>8</v>
      </c>
      <c r="U10" s="1565">
        <f t="shared" si="1"/>
        <v>100</v>
      </c>
      <c r="V10" s="1564" t="s">
        <v>8</v>
      </c>
      <c r="W10" s="1565">
        <f t="shared" si="2"/>
        <v>100</v>
      </c>
      <c r="X10" s="1566"/>
      <c r="Y10" s="3374"/>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17"/>
      <c r="Q11" s="1149" t="str">
        <f t="shared" si="6"/>
        <v>容积率</v>
      </c>
      <c r="R11" s="1564" t="s">
        <v>8</v>
      </c>
      <c r="S11" s="1565" t="e">
        <f t="shared" si="0"/>
        <v>#N/A</v>
      </c>
      <c r="T11" s="1564" t="s">
        <v>8</v>
      </c>
      <c r="U11" s="1565" t="e">
        <f t="shared" si="1"/>
        <v>#N/A</v>
      </c>
      <c r="V11" s="1564" t="s">
        <v>8</v>
      </c>
      <c r="W11" s="1565" t="e">
        <f t="shared" si="2"/>
        <v>#N/A</v>
      </c>
      <c r="X11" s="1566"/>
      <c r="Y11" s="3374"/>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17"/>
      <c r="Q12" s="1149">
        <f t="shared" si="6"/>
        <v>111</v>
      </c>
      <c r="R12" s="1564" t="s">
        <v>8</v>
      </c>
      <c r="S12" s="1565">
        <f t="shared" si="0"/>
        <v>100</v>
      </c>
      <c r="T12" s="1564" t="s">
        <v>8</v>
      </c>
      <c r="U12" s="1565">
        <f t="shared" si="1"/>
        <v>100</v>
      </c>
      <c r="V12" s="1564" t="s">
        <v>8</v>
      </c>
      <c r="W12" s="1565">
        <f t="shared" si="2"/>
        <v>100</v>
      </c>
      <c r="X12" s="1566"/>
      <c r="Y12" s="3374"/>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17"/>
      <c r="Q13" s="1149">
        <f t="shared" si="6"/>
        <v>111</v>
      </c>
      <c r="R13" s="1564" t="s">
        <v>8</v>
      </c>
      <c r="S13" s="1565">
        <f t="shared" si="0"/>
        <v>100</v>
      </c>
      <c r="T13" s="1564" t="s">
        <v>8</v>
      </c>
      <c r="U13" s="1565">
        <f t="shared" si="1"/>
        <v>100</v>
      </c>
      <c r="V13" s="1564" t="s">
        <v>8</v>
      </c>
      <c r="W13" s="1565">
        <f t="shared" si="2"/>
        <v>100</v>
      </c>
      <c r="X13" s="1566"/>
      <c r="Y13" s="3374"/>
      <c r="Z13" s="1148">
        <f t="shared" si="7"/>
        <v>111</v>
      </c>
      <c r="AA13" s="1567">
        <f t="shared" si="3"/>
        <v>1</v>
      </c>
      <c r="AB13" s="1567">
        <f t="shared" si="4"/>
        <v>1</v>
      </c>
      <c r="AC13" s="1567">
        <f t="shared" si="5"/>
        <v>1</v>
      </c>
    </row>
    <row r="14" spans="1:29" ht="15.6"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17"/>
      <c r="Q14" s="1149">
        <f t="shared" si="6"/>
        <v>111</v>
      </c>
      <c r="R14" s="1564" t="s">
        <v>8</v>
      </c>
      <c r="S14" s="1565">
        <f t="shared" si="0"/>
        <v>100</v>
      </c>
      <c r="T14" s="1564" t="s">
        <v>8</v>
      </c>
      <c r="U14" s="1565">
        <f t="shared" si="1"/>
        <v>100</v>
      </c>
      <c r="V14" s="1564" t="s">
        <v>8</v>
      </c>
      <c r="W14" s="1565">
        <f t="shared" si="2"/>
        <v>100</v>
      </c>
      <c r="X14" s="1566"/>
      <c r="Y14" s="3374"/>
      <c r="Z14" s="1148">
        <f t="shared" si="7"/>
        <v>111</v>
      </c>
      <c r="AA14" s="1567">
        <f t="shared" si="3"/>
        <v>1</v>
      </c>
      <c r="AB14" s="1567">
        <f t="shared" si="4"/>
        <v>1</v>
      </c>
      <c r="AC14" s="1567">
        <f t="shared" si="5"/>
        <v>1</v>
      </c>
    </row>
    <row r="15" spans="1:29" ht="15">
      <c r="A15" s="2931" t="s">
        <v>2753</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19" t="s">
        <v>536</v>
      </c>
      <c r="Q15" s="1568" t="str">
        <f t="shared" si="6"/>
        <v>办公集聚程度</v>
      </c>
      <c r="R15" s="1569" t="s">
        <v>8</v>
      </c>
      <c r="S15" s="1570">
        <f t="shared" si="0"/>
        <v>100</v>
      </c>
      <c r="T15" s="1569" t="s">
        <v>8</v>
      </c>
      <c r="U15" s="1570">
        <f t="shared" si="1"/>
        <v>100</v>
      </c>
      <c r="V15" s="1569" t="s">
        <v>8</v>
      </c>
      <c r="W15" s="1570">
        <f t="shared" si="2"/>
        <v>100</v>
      </c>
      <c r="X15" s="1563"/>
      <c r="Y15" s="3419"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20"/>
      <c r="Q16" s="1568"/>
      <c r="R16" s="1569"/>
      <c r="S16" s="1570"/>
      <c r="T16" s="1569"/>
      <c r="U16" s="1570"/>
      <c r="V16" s="1569"/>
      <c r="W16" s="1570"/>
      <c r="X16" s="1563"/>
      <c r="Y16" s="3420"/>
      <c r="Z16" s="1571"/>
      <c r="AA16" s="1572">
        <v>1</v>
      </c>
      <c r="AB16" s="1572">
        <v>1</v>
      </c>
      <c r="AC16" s="1572">
        <v>1</v>
      </c>
    </row>
    <row r="17" spans="1:29" ht="138">
      <c r="A17" s="531"/>
      <c r="B17" s="559" t="s">
        <v>292</v>
      </c>
      <c r="C17" s="572" t="str">
        <f>估价对象房地状况!C6</f>
        <v>估价对象周边道路状况、公共交通通达情况：有071、003、030、36等多路公交车，停车便捷程度，综合评价交通便捷度较好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20"/>
      <c r="Q17" s="1568" t="str">
        <f>B17</f>
        <v>交通便捷度</v>
      </c>
      <c r="R17" s="1569" t="s">
        <v>8</v>
      </c>
      <c r="S17" s="1570">
        <f>F17</f>
        <v>100</v>
      </c>
      <c r="T17" s="1569" t="s">
        <v>8</v>
      </c>
      <c r="U17" s="1570">
        <f>H17</f>
        <v>100</v>
      </c>
      <c r="V17" s="1569" t="s">
        <v>8</v>
      </c>
      <c r="W17" s="1570">
        <f>J17</f>
        <v>100</v>
      </c>
      <c r="X17" s="1563"/>
      <c r="Y17" s="3420"/>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20"/>
      <c r="Q18" s="1568"/>
      <c r="R18" s="1569"/>
      <c r="S18" s="1570"/>
      <c r="T18" s="1569"/>
      <c r="U18" s="1570"/>
      <c r="V18" s="1569"/>
      <c r="W18" s="1570"/>
      <c r="X18" s="1563"/>
      <c r="Y18" s="3420"/>
      <c r="Z18" s="1571"/>
      <c r="AA18" s="1572">
        <v>1</v>
      </c>
      <c r="AB18" s="1572">
        <v>1</v>
      </c>
      <c r="AC18" s="1572">
        <v>1</v>
      </c>
    </row>
    <row r="19" spans="1:29" ht="69">
      <c r="A19" s="531"/>
      <c r="B19" s="2624" t="s">
        <v>2545</v>
      </c>
      <c r="C19" s="572" t="str">
        <f>估价对象房地状况!C7</f>
        <v>估价对象所在区域公共配套设施齐备情况较好：中山市实验中学</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20"/>
      <c r="Q19" s="1568" t="str">
        <f>B19</f>
        <v>公共配套设施</v>
      </c>
      <c r="R19" s="1569" t="s">
        <v>8</v>
      </c>
      <c r="S19" s="1570">
        <f>F19</f>
        <v>100</v>
      </c>
      <c r="T19" s="1569" t="s">
        <v>8</v>
      </c>
      <c r="U19" s="1570">
        <f>H19</f>
        <v>100</v>
      </c>
      <c r="V19" s="1569" t="s">
        <v>8</v>
      </c>
      <c r="W19" s="1570">
        <f>J19</f>
        <v>100</v>
      </c>
      <c r="X19" s="1563"/>
      <c r="Y19" s="3420"/>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20"/>
      <c r="Q20" s="1568"/>
      <c r="R20" s="1569"/>
      <c r="S20" s="1570"/>
      <c r="T20" s="1569"/>
      <c r="U20" s="1570"/>
      <c r="V20" s="1569"/>
      <c r="W20" s="1570"/>
      <c r="X20" s="1563"/>
      <c r="Y20" s="3420"/>
      <c r="Z20" s="1571"/>
      <c r="AA20" s="1572">
        <v>1</v>
      </c>
      <c r="AB20" s="1572">
        <v>1</v>
      </c>
      <c r="AC20" s="1572">
        <v>1</v>
      </c>
    </row>
    <row r="21" spans="1:29" ht="41.4">
      <c r="A21" s="531"/>
      <c r="B21" s="2612" t="s">
        <v>2557</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20"/>
      <c r="Q21" s="2600" t="str">
        <f>B21</f>
        <v>基础设施水平</v>
      </c>
      <c r="R21" s="1569" t="s">
        <v>8</v>
      </c>
      <c r="S21" s="1570">
        <f>F21</f>
        <v>100</v>
      </c>
      <c r="T21" s="1569" t="s">
        <v>8</v>
      </c>
      <c r="U21" s="1570">
        <f>H21</f>
        <v>100</v>
      </c>
      <c r="V21" s="1569" t="s">
        <v>8</v>
      </c>
      <c r="W21" s="1570">
        <f>J21</f>
        <v>100</v>
      </c>
      <c r="X21" s="2602"/>
      <c r="Y21" s="3420"/>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20"/>
      <c r="Q22" s="2600"/>
      <c r="R22" s="1569"/>
      <c r="S22" s="1570"/>
      <c r="T22" s="1569"/>
      <c r="U22" s="1570"/>
      <c r="V22" s="1569"/>
      <c r="W22" s="1570"/>
      <c r="X22" s="2602"/>
      <c r="Y22" s="3420"/>
      <c r="Z22" s="2601"/>
      <c r="AA22" s="1572">
        <v>1</v>
      </c>
      <c r="AB22" s="1572">
        <v>1</v>
      </c>
      <c r="AC22" s="1572">
        <v>1</v>
      </c>
    </row>
    <row r="23" spans="1:29" ht="69">
      <c r="A23" s="531"/>
      <c r="B23" s="559" t="s">
        <v>774</v>
      </c>
      <c r="C23" s="572" t="str">
        <f>估价对象房地状况!C9</f>
        <v>周边2公里区域自然环境：；人文环境：；综合评价环境状况较好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20"/>
      <c r="Q23" s="1568" t="str">
        <f>B23</f>
        <v>环境质量</v>
      </c>
      <c r="R23" s="1569" t="s">
        <v>8</v>
      </c>
      <c r="S23" s="1570">
        <f>F23</f>
        <v>100</v>
      </c>
      <c r="T23" s="1569" t="s">
        <v>8</v>
      </c>
      <c r="U23" s="1570">
        <f>H23</f>
        <v>100</v>
      </c>
      <c r="V23" s="1569" t="s">
        <v>8</v>
      </c>
      <c r="W23" s="1570">
        <f>J23</f>
        <v>100</v>
      </c>
      <c r="X23" s="1563"/>
      <c r="Y23" s="3420"/>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20"/>
      <c r="Q24" s="1568"/>
      <c r="R24" s="1569"/>
      <c r="S24" s="1570"/>
      <c r="T24" s="1569"/>
      <c r="U24" s="1570"/>
      <c r="V24" s="1569"/>
      <c r="W24" s="1570"/>
      <c r="X24" s="1563"/>
      <c r="Y24" s="3420"/>
      <c r="Z24" s="1571"/>
      <c r="AA24" s="1572">
        <v>1</v>
      </c>
      <c r="AB24" s="1572">
        <v>1</v>
      </c>
      <c r="AC24" s="1572">
        <v>1</v>
      </c>
    </row>
    <row r="25" spans="1:29" ht="28.8">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20"/>
      <c r="Q25" s="1568" t="str">
        <f>B25</f>
        <v>毗邻道路的类型与等级</v>
      </c>
      <c r="R25" s="1569" t="s">
        <v>8</v>
      </c>
      <c r="S25" s="1570">
        <f>F25</f>
        <v>100</v>
      </c>
      <c r="T25" s="1569" t="s">
        <v>8</v>
      </c>
      <c r="U25" s="1570">
        <f>H25</f>
        <v>100</v>
      </c>
      <c r="V25" s="1569" t="s">
        <v>8</v>
      </c>
      <c r="W25" s="1570">
        <f>J25</f>
        <v>100</v>
      </c>
      <c r="X25" s="1563"/>
      <c r="Y25" s="3420"/>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20"/>
      <c r="Q26" s="1568"/>
      <c r="R26" s="1569"/>
      <c r="S26" s="1570"/>
      <c r="T26" s="1569"/>
      <c r="U26" s="1570"/>
      <c r="V26" s="1569"/>
      <c r="W26" s="1570"/>
      <c r="X26" s="1563"/>
      <c r="Y26" s="3420"/>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20"/>
      <c r="Q27" s="1568" t="str">
        <f t="shared" ref="Q27:Q47" si="11">B27</f>
        <v>楼层</v>
      </c>
      <c r="R27" s="1569" t="s">
        <v>8</v>
      </c>
      <c r="S27" s="1570">
        <f>F27</f>
        <v>100</v>
      </c>
      <c r="T27" s="1569" t="s">
        <v>8</v>
      </c>
      <c r="U27" s="1570">
        <f>H27</f>
        <v>100</v>
      </c>
      <c r="V27" s="1569" t="s">
        <v>8</v>
      </c>
      <c r="W27" s="1570">
        <f>J27</f>
        <v>100</v>
      </c>
      <c r="X27" s="1563"/>
      <c r="Y27" s="3420"/>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20"/>
      <c r="Q28" s="1149" t="str">
        <f t="shared" si="11"/>
        <v>朝向</v>
      </c>
      <c r="R28" s="1564" t="s">
        <v>8</v>
      </c>
      <c r="S28" s="1565">
        <f>F28</f>
        <v>100</v>
      </c>
      <c r="T28" s="1564" t="s">
        <v>8</v>
      </c>
      <c r="U28" s="1565">
        <f>H28</f>
        <v>100</v>
      </c>
      <c r="V28" s="1564" t="s">
        <v>8</v>
      </c>
      <c r="W28" s="1565">
        <f>J28</f>
        <v>100</v>
      </c>
      <c r="X28" s="1566"/>
      <c r="Y28" s="3420"/>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20"/>
      <c r="Q29" s="1568">
        <f t="shared" si="11"/>
        <v>111</v>
      </c>
      <c r="R29" s="1569" t="s">
        <v>8</v>
      </c>
      <c r="S29" s="1570">
        <f t="shared" ref="S29:S47" si="12">F29</f>
        <v>100</v>
      </c>
      <c r="T29" s="1569" t="s">
        <v>8</v>
      </c>
      <c r="U29" s="1570">
        <f t="shared" ref="U29:U47" si="13">H29</f>
        <v>100</v>
      </c>
      <c r="V29" s="1569" t="s">
        <v>8</v>
      </c>
      <c r="W29" s="1570">
        <f t="shared" ref="W29:W47" si="14">J29</f>
        <v>100</v>
      </c>
      <c r="X29" s="1563"/>
      <c r="Y29" s="3420"/>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20"/>
      <c r="Q30" s="1568">
        <f t="shared" si="11"/>
        <v>111</v>
      </c>
      <c r="R30" s="1569" t="s">
        <v>8</v>
      </c>
      <c r="S30" s="1570">
        <f t="shared" si="12"/>
        <v>100</v>
      </c>
      <c r="T30" s="1569" t="s">
        <v>8</v>
      </c>
      <c r="U30" s="1570">
        <f t="shared" si="13"/>
        <v>100</v>
      </c>
      <c r="V30" s="1569" t="s">
        <v>8</v>
      </c>
      <c r="W30" s="1570">
        <f t="shared" si="14"/>
        <v>100</v>
      </c>
      <c r="X30" s="1563"/>
      <c r="Y30" s="3420"/>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20"/>
      <c r="Q31" s="1568">
        <f t="shared" si="11"/>
        <v>111</v>
      </c>
      <c r="R31" s="1569" t="s">
        <v>8</v>
      </c>
      <c r="S31" s="1570">
        <f t="shared" si="12"/>
        <v>100</v>
      </c>
      <c r="T31" s="1569" t="s">
        <v>8</v>
      </c>
      <c r="U31" s="1570">
        <f t="shared" si="13"/>
        <v>100</v>
      </c>
      <c r="V31" s="1569" t="s">
        <v>8</v>
      </c>
      <c r="W31" s="1570">
        <f t="shared" si="14"/>
        <v>100</v>
      </c>
      <c r="X31" s="1563"/>
      <c r="Y31" s="3420"/>
      <c r="Z31" s="1571">
        <f t="shared" si="15"/>
        <v>111</v>
      </c>
      <c r="AA31" s="1572">
        <f t="shared" si="3"/>
        <v>1</v>
      </c>
      <c r="AB31" s="1572">
        <f t="shared" si="4"/>
        <v>1</v>
      </c>
      <c r="AC31" s="1572">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20"/>
      <c r="Q32" s="1568">
        <f t="shared" si="11"/>
        <v>111</v>
      </c>
      <c r="R32" s="1569" t="s">
        <v>8</v>
      </c>
      <c r="S32" s="1570">
        <f t="shared" si="12"/>
        <v>100</v>
      </c>
      <c r="T32" s="1569" t="s">
        <v>8</v>
      </c>
      <c r="U32" s="1570">
        <f t="shared" si="13"/>
        <v>100</v>
      </c>
      <c r="V32" s="1569" t="s">
        <v>8</v>
      </c>
      <c r="W32" s="1570">
        <f t="shared" si="14"/>
        <v>100</v>
      </c>
      <c r="X32" s="1563"/>
      <c r="Y32" s="3420"/>
      <c r="Z32" s="1571">
        <f t="shared" si="15"/>
        <v>111</v>
      </c>
      <c r="AA32" s="1572">
        <f t="shared" si="3"/>
        <v>1</v>
      </c>
      <c r="AB32" s="1572">
        <f t="shared" si="4"/>
        <v>1</v>
      </c>
      <c r="AC32" s="1572">
        <f t="shared" si="5"/>
        <v>1</v>
      </c>
    </row>
    <row r="33" spans="1:29" ht="15">
      <c r="A33" s="2928" t="s">
        <v>2754</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21" t="s">
        <v>546</v>
      </c>
      <c r="Q33" s="1568" t="str">
        <f t="shared" si="11"/>
        <v>建筑类型</v>
      </c>
      <c r="R33" s="1569" t="s">
        <v>8</v>
      </c>
      <c r="S33" s="1570">
        <f t="shared" si="12"/>
        <v>100</v>
      </c>
      <c r="T33" s="1569" t="s">
        <v>8</v>
      </c>
      <c r="U33" s="1570">
        <f t="shared" si="13"/>
        <v>100</v>
      </c>
      <c r="V33" s="1569" t="s">
        <v>8</v>
      </c>
      <c r="W33" s="1570">
        <f t="shared" si="14"/>
        <v>100</v>
      </c>
      <c r="X33" s="1563"/>
      <c r="Y33" s="3422"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22"/>
      <c r="Q34" s="1601" t="str">
        <f t="shared" si="11"/>
        <v>项目建筑规模</v>
      </c>
      <c r="R34" s="1573" t="s">
        <v>8</v>
      </c>
      <c r="S34" s="1574" t="e">
        <f t="shared" si="12"/>
        <v>#N/A</v>
      </c>
      <c r="T34" s="1573" t="s">
        <v>8</v>
      </c>
      <c r="U34" s="1574" t="e">
        <f t="shared" si="13"/>
        <v>#N/A</v>
      </c>
      <c r="V34" s="1573" t="s">
        <v>8</v>
      </c>
      <c r="W34" s="1574" t="e">
        <f t="shared" si="14"/>
        <v>#N/A</v>
      </c>
      <c r="X34" s="1575"/>
      <c r="Y34" s="3422"/>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22"/>
      <c r="Q35" s="1568" t="str">
        <f t="shared" si="11"/>
        <v>建筑结构</v>
      </c>
      <c r="R35" s="1569" t="s">
        <v>8</v>
      </c>
      <c r="S35" s="1570">
        <f t="shared" si="12"/>
        <v>100</v>
      </c>
      <c r="T35" s="1569" t="s">
        <v>8</v>
      </c>
      <c r="U35" s="1570">
        <f t="shared" si="13"/>
        <v>100</v>
      </c>
      <c r="V35" s="1569" t="s">
        <v>8</v>
      </c>
      <c r="W35" s="1570">
        <f t="shared" si="14"/>
        <v>100</v>
      </c>
      <c r="X35" s="1563"/>
      <c r="Y35" s="3422"/>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22"/>
      <c r="Q36" s="1568" t="str">
        <f t="shared" si="11"/>
        <v>公共部分装修</v>
      </c>
      <c r="R36" s="1569" t="s">
        <v>8</v>
      </c>
      <c r="S36" s="1570">
        <f t="shared" si="12"/>
        <v>100</v>
      </c>
      <c r="T36" s="1569" t="s">
        <v>8</v>
      </c>
      <c r="U36" s="1570">
        <f t="shared" si="13"/>
        <v>100</v>
      </c>
      <c r="V36" s="1569" t="s">
        <v>8</v>
      </c>
      <c r="W36" s="1570">
        <f t="shared" si="14"/>
        <v>100</v>
      </c>
      <c r="X36" s="1563"/>
      <c r="Y36" s="3422"/>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22"/>
      <c r="Q37" s="1568" t="str">
        <f t="shared" si="11"/>
        <v>成新度</v>
      </c>
      <c r="R37" s="1569" t="s">
        <v>8</v>
      </c>
      <c r="S37" s="1570" t="e">
        <f t="shared" si="12"/>
        <v>#N/A</v>
      </c>
      <c r="T37" s="1569" t="s">
        <v>8</v>
      </c>
      <c r="U37" s="1570" t="e">
        <f t="shared" si="13"/>
        <v>#N/A</v>
      </c>
      <c r="V37" s="1569" t="s">
        <v>8</v>
      </c>
      <c r="W37" s="1570" t="e">
        <f t="shared" si="14"/>
        <v>#N/A</v>
      </c>
      <c r="X37" s="1563"/>
      <c r="Y37" s="3422"/>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22"/>
      <c r="Q38" s="1149" t="str">
        <f t="shared" si="11"/>
        <v>写字楼等级</v>
      </c>
      <c r="R38" s="1564" t="s">
        <v>8</v>
      </c>
      <c r="S38" s="1565">
        <f t="shared" si="12"/>
        <v>100</v>
      </c>
      <c r="T38" s="1564" t="s">
        <v>8</v>
      </c>
      <c r="U38" s="1565">
        <f t="shared" si="13"/>
        <v>100</v>
      </c>
      <c r="V38" s="1564" t="s">
        <v>8</v>
      </c>
      <c r="W38" s="1565">
        <f t="shared" si="14"/>
        <v>100</v>
      </c>
      <c r="X38" s="1566"/>
      <c r="Y38" s="3422"/>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22" t="s">
        <v>546</v>
      </c>
      <c r="Q39" s="1568" t="str">
        <f t="shared" si="11"/>
        <v>物业管理</v>
      </c>
      <c r="R39" s="1569" t="s">
        <v>8</v>
      </c>
      <c r="S39" s="1570">
        <f t="shared" si="12"/>
        <v>100</v>
      </c>
      <c r="T39" s="1569" t="s">
        <v>8</v>
      </c>
      <c r="U39" s="1570">
        <f t="shared" si="13"/>
        <v>100</v>
      </c>
      <c r="V39" s="1569" t="s">
        <v>8</v>
      </c>
      <c r="W39" s="1570">
        <f t="shared" si="14"/>
        <v>100</v>
      </c>
      <c r="X39" s="1563"/>
      <c r="Y39" s="3422" t="s">
        <v>546</v>
      </c>
      <c r="Z39" s="1571" t="str">
        <f t="shared" si="15"/>
        <v>物业管理</v>
      </c>
      <c r="AA39" s="1572">
        <f t="shared" si="3"/>
        <v>1</v>
      </c>
      <c r="AB39" s="1572">
        <f t="shared" si="4"/>
        <v>1</v>
      </c>
      <c r="AC39" s="1572">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22"/>
      <c r="Q40" s="1568" t="str">
        <f t="shared" si="11"/>
        <v>市政基础设施</v>
      </c>
      <c r="R40" s="1569" t="s">
        <v>8</v>
      </c>
      <c r="S40" s="1570">
        <f t="shared" si="12"/>
        <v>100</v>
      </c>
      <c r="T40" s="1569" t="s">
        <v>8</v>
      </c>
      <c r="U40" s="1570">
        <f t="shared" si="13"/>
        <v>100</v>
      </c>
      <c r="V40" s="1569" t="s">
        <v>8</v>
      </c>
      <c r="W40" s="1570">
        <f t="shared" si="14"/>
        <v>100</v>
      </c>
      <c r="X40" s="1563"/>
      <c r="Y40" s="3422"/>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22"/>
      <c r="Q41" s="1568" t="str">
        <f t="shared" si="11"/>
        <v>层高</v>
      </c>
      <c r="R41" s="1569" t="s">
        <v>8</v>
      </c>
      <c r="S41" s="1570">
        <f t="shared" si="12"/>
        <v>100</v>
      </c>
      <c r="T41" s="1569" t="s">
        <v>8</v>
      </c>
      <c r="U41" s="1570">
        <f t="shared" si="13"/>
        <v>100</v>
      </c>
      <c r="V41" s="1569" t="s">
        <v>8</v>
      </c>
      <c r="W41" s="1570">
        <f t="shared" si="14"/>
        <v>100</v>
      </c>
      <c r="X41" s="1563"/>
      <c r="Y41" s="3422"/>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22"/>
      <c r="Q42" s="1601" t="str">
        <f t="shared" si="11"/>
        <v>单套建筑面积</v>
      </c>
      <c r="R42" s="1573" t="s">
        <v>8</v>
      </c>
      <c r="S42" s="1574">
        <f t="shared" si="12"/>
        <v>100</v>
      </c>
      <c r="T42" s="1573" t="s">
        <v>8</v>
      </c>
      <c r="U42" s="1574">
        <f t="shared" si="13"/>
        <v>100</v>
      </c>
      <c r="V42" s="1573" t="s">
        <v>8</v>
      </c>
      <c r="W42" s="1574">
        <f t="shared" si="14"/>
        <v>100</v>
      </c>
      <c r="X42" s="1575"/>
      <c r="Y42" s="3422"/>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22"/>
      <c r="Q43" s="1568" t="str">
        <f t="shared" si="11"/>
        <v>内部装修</v>
      </c>
      <c r="R43" s="1569" t="s">
        <v>8</v>
      </c>
      <c r="S43" s="1570">
        <f t="shared" si="12"/>
        <v>100</v>
      </c>
      <c r="T43" s="1569" t="s">
        <v>8</v>
      </c>
      <c r="U43" s="1570">
        <f t="shared" si="13"/>
        <v>100</v>
      </c>
      <c r="V43" s="1569" t="s">
        <v>8</v>
      </c>
      <c r="W43" s="1570">
        <f t="shared" si="14"/>
        <v>100</v>
      </c>
      <c r="X43" s="1563"/>
      <c r="Y43" s="3422"/>
      <c r="Z43" s="1571" t="str">
        <f t="shared" si="15"/>
        <v>内部装修</v>
      </c>
      <c r="AA43" s="1572">
        <f t="shared" si="3"/>
        <v>1</v>
      </c>
      <c r="AB43" s="1572">
        <f t="shared" si="4"/>
        <v>1</v>
      </c>
      <c r="AC43" s="1572">
        <f t="shared" si="5"/>
        <v>1</v>
      </c>
    </row>
    <row r="44" spans="1:29" ht="28.8">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22"/>
      <c r="Q44" s="1568" t="str">
        <f t="shared" si="11"/>
        <v>内部装修维护情况</v>
      </c>
      <c r="R44" s="1569" t="s">
        <v>8</v>
      </c>
      <c r="S44" s="1570">
        <f t="shared" si="12"/>
        <v>100</v>
      </c>
      <c r="T44" s="1569" t="s">
        <v>8</v>
      </c>
      <c r="U44" s="1570">
        <f t="shared" si="13"/>
        <v>100</v>
      </c>
      <c r="V44" s="1569" t="s">
        <v>8</v>
      </c>
      <c r="W44" s="1570">
        <f t="shared" si="14"/>
        <v>100</v>
      </c>
      <c r="X44" s="1563"/>
      <c r="Y44" s="3422"/>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22"/>
      <c r="Q45" s="1149">
        <f t="shared" si="11"/>
        <v>111</v>
      </c>
      <c r="R45" s="1564" t="s">
        <v>8</v>
      </c>
      <c r="S45" s="1565">
        <f t="shared" si="12"/>
        <v>100</v>
      </c>
      <c r="T45" s="1564" t="s">
        <v>8</v>
      </c>
      <c r="U45" s="1565">
        <f t="shared" si="13"/>
        <v>100</v>
      </c>
      <c r="V45" s="1564" t="s">
        <v>8</v>
      </c>
      <c r="W45" s="1565">
        <f t="shared" si="14"/>
        <v>100</v>
      </c>
      <c r="X45" s="1566"/>
      <c r="Y45" s="3422"/>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22"/>
      <c r="Q46" s="1568">
        <f t="shared" si="11"/>
        <v>111</v>
      </c>
      <c r="R46" s="1569" t="s">
        <v>8</v>
      </c>
      <c r="S46" s="1570">
        <f t="shared" si="12"/>
        <v>100</v>
      </c>
      <c r="T46" s="1569" t="s">
        <v>8</v>
      </c>
      <c r="U46" s="1570">
        <f t="shared" si="13"/>
        <v>100</v>
      </c>
      <c r="V46" s="1569" t="s">
        <v>8</v>
      </c>
      <c r="W46" s="1570">
        <f t="shared" si="14"/>
        <v>100</v>
      </c>
      <c r="X46" s="1563"/>
      <c r="Y46" s="3422"/>
      <c r="Z46" s="1571">
        <f t="shared" si="15"/>
        <v>111</v>
      </c>
      <c r="AA46" s="1572">
        <f t="shared" si="3"/>
        <v>1</v>
      </c>
      <c r="AB46" s="1572">
        <f t="shared" si="4"/>
        <v>1</v>
      </c>
      <c r="AC46" s="1572">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97"/>
      <c r="Q47" s="1568">
        <f t="shared" si="11"/>
        <v>111</v>
      </c>
      <c r="R47" s="1569" t="s">
        <v>8</v>
      </c>
      <c r="S47" s="1570">
        <f t="shared" si="12"/>
        <v>100</v>
      </c>
      <c r="T47" s="1569" t="s">
        <v>8</v>
      </c>
      <c r="U47" s="1570">
        <f t="shared" si="13"/>
        <v>100</v>
      </c>
      <c r="V47" s="1569" t="s">
        <v>8</v>
      </c>
      <c r="W47" s="1570">
        <f t="shared" si="14"/>
        <v>100</v>
      </c>
      <c r="X47" s="1563"/>
      <c r="Y47" s="3497"/>
      <c r="Z47" s="1571">
        <f t="shared" si="15"/>
        <v>111</v>
      </c>
      <c r="AA47" s="1572">
        <f t="shared" si="3"/>
        <v>1</v>
      </c>
      <c r="AB47" s="1572">
        <f t="shared" si="4"/>
        <v>1</v>
      </c>
      <c r="AC47" s="1572">
        <f t="shared" si="5"/>
        <v>1</v>
      </c>
    </row>
    <row r="48" spans="1:29" ht="14.4">
      <c r="A48" s="606" t="s">
        <v>732</v>
      </c>
      <c r="B48" s="885"/>
      <c r="C48" s="2648" t="s">
        <v>1</v>
      </c>
      <c r="D48" s="2649"/>
      <c r="E48" s="2650"/>
      <c r="F48" s="2651"/>
      <c r="G48" s="2652"/>
      <c r="H48" s="2653"/>
      <c r="I48" s="2650"/>
      <c r="J48" s="2653"/>
      <c r="K48" s="1607"/>
      <c r="L48" s="2141"/>
      <c r="M48" s="2131"/>
      <c r="N48" s="2131"/>
      <c r="O48" s="2131"/>
      <c r="P48" s="3440" t="str">
        <f>A48</f>
        <v>成交单价（元/平方米）</v>
      </c>
      <c r="Q48" s="3417"/>
      <c r="R48" s="3498">
        <f>E48</f>
        <v>0</v>
      </c>
      <c r="S48" s="3498"/>
      <c r="T48" s="3498">
        <f>G48</f>
        <v>0</v>
      </c>
      <c r="U48" s="3498"/>
      <c r="V48" s="3498">
        <f>I48</f>
        <v>0</v>
      </c>
      <c r="W48" s="3498"/>
      <c r="X48" s="1555"/>
      <c r="Y48" s="1577"/>
      <c r="Z48" s="1555"/>
      <c r="AA48" s="1555"/>
      <c r="AB48" s="1555"/>
      <c r="AC48" s="1555"/>
    </row>
    <row r="49" spans="1:29" ht="15" thickBot="1">
      <c r="A49" s="614" t="s">
        <v>2759</v>
      </c>
      <c r="B49" s="886"/>
      <c r="C49" s="2654" t="e">
        <f>R50</f>
        <v>#DIV/0!</v>
      </c>
      <c r="D49" s="2655"/>
      <c r="E49" s="2656" t="e">
        <f>R49</f>
        <v>#DIV/0!</v>
      </c>
      <c r="F49" s="2656"/>
      <c r="G49" s="2654" t="e">
        <f>T49</f>
        <v>#DIV/0!</v>
      </c>
      <c r="H49" s="2655"/>
      <c r="I49" s="2656" t="e">
        <f>V49</f>
        <v>#DIV/0!</v>
      </c>
      <c r="J49" s="2655"/>
      <c r="K49" s="1608"/>
      <c r="L49" s="2141"/>
      <c r="M49" s="2131"/>
      <c r="N49" s="2131"/>
      <c r="O49" s="2131"/>
      <c r="P49" s="3440" t="str">
        <f>A49</f>
        <v>比较价格（元/平方米）</v>
      </c>
      <c r="Q49" s="341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55"/>
      <c r="Y49" s="1555"/>
      <c r="Z49" s="1555"/>
      <c r="AA49" s="1555"/>
      <c r="AB49" s="1555"/>
      <c r="AC49" s="1555"/>
    </row>
    <row r="50" spans="1:29" ht="15" thickBot="1">
      <c r="A50" s="620" t="s">
        <v>2930</v>
      </c>
      <c r="B50" s="621"/>
      <c r="C50" s="2657" t="e">
        <f>R50</f>
        <v>#DIV/0!</v>
      </c>
      <c r="D50" s="2657"/>
      <c r="E50" s="2657"/>
      <c r="F50" s="2657"/>
      <c r="G50" s="2657"/>
      <c r="H50" s="2657"/>
      <c r="I50" s="2657"/>
      <c r="J50" s="2657"/>
      <c r="K50" s="1609"/>
      <c r="L50" s="2141"/>
      <c r="M50" s="2131"/>
      <c r="N50" s="2131"/>
      <c r="O50" s="2131"/>
      <c r="P50" s="3526" t="str">
        <f>A50</f>
        <v>估价对象XX用房的比较价格（楼面单价，元/平方米）</v>
      </c>
      <c r="Q50" s="3440"/>
      <c r="R50" s="3499" t="e">
        <f>IF(F1="售价",ROUND(AVERAGE(R49:V49),0),ROUND(AVERAGE(R49:V49),1))</f>
        <v>#DIV/0!</v>
      </c>
      <c r="S50" s="3499"/>
      <c r="T50" s="3499"/>
      <c r="U50" s="3499"/>
      <c r="V50" s="3499"/>
      <c r="W50" s="3499"/>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4.4">
      <c r="A59" s="644" t="s">
        <v>525</v>
      </c>
      <c r="B59" s="645"/>
      <c r="C59" s="2823" t="str">
        <f>YEAR(C7)&amp;"-"&amp;MONTH(C7)</f>
        <v>2018-9</v>
      </c>
      <c r="D59" s="2825">
        <f>EDATE(C59,-1)</f>
        <v>43313</v>
      </c>
      <c r="E59" s="2825">
        <f t="shared" ref="E59:O59" si="16">EDATE(D59,-1)</f>
        <v>43282</v>
      </c>
      <c r="F59" s="2825">
        <f t="shared" si="16"/>
        <v>43252</v>
      </c>
      <c r="G59" s="2825">
        <f t="shared" si="16"/>
        <v>43221</v>
      </c>
      <c r="H59" s="2825">
        <f t="shared" si="16"/>
        <v>43191</v>
      </c>
      <c r="I59" s="2825">
        <f t="shared" si="16"/>
        <v>43160</v>
      </c>
      <c r="J59" s="2825">
        <f t="shared" si="16"/>
        <v>43132</v>
      </c>
      <c r="K59" s="2825">
        <f t="shared" si="16"/>
        <v>43101</v>
      </c>
      <c r="L59" s="2825">
        <f t="shared" si="16"/>
        <v>43070</v>
      </c>
      <c r="M59" s="2825">
        <f t="shared" si="16"/>
        <v>43040</v>
      </c>
      <c r="N59" s="2825">
        <f t="shared" si="16"/>
        <v>43009</v>
      </c>
      <c r="O59" s="2825">
        <f t="shared" si="16"/>
        <v>42979</v>
      </c>
      <c r="P59" s="2208"/>
      <c r="Q59" s="2158"/>
      <c r="R59" s="2158"/>
      <c r="S59" s="2158"/>
      <c r="T59" s="2158"/>
      <c r="U59" s="2158"/>
      <c r="V59" s="2158"/>
      <c r="W59" s="2158"/>
      <c r="X59" s="2158"/>
      <c r="Y59" s="2158"/>
      <c r="Z59" s="2158"/>
      <c r="AA59" s="2158"/>
      <c r="AB59" s="2158"/>
      <c r="AC59" s="2158"/>
    </row>
    <row r="60" spans="1:29" s="1218"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4.4">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4.4"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9.4"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4.4"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517</v>
      </c>
      <c r="B4" s="512"/>
      <c r="C4" s="3423" t="s">
        <v>518</v>
      </c>
      <c r="D4" s="3424"/>
      <c r="E4" s="3448" t="s">
        <v>519</v>
      </c>
      <c r="F4" s="3449"/>
      <c r="G4" s="3423" t="s">
        <v>520</v>
      </c>
      <c r="H4" s="3424"/>
      <c r="I4" s="3423" t="s">
        <v>521</v>
      </c>
      <c r="J4" s="3424"/>
      <c r="K4" s="513" t="s">
        <v>522</v>
      </c>
      <c r="L4" s="2130"/>
      <c r="M4" s="2131"/>
      <c r="N4" s="2131"/>
      <c r="O4" s="2131"/>
      <c r="P4" s="3425" t="s">
        <v>523</v>
      </c>
      <c r="Q4" s="3426"/>
      <c r="R4" s="3411" t="s">
        <v>519</v>
      </c>
      <c r="S4" s="3412"/>
      <c r="T4" s="3411" t="s">
        <v>520</v>
      </c>
      <c r="U4" s="3412"/>
      <c r="V4" s="3431" t="s">
        <v>521</v>
      </c>
      <c r="W4" s="3431"/>
      <c r="X4" s="1563"/>
      <c r="Y4" s="3411" t="s">
        <v>523</v>
      </c>
      <c r="Z4" s="3412"/>
      <c r="AA4" s="3406" t="s">
        <v>519</v>
      </c>
      <c r="AB4" s="3407" t="s">
        <v>520</v>
      </c>
      <c r="AC4" s="3406" t="s">
        <v>521</v>
      </c>
    </row>
    <row r="5" spans="1:29">
      <c r="A5" s="514"/>
      <c r="B5" s="515"/>
      <c r="C5" s="3434" t="s">
        <v>2924</v>
      </c>
      <c r="D5" s="3435"/>
      <c r="E5" s="3450" t="s">
        <v>2925</v>
      </c>
      <c r="F5" s="3451"/>
      <c r="G5" s="3434" t="s">
        <v>2926</v>
      </c>
      <c r="H5" s="3435"/>
      <c r="I5" s="3434" t="s">
        <v>2927</v>
      </c>
      <c r="J5" s="3435"/>
      <c r="K5" s="513"/>
      <c r="L5" s="2130"/>
      <c r="M5" s="2131"/>
      <c r="N5" s="2131"/>
      <c r="O5" s="2131"/>
      <c r="P5" s="3427"/>
      <c r="Q5" s="3428"/>
      <c r="R5" s="3413"/>
      <c r="S5" s="3414"/>
      <c r="T5" s="3413"/>
      <c r="U5" s="3414"/>
      <c r="V5" s="3431"/>
      <c r="W5" s="3431"/>
      <c r="X5" s="1563"/>
      <c r="Y5" s="3413"/>
      <c r="Z5" s="3414"/>
      <c r="AA5" s="3407"/>
      <c r="AB5" s="3407"/>
      <c r="AC5" s="3407"/>
    </row>
    <row r="6" spans="1:29" ht="15" thickBot="1">
      <c r="A6" s="516"/>
      <c r="B6" s="517"/>
      <c r="C6" s="3452" t="s">
        <v>2928</v>
      </c>
      <c r="D6" s="3433"/>
      <c r="E6" s="3453" t="s">
        <v>2928</v>
      </c>
      <c r="F6" s="3454"/>
      <c r="G6" s="3452" t="s">
        <v>2928</v>
      </c>
      <c r="H6" s="3433"/>
      <c r="I6" s="3452" t="s">
        <v>2928</v>
      </c>
      <c r="J6" s="3433"/>
      <c r="K6" s="513" t="s">
        <v>524</v>
      </c>
      <c r="L6" s="2130"/>
      <c r="M6" s="2131"/>
      <c r="N6" s="2131"/>
      <c r="O6" s="2131"/>
      <c r="P6" s="3429"/>
      <c r="Q6" s="3430"/>
      <c r="R6" s="3413"/>
      <c r="S6" s="3414"/>
      <c r="T6" s="3415"/>
      <c r="U6" s="3416"/>
      <c r="V6" s="3431"/>
      <c r="W6" s="3431"/>
      <c r="X6" s="1563"/>
      <c r="Y6" s="3415"/>
      <c r="Z6" s="3416"/>
      <c r="AA6" s="3408"/>
      <c r="AB6" s="3408"/>
      <c r="AC6" s="3408"/>
    </row>
    <row r="7" spans="1:29" s="1218" customFormat="1" ht="15" thickBot="1">
      <c r="A7" s="2933"/>
      <c r="B7" s="2940" t="s">
        <v>525</v>
      </c>
      <c r="C7" s="518">
        <f>'数据-取费表'!B2</f>
        <v>43353</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09" t="s">
        <v>526</v>
      </c>
      <c r="Q7" s="3418"/>
      <c r="R7" s="1564" t="s">
        <v>8</v>
      </c>
      <c r="S7" s="1565">
        <f t="shared" ref="S7:S15" si="0">F7</f>
        <v>0</v>
      </c>
      <c r="T7" s="1564" t="s">
        <v>8</v>
      </c>
      <c r="U7" s="1565">
        <f t="shared" ref="U7:U15" si="1">H7</f>
        <v>0</v>
      </c>
      <c r="V7" s="1564" t="s">
        <v>8</v>
      </c>
      <c r="W7" s="1565">
        <f t="shared" ref="W7:W15" si="2">J7</f>
        <v>0</v>
      </c>
      <c r="X7" s="1566"/>
      <c r="Y7" s="3409" t="s">
        <v>526</v>
      </c>
      <c r="Z7" s="3410"/>
      <c r="AA7" s="1567" t="e">
        <f>D7/F7</f>
        <v>#DIV/0!</v>
      </c>
      <c r="AB7" s="1567" t="e">
        <f>D7/H7</f>
        <v>#DIV/0!</v>
      </c>
      <c r="AC7" s="1567" t="e">
        <f>D7/J7</f>
        <v>#DIV/0!</v>
      </c>
    </row>
    <row r="8" spans="1:29" s="1218" customFormat="1" ht="1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09" t="s">
        <v>529</v>
      </c>
      <c r="Q8" s="3410"/>
      <c r="R8" s="1564" t="s">
        <v>8</v>
      </c>
      <c r="S8" s="1565">
        <f t="shared" si="0"/>
        <v>0</v>
      </c>
      <c r="T8" s="1564" t="s">
        <v>8</v>
      </c>
      <c r="U8" s="1565">
        <f t="shared" si="1"/>
        <v>0</v>
      </c>
      <c r="V8" s="1564" t="s">
        <v>8</v>
      </c>
      <c r="W8" s="1565">
        <f t="shared" si="2"/>
        <v>0</v>
      </c>
      <c r="X8" s="1566"/>
      <c r="Y8" s="3409" t="s">
        <v>529</v>
      </c>
      <c r="Z8" s="3410"/>
      <c r="AA8" s="1567" t="e">
        <f t="shared" ref="AA8:AA40" si="3">D8/F8</f>
        <v>#DIV/0!</v>
      </c>
      <c r="AB8" s="1567" t="e">
        <f t="shared" ref="AB8:AB40" si="4">D8/H8</f>
        <v>#DIV/0!</v>
      </c>
      <c r="AC8" s="1567" t="e">
        <f t="shared" ref="AC8:AC40" si="5">D8/J8</f>
        <v>#DIV/0!</v>
      </c>
    </row>
    <row r="9" spans="1:29" s="1218" customFormat="1" ht="14.4">
      <c r="A9" s="2935"/>
      <c r="B9" s="2942" t="s">
        <v>2755</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17" t="s">
        <v>531</v>
      </c>
      <c r="Q9" s="1149" t="str">
        <f t="shared" ref="Q9:Q15" si="6">B9</f>
        <v>用途</v>
      </c>
      <c r="R9" s="1564" t="s">
        <v>8</v>
      </c>
      <c r="S9" s="1565">
        <f t="shared" si="0"/>
        <v>100</v>
      </c>
      <c r="T9" s="1564" t="s">
        <v>8</v>
      </c>
      <c r="U9" s="1565">
        <f t="shared" si="1"/>
        <v>100</v>
      </c>
      <c r="V9" s="1564" t="s">
        <v>8</v>
      </c>
      <c r="W9" s="1565">
        <f t="shared" si="2"/>
        <v>100</v>
      </c>
      <c r="X9" s="1566"/>
      <c r="Y9" s="3374"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74"/>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17"/>
      <c r="Q11" s="1149" t="str">
        <f t="shared" si="6"/>
        <v>容积率</v>
      </c>
      <c r="R11" s="1564" t="s">
        <v>8</v>
      </c>
      <c r="S11" s="1565" t="e">
        <f t="shared" si="0"/>
        <v>#N/A</v>
      </c>
      <c r="T11" s="1564" t="s">
        <v>8</v>
      </c>
      <c r="U11" s="1565" t="e">
        <f t="shared" si="1"/>
        <v>#N/A</v>
      </c>
      <c r="V11" s="1564" t="s">
        <v>8</v>
      </c>
      <c r="W11" s="1565" t="e">
        <f t="shared" si="2"/>
        <v>#N/A</v>
      </c>
      <c r="X11" s="1566"/>
      <c r="Y11" s="3374"/>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74"/>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74"/>
      <c r="Z13" s="1148">
        <f t="shared" si="7"/>
        <v>111</v>
      </c>
      <c r="AA13" s="1567">
        <f t="shared" si="3"/>
        <v>1</v>
      </c>
      <c r="AB13" s="1567">
        <f t="shared" si="4"/>
        <v>1</v>
      </c>
      <c r="AC13" s="1567">
        <f t="shared" si="5"/>
        <v>1</v>
      </c>
    </row>
    <row r="14" spans="1:29" ht="15.6"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17"/>
      <c r="Q14" s="1149">
        <f t="shared" si="6"/>
        <v>111</v>
      </c>
      <c r="R14" s="1564" t="s">
        <v>8</v>
      </c>
      <c r="S14" s="1565">
        <f t="shared" si="0"/>
        <v>100</v>
      </c>
      <c r="T14" s="1564" t="s">
        <v>8</v>
      </c>
      <c r="U14" s="1565">
        <f t="shared" si="1"/>
        <v>100</v>
      </c>
      <c r="V14" s="1564" t="s">
        <v>8</v>
      </c>
      <c r="W14" s="1565">
        <f t="shared" si="2"/>
        <v>100</v>
      </c>
      <c r="X14" s="1566"/>
      <c r="Y14" s="3374"/>
      <c r="Z14" s="1148">
        <f t="shared" si="7"/>
        <v>111</v>
      </c>
      <c r="AA14" s="1567">
        <f t="shared" si="3"/>
        <v>1</v>
      </c>
      <c r="AB14" s="1567">
        <f t="shared" si="4"/>
        <v>1</v>
      </c>
      <c r="AC14" s="1567">
        <f t="shared" si="5"/>
        <v>1</v>
      </c>
    </row>
    <row r="15" spans="1:29" ht="69">
      <c r="A15" s="2931" t="s">
        <v>2753</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19" t="s">
        <v>536</v>
      </c>
      <c r="Q15" s="1568" t="str">
        <f t="shared" si="6"/>
        <v>产业集聚程度</v>
      </c>
      <c r="R15" s="1569" t="s">
        <v>8</v>
      </c>
      <c r="S15" s="1570">
        <f t="shared" si="0"/>
        <v>100</v>
      </c>
      <c r="T15" s="1569" t="s">
        <v>8</v>
      </c>
      <c r="U15" s="1570">
        <f t="shared" si="1"/>
        <v>100</v>
      </c>
      <c r="V15" s="1569" t="s">
        <v>8</v>
      </c>
      <c r="W15" s="1570">
        <f t="shared" si="2"/>
        <v>100</v>
      </c>
      <c r="X15" s="1563"/>
      <c r="Y15" s="3419"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20"/>
      <c r="Q16" s="1568"/>
      <c r="R16" s="1569"/>
      <c r="S16" s="1570"/>
      <c r="T16" s="1569"/>
      <c r="U16" s="1570"/>
      <c r="V16" s="1569"/>
      <c r="W16" s="1570"/>
      <c r="X16" s="1563"/>
      <c r="Y16" s="3420"/>
      <c r="Z16" s="1571"/>
      <c r="AA16" s="1572">
        <v>1</v>
      </c>
      <c r="AB16" s="1572">
        <v>1</v>
      </c>
      <c r="AC16" s="1572">
        <v>1</v>
      </c>
    </row>
    <row r="17" spans="1:29" ht="96.6">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20"/>
      <c r="Q17" s="1568" t="str">
        <f>B17</f>
        <v>交通便捷度</v>
      </c>
      <c r="R17" s="1569" t="s">
        <v>8</v>
      </c>
      <c r="S17" s="1570">
        <f>F17</f>
        <v>100</v>
      </c>
      <c r="T17" s="1569" t="s">
        <v>8</v>
      </c>
      <c r="U17" s="1570">
        <f>H17</f>
        <v>100</v>
      </c>
      <c r="V17" s="1569" t="s">
        <v>8</v>
      </c>
      <c r="W17" s="1570">
        <f>J17</f>
        <v>100</v>
      </c>
      <c r="X17" s="1563"/>
      <c r="Y17" s="3420"/>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20"/>
      <c r="Q18" s="1568"/>
      <c r="R18" s="1569"/>
      <c r="S18" s="1570"/>
      <c r="T18" s="1569"/>
      <c r="U18" s="1570"/>
      <c r="V18" s="1569"/>
      <c r="W18" s="1570"/>
      <c r="X18" s="1563"/>
      <c r="Y18" s="3420"/>
      <c r="Z18" s="1571"/>
      <c r="AA18" s="1572">
        <v>1</v>
      </c>
      <c r="AB18" s="1572">
        <v>1</v>
      </c>
      <c r="AC18" s="1572">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20"/>
      <c r="Q19" s="1568" t="str">
        <f>B19</f>
        <v>公共配套设施</v>
      </c>
      <c r="R19" s="1569" t="s">
        <v>8</v>
      </c>
      <c r="S19" s="1570">
        <f>F19</f>
        <v>100</v>
      </c>
      <c r="T19" s="1569" t="s">
        <v>8</v>
      </c>
      <c r="U19" s="1570">
        <f>H19</f>
        <v>100</v>
      </c>
      <c r="V19" s="1569" t="s">
        <v>8</v>
      </c>
      <c r="W19" s="1570">
        <f>J19</f>
        <v>100</v>
      </c>
      <c r="X19" s="1563"/>
      <c r="Y19" s="3420"/>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20"/>
      <c r="Q20" s="1568"/>
      <c r="R20" s="1569"/>
      <c r="S20" s="1570"/>
      <c r="T20" s="1569"/>
      <c r="U20" s="1570"/>
      <c r="V20" s="1569"/>
      <c r="W20" s="1570"/>
      <c r="X20" s="1563"/>
      <c r="Y20" s="3420"/>
      <c r="Z20" s="1571"/>
      <c r="AA20" s="1572">
        <v>1</v>
      </c>
      <c r="AB20" s="1572">
        <v>1</v>
      </c>
      <c r="AC20" s="1572">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20"/>
      <c r="Q21" s="2600" t="str">
        <f>B21</f>
        <v>基础设施水平</v>
      </c>
      <c r="R21" s="1569" t="s">
        <v>8</v>
      </c>
      <c r="S21" s="1570">
        <f>F21</f>
        <v>100</v>
      </c>
      <c r="T21" s="1569" t="s">
        <v>8</v>
      </c>
      <c r="U21" s="1570">
        <f>H21</f>
        <v>100</v>
      </c>
      <c r="V21" s="1569" t="s">
        <v>8</v>
      </c>
      <c r="W21" s="1570">
        <f>J21</f>
        <v>100</v>
      </c>
      <c r="X21" s="2602"/>
      <c r="Y21" s="3420"/>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20"/>
      <c r="Q22" s="2600"/>
      <c r="R22" s="1569"/>
      <c r="S22" s="1570"/>
      <c r="T22" s="1569"/>
      <c r="U22" s="1570"/>
      <c r="V22" s="1569"/>
      <c r="W22" s="1570"/>
      <c r="X22" s="2602"/>
      <c r="Y22" s="3420"/>
      <c r="Z22" s="2601"/>
      <c r="AA22" s="1572">
        <v>1</v>
      </c>
      <c r="AB22" s="1572">
        <v>1</v>
      </c>
      <c r="AC22" s="1572">
        <v>1</v>
      </c>
    </row>
    <row r="23" spans="1:29" ht="82.8">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20"/>
      <c r="Q23" s="1568" t="str">
        <f>B23</f>
        <v>环境质量</v>
      </c>
      <c r="R23" s="1569" t="s">
        <v>8</v>
      </c>
      <c r="S23" s="1570">
        <f>F23</f>
        <v>100</v>
      </c>
      <c r="T23" s="1569" t="s">
        <v>8</v>
      </c>
      <c r="U23" s="1570">
        <f>H23</f>
        <v>100</v>
      </c>
      <c r="V23" s="1569" t="s">
        <v>8</v>
      </c>
      <c r="W23" s="1570">
        <f>J23</f>
        <v>100</v>
      </c>
      <c r="X23" s="1563"/>
      <c r="Y23" s="3420"/>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20"/>
      <c r="Q24" s="1568"/>
      <c r="R24" s="1569"/>
      <c r="S24" s="1570"/>
      <c r="T24" s="1569"/>
      <c r="U24" s="1570"/>
      <c r="V24" s="1569"/>
      <c r="W24" s="1570"/>
      <c r="X24" s="1563"/>
      <c r="Y24" s="3420"/>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20"/>
      <c r="Q25" s="1568">
        <f>B25</f>
        <v>111</v>
      </c>
      <c r="R25" s="1569" t="s">
        <v>8</v>
      </c>
      <c r="S25" s="1570">
        <f>F25</f>
        <v>100</v>
      </c>
      <c r="T25" s="1569" t="s">
        <v>8</v>
      </c>
      <c r="U25" s="1570">
        <f>H25</f>
        <v>100</v>
      </c>
      <c r="V25" s="1569" t="s">
        <v>8</v>
      </c>
      <c r="W25" s="1570">
        <f>J25</f>
        <v>100</v>
      </c>
      <c r="X25" s="1563"/>
      <c r="Y25" s="3420"/>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20"/>
      <c r="Q26" s="1568">
        <f t="shared" ref="Q26:Q40" si="11">B26</f>
        <v>111</v>
      </c>
      <c r="R26" s="1569" t="s">
        <v>8</v>
      </c>
      <c r="S26" s="1570">
        <f>F26</f>
        <v>100</v>
      </c>
      <c r="T26" s="1569" t="s">
        <v>8</v>
      </c>
      <c r="U26" s="1570">
        <f>H26</f>
        <v>100</v>
      </c>
      <c r="V26" s="1569" t="s">
        <v>8</v>
      </c>
      <c r="W26" s="1570">
        <f>J26</f>
        <v>100</v>
      </c>
      <c r="X26" s="1563"/>
      <c r="Y26" s="3420"/>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20"/>
      <c r="Q27" s="1149">
        <f t="shared" si="11"/>
        <v>111</v>
      </c>
      <c r="R27" s="1564" t="s">
        <v>8</v>
      </c>
      <c r="S27" s="1565">
        <f>F27</f>
        <v>100</v>
      </c>
      <c r="T27" s="1564" t="s">
        <v>8</v>
      </c>
      <c r="U27" s="1565">
        <f>H27</f>
        <v>100</v>
      </c>
      <c r="V27" s="1564" t="s">
        <v>8</v>
      </c>
      <c r="W27" s="1565">
        <f>J27</f>
        <v>100</v>
      </c>
      <c r="X27" s="1566"/>
      <c r="Y27" s="3420"/>
      <c r="Z27" s="1148">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20"/>
      <c r="Q28" s="1568">
        <f t="shared" si="11"/>
        <v>111</v>
      </c>
      <c r="R28" s="1569" t="s">
        <v>8</v>
      </c>
      <c r="S28" s="1570">
        <f t="shared" ref="S28:S40" si="12">F28</f>
        <v>100</v>
      </c>
      <c r="T28" s="1569" t="s">
        <v>8</v>
      </c>
      <c r="U28" s="1570">
        <f t="shared" ref="U28:U40" si="13">H28</f>
        <v>100</v>
      </c>
      <c r="V28" s="1569" t="s">
        <v>8</v>
      </c>
      <c r="W28" s="1570">
        <f t="shared" ref="W28:W40" si="14">J28</f>
        <v>100</v>
      </c>
      <c r="X28" s="1563"/>
      <c r="Y28" s="3420"/>
      <c r="Z28" s="1571">
        <f t="shared" ref="Z28:Z40" si="15">Q28</f>
        <v>111</v>
      </c>
      <c r="AA28" s="1572">
        <f t="shared" si="3"/>
        <v>1</v>
      </c>
      <c r="AB28" s="1572">
        <f t="shared" si="4"/>
        <v>1</v>
      </c>
      <c r="AC28" s="1572">
        <f t="shared" si="5"/>
        <v>1</v>
      </c>
    </row>
    <row r="29" spans="1:29" ht="15">
      <c r="A29" s="2928" t="s">
        <v>2754</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21" t="s">
        <v>546</v>
      </c>
      <c r="Q29" s="1568" t="str">
        <f t="shared" si="11"/>
        <v>建筑类型</v>
      </c>
      <c r="R29" s="1569" t="s">
        <v>8</v>
      </c>
      <c r="S29" s="1570">
        <f t="shared" si="12"/>
        <v>100</v>
      </c>
      <c r="T29" s="1569" t="s">
        <v>8</v>
      </c>
      <c r="U29" s="1570">
        <f t="shared" si="13"/>
        <v>100</v>
      </c>
      <c r="V29" s="1569" t="s">
        <v>8</v>
      </c>
      <c r="W29" s="1570">
        <f t="shared" si="14"/>
        <v>100</v>
      </c>
      <c r="X29" s="1563"/>
      <c r="Y29" s="3422"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22"/>
      <c r="Q30" s="1601" t="str">
        <f t="shared" si="11"/>
        <v>项目建筑规模</v>
      </c>
      <c r="R30" s="1573" t="s">
        <v>8</v>
      </c>
      <c r="S30" s="1574" t="e">
        <f t="shared" si="12"/>
        <v>#N/A</v>
      </c>
      <c r="T30" s="1573" t="s">
        <v>8</v>
      </c>
      <c r="U30" s="1574" t="e">
        <f t="shared" si="13"/>
        <v>#N/A</v>
      </c>
      <c r="V30" s="1573" t="s">
        <v>8</v>
      </c>
      <c r="W30" s="1574" t="e">
        <f t="shared" si="14"/>
        <v>#N/A</v>
      </c>
      <c r="X30" s="1575"/>
      <c r="Y30" s="3422"/>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22"/>
      <c r="Q31" s="1568" t="str">
        <f t="shared" si="11"/>
        <v>建筑结构</v>
      </c>
      <c r="R31" s="1569" t="s">
        <v>8</v>
      </c>
      <c r="S31" s="1570">
        <f t="shared" si="12"/>
        <v>100</v>
      </c>
      <c r="T31" s="1569" t="s">
        <v>8</v>
      </c>
      <c r="U31" s="1570">
        <f t="shared" si="13"/>
        <v>100</v>
      </c>
      <c r="V31" s="1569" t="s">
        <v>8</v>
      </c>
      <c r="W31" s="1570">
        <f t="shared" si="14"/>
        <v>100</v>
      </c>
      <c r="X31" s="1563"/>
      <c r="Y31" s="3422"/>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22"/>
      <c r="Q32" s="1568" t="str">
        <f t="shared" si="11"/>
        <v>公共部分装修</v>
      </c>
      <c r="R32" s="1569" t="s">
        <v>8</v>
      </c>
      <c r="S32" s="1570">
        <f t="shared" si="12"/>
        <v>100</v>
      </c>
      <c r="T32" s="1569" t="s">
        <v>8</v>
      </c>
      <c r="U32" s="1570">
        <f t="shared" si="13"/>
        <v>100</v>
      </c>
      <c r="V32" s="1569" t="s">
        <v>8</v>
      </c>
      <c r="W32" s="1570">
        <f t="shared" si="14"/>
        <v>100</v>
      </c>
      <c r="X32" s="1563"/>
      <c r="Y32" s="3422"/>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22"/>
      <c r="Q33" s="1568" t="str">
        <f t="shared" si="11"/>
        <v>成新度</v>
      </c>
      <c r="R33" s="1569" t="s">
        <v>8</v>
      </c>
      <c r="S33" s="1570" t="e">
        <f t="shared" si="12"/>
        <v>#N/A</v>
      </c>
      <c r="T33" s="1569" t="s">
        <v>8</v>
      </c>
      <c r="U33" s="1570" t="e">
        <f t="shared" si="13"/>
        <v>#N/A</v>
      </c>
      <c r="V33" s="1569" t="s">
        <v>8</v>
      </c>
      <c r="W33" s="1570" t="e">
        <f t="shared" si="14"/>
        <v>#N/A</v>
      </c>
      <c r="X33" s="1563"/>
      <c r="Y33" s="3422"/>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22"/>
      <c r="Q34" s="1149" t="str">
        <f t="shared" si="11"/>
        <v>物业管理</v>
      </c>
      <c r="R34" s="1564" t="s">
        <v>8</v>
      </c>
      <c r="S34" s="1565">
        <f t="shared" si="12"/>
        <v>100</v>
      </c>
      <c r="T34" s="1564" t="s">
        <v>8</v>
      </c>
      <c r="U34" s="1565">
        <f t="shared" si="13"/>
        <v>100</v>
      </c>
      <c r="V34" s="1564" t="s">
        <v>8</v>
      </c>
      <c r="W34" s="1565">
        <f t="shared" si="14"/>
        <v>100</v>
      </c>
      <c r="X34" s="1566"/>
      <c r="Y34" s="3422"/>
      <c r="Z34" s="1148" t="str">
        <f t="shared" si="15"/>
        <v>物业管理</v>
      </c>
      <c r="AA34" s="1567">
        <f t="shared" si="3"/>
        <v>1</v>
      </c>
      <c r="AB34" s="1567">
        <f t="shared" si="4"/>
        <v>1</v>
      </c>
      <c r="AC34" s="1567">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22" t="s">
        <v>546</v>
      </c>
      <c r="Q35" s="1568" t="str">
        <f t="shared" si="11"/>
        <v>市政基础设施</v>
      </c>
      <c r="R35" s="1569" t="s">
        <v>8</v>
      </c>
      <c r="S35" s="1570">
        <f t="shared" si="12"/>
        <v>100</v>
      </c>
      <c r="T35" s="1569" t="s">
        <v>8</v>
      </c>
      <c r="U35" s="1570">
        <f t="shared" si="13"/>
        <v>100</v>
      </c>
      <c r="V35" s="1569" t="s">
        <v>8</v>
      </c>
      <c r="W35" s="1570">
        <f t="shared" si="14"/>
        <v>100</v>
      </c>
      <c r="X35" s="1563"/>
      <c r="Y35" s="3422"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22"/>
      <c r="Q36" s="1568" t="str">
        <f t="shared" si="11"/>
        <v>内部装修</v>
      </c>
      <c r="R36" s="1569" t="s">
        <v>8</v>
      </c>
      <c r="S36" s="1570">
        <f t="shared" si="12"/>
        <v>100</v>
      </c>
      <c r="T36" s="1569" t="s">
        <v>8</v>
      </c>
      <c r="U36" s="1570">
        <f t="shared" si="13"/>
        <v>100</v>
      </c>
      <c r="V36" s="1569" t="s">
        <v>8</v>
      </c>
      <c r="W36" s="1570">
        <f t="shared" si="14"/>
        <v>100</v>
      </c>
      <c r="X36" s="1563"/>
      <c r="Y36" s="3422"/>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22"/>
      <c r="Q37" s="1568" t="str">
        <f t="shared" si="11"/>
        <v>内部装修状况</v>
      </c>
      <c r="R37" s="1569" t="s">
        <v>8</v>
      </c>
      <c r="S37" s="1570">
        <f t="shared" si="12"/>
        <v>100</v>
      </c>
      <c r="T37" s="1569" t="s">
        <v>8</v>
      </c>
      <c r="U37" s="1570">
        <f t="shared" si="13"/>
        <v>100</v>
      </c>
      <c r="V37" s="1569" t="s">
        <v>8</v>
      </c>
      <c r="W37" s="1570">
        <f t="shared" si="14"/>
        <v>100</v>
      </c>
      <c r="X37" s="1563"/>
      <c r="Y37" s="3422"/>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22"/>
      <c r="Q38" s="1601">
        <f t="shared" si="11"/>
        <v>111</v>
      </c>
      <c r="R38" s="1573" t="s">
        <v>8</v>
      </c>
      <c r="S38" s="1574">
        <f t="shared" si="12"/>
        <v>100</v>
      </c>
      <c r="T38" s="1573" t="s">
        <v>8</v>
      </c>
      <c r="U38" s="1574">
        <f t="shared" si="13"/>
        <v>100</v>
      </c>
      <c r="V38" s="1573" t="s">
        <v>8</v>
      </c>
      <c r="W38" s="1574">
        <f t="shared" si="14"/>
        <v>100</v>
      </c>
      <c r="X38" s="1575"/>
      <c r="Y38" s="3422"/>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22"/>
      <c r="Q39" s="1568">
        <f t="shared" si="11"/>
        <v>111</v>
      </c>
      <c r="R39" s="1569" t="s">
        <v>8</v>
      </c>
      <c r="S39" s="1570">
        <f t="shared" si="12"/>
        <v>100</v>
      </c>
      <c r="T39" s="1569" t="s">
        <v>8</v>
      </c>
      <c r="U39" s="1570">
        <f t="shared" si="13"/>
        <v>100</v>
      </c>
      <c r="V39" s="1569" t="s">
        <v>8</v>
      </c>
      <c r="W39" s="1570">
        <f t="shared" si="14"/>
        <v>100</v>
      </c>
      <c r="X39" s="1563"/>
      <c r="Y39" s="3422"/>
      <c r="Z39" s="1571">
        <f t="shared" si="15"/>
        <v>111</v>
      </c>
      <c r="AA39" s="1572">
        <f t="shared" si="3"/>
        <v>1</v>
      </c>
      <c r="AB39" s="1572">
        <f t="shared" si="4"/>
        <v>1</v>
      </c>
      <c r="AC39" s="1572">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497"/>
      <c r="Q40" s="1568">
        <f t="shared" si="11"/>
        <v>111</v>
      </c>
      <c r="R40" s="1569" t="s">
        <v>8</v>
      </c>
      <c r="S40" s="1570">
        <f t="shared" si="12"/>
        <v>100</v>
      </c>
      <c r="T40" s="1569" t="s">
        <v>8</v>
      </c>
      <c r="U40" s="1570">
        <f t="shared" si="13"/>
        <v>100</v>
      </c>
      <c r="V40" s="1569" t="s">
        <v>8</v>
      </c>
      <c r="W40" s="1570">
        <f t="shared" si="14"/>
        <v>100</v>
      </c>
      <c r="X40" s="1563"/>
      <c r="Y40" s="3497"/>
      <c r="Z40" s="1571">
        <f t="shared" si="15"/>
        <v>111</v>
      </c>
      <c r="AA40" s="1572">
        <f t="shared" si="3"/>
        <v>1</v>
      </c>
      <c r="AB40" s="1572">
        <f t="shared" si="4"/>
        <v>1</v>
      </c>
      <c r="AC40" s="1572">
        <f t="shared" si="5"/>
        <v>1</v>
      </c>
    </row>
    <row r="41" spans="1:29" ht="14.4">
      <c r="A41" s="606" t="s">
        <v>732</v>
      </c>
      <c r="B41" s="885"/>
      <c r="C41" s="2648" t="s">
        <v>1</v>
      </c>
      <c r="D41" s="2649"/>
      <c r="E41" s="2650"/>
      <c r="F41" s="2651"/>
      <c r="G41" s="2652"/>
      <c r="H41" s="2653"/>
      <c r="I41" s="2650"/>
      <c r="J41" s="2653"/>
      <c r="K41" s="1607"/>
      <c r="L41" s="2141"/>
      <c r="M41" s="2142"/>
      <c r="N41" s="2131"/>
      <c r="O41" s="2142"/>
      <c r="P41" s="3417" t="str">
        <f>A41</f>
        <v>成交单价（元/平方米）</v>
      </c>
      <c r="Q41" s="3417"/>
      <c r="R41" s="3498">
        <f>E41</f>
        <v>0</v>
      </c>
      <c r="S41" s="3498"/>
      <c r="T41" s="3498">
        <f>G41</f>
        <v>0</v>
      </c>
      <c r="U41" s="3498"/>
      <c r="V41" s="3498">
        <f>I41</f>
        <v>0</v>
      </c>
      <c r="W41" s="3498"/>
      <c r="X41" s="1555"/>
      <c r="Y41" s="1577"/>
      <c r="Z41" s="1555"/>
      <c r="AA41" s="1555"/>
      <c r="AB41" s="1555"/>
      <c r="AC41" s="1555"/>
    </row>
    <row r="42" spans="1:29" ht="15" thickBot="1">
      <c r="A42" s="614" t="s">
        <v>2759</v>
      </c>
      <c r="B42" s="886"/>
      <c r="C42" s="2654" t="e">
        <f>R43</f>
        <v>#DIV/0!</v>
      </c>
      <c r="D42" s="2655"/>
      <c r="E42" s="2656" t="e">
        <f>R42</f>
        <v>#DIV/0!</v>
      </c>
      <c r="F42" s="2656"/>
      <c r="G42" s="2654" t="e">
        <f>T42</f>
        <v>#DIV/0!</v>
      </c>
      <c r="H42" s="2655"/>
      <c r="I42" s="2656" t="e">
        <f>V42</f>
        <v>#DIV/0!</v>
      </c>
      <c r="J42" s="2655"/>
      <c r="K42" s="1608"/>
      <c r="L42" s="2141"/>
      <c r="M42" s="2142"/>
      <c r="N42" s="2131"/>
      <c r="O42" s="2142"/>
      <c r="P42" s="3417" t="str">
        <f>A42</f>
        <v>比较价格（元/平方米）</v>
      </c>
      <c r="Q42" s="341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55"/>
      <c r="Y42" s="1555"/>
      <c r="Z42" s="1555"/>
      <c r="AA42" s="1555"/>
      <c r="AB42" s="1555"/>
      <c r="AC42" s="1555"/>
    </row>
    <row r="43" spans="1:29" ht="15" thickBot="1">
      <c r="A43" s="620" t="s">
        <v>2930</v>
      </c>
      <c r="B43" s="621"/>
      <c r="C43" s="2657" t="e">
        <f>R43</f>
        <v>#DIV/0!</v>
      </c>
      <c r="D43" s="2657"/>
      <c r="E43" s="2657"/>
      <c r="F43" s="2657"/>
      <c r="G43" s="2657"/>
      <c r="H43" s="2657"/>
      <c r="I43" s="2657"/>
      <c r="J43" s="2657"/>
      <c r="K43" s="1609"/>
      <c r="L43" s="2141"/>
      <c r="M43" s="2142"/>
      <c r="N43" s="2142"/>
      <c r="O43" s="2142"/>
      <c r="P43" s="3439" t="str">
        <f>A43</f>
        <v>估价对象XX用房的比较价格（楼面单价，元/平方米）</v>
      </c>
      <c r="Q43" s="3440"/>
      <c r="R43" s="3499" t="e">
        <f>IF(F1="售价",ROUND(AVERAGE(R42:V42),0),ROUND(AVERAGE(R42:V42),1))</f>
        <v>#DIV/0!</v>
      </c>
      <c r="S43" s="3499"/>
      <c r="T43" s="3499"/>
      <c r="U43" s="3499"/>
      <c r="V43" s="3499"/>
      <c r="W43" s="3499"/>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4.4">
      <c r="A52" s="644" t="s">
        <v>525</v>
      </c>
      <c r="B52" s="645"/>
      <c r="C52" s="2823" t="str">
        <f>YEAR(C7)&amp;"-"&amp;MONTH(C7)</f>
        <v>2018-9</v>
      </c>
      <c r="D52" s="2825">
        <f>EDATE(C52,-1)</f>
        <v>43313</v>
      </c>
      <c r="E52" s="2825">
        <f t="shared" ref="E52:O52" si="16">EDATE(D52,-1)</f>
        <v>43282</v>
      </c>
      <c r="F52" s="2825">
        <f t="shared" si="16"/>
        <v>43252</v>
      </c>
      <c r="G52" s="2825">
        <f t="shared" si="16"/>
        <v>43221</v>
      </c>
      <c r="H52" s="2825">
        <f t="shared" si="16"/>
        <v>43191</v>
      </c>
      <c r="I52" s="2825">
        <f t="shared" si="16"/>
        <v>43160</v>
      </c>
      <c r="J52" s="2825">
        <f t="shared" si="16"/>
        <v>43132</v>
      </c>
      <c r="K52" s="2825">
        <f t="shared" si="16"/>
        <v>43101</v>
      </c>
      <c r="L52" s="2825">
        <f t="shared" si="16"/>
        <v>43070</v>
      </c>
      <c r="M52" s="2825">
        <f t="shared" si="16"/>
        <v>43040</v>
      </c>
      <c r="N52" s="2825">
        <f t="shared" si="16"/>
        <v>43009</v>
      </c>
      <c r="O52" s="2825">
        <f t="shared" si="16"/>
        <v>42979</v>
      </c>
      <c r="P52" s="2157"/>
      <c r="Q52" s="2158"/>
      <c r="R52" s="2158"/>
      <c r="S52" s="2158"/>
      <c r="T52" s="2158"/>
      <c r="U52" s="2158"/>
      <c r="V52" s="2158"/>
      <c r="W52" s="2158"/>
      <c r="X52" s="2158"/>
      <c r="Y52" s="2158"/>
      <c r="Z52" s="2158"/>
      <c r="AA52" s="2158"/>
      <c r="AB52" s="2158"/>
      <c r="AC52" s="2158"/>
    </row>
    <row r="53" spans="1:29" s="1218"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4.4">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4.4"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4.4"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4.4"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ColWidth="9" defaultRowHeight="13.8"/>
  <cols>
    <col min="1" max="1" width="10.44140625" style="1335" customWidth="1"/>
    <col min="2" max="2" width="15.77734375" style="1335" customWidth="1"/>
    <col min="3" max="3" width="19.66406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921" t="s">
        <v>3064</v>
      </c>
      <c r="C1" s="503" t="s">
        <v>788</v>
      </c>
      <c r="D1" s="848" t="s">
        <v>35</v>
      </c>
      <c r="E1" s="505"/>
      <c r="F1" s="2828" t="s">
        <v>3111</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IF(B37="元/平方米",C39,ROUND(B2*10000/D3,0))</f>
        <v>#DIV/0!</v>
      </c>
      <c r="C3" s="851" t="s">
        <v>792</v>
      </c>
      <c r="D3" s="850">
        <f>SUMIF('数据-汇总表'!$C19:$C33,D1,'数据-汇总表'!$E19:$E33)</f>
        <v>0</v>
      </c>
      <c r="E3" s="1845" t="s">
        <v>2075</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23" t="s">
        <v>794</v>
      </c>
      <c r="D4" s="3424"/>
      <c r="E4" s="3423" t="s">
        <v>795</v>
      </c>
      <c r="F4" s="3424"/>
      <c r="G4" s="3423" t="s">
        <v>796</v>
      </c>
      <c r="H4" s="3424"/>
      <c r="I4" s="3423" t="s">
        <v>797</v>
      </c>
      <c r="J4" s="3424"/>
      <c r="K4" s="513" t="s">
        <v>798</v>
      </c>
      <c r="L4" s="2130"/>
      <c r="M4" s="2131"/>
      <c r="N4" s="2131"/>
      <c r="O4" s="2131"/>
      <c r="P4" s="3425" t="s">
        <v>799</v>
      </c>
      <c r="Q4" s="3426"/>
      <c r="R4" s="3411" t="s">
        <v>795</v>
      </c>
      <c r="S4" s="3412"/>
      <c r="T4" s="3411" t="s">
        <v>796</v>
      </c>
      <c r="U4" s="3412"/>
      <c r="V4" s="3431" t="s">
        <v>797</v>
      </c>
      <c r="W4" s="3431"/>
      <c r="X4" s="1563"/>
      <c r="Y4" s="3411" t="s">
        <v>799</v>
      </c>
      <c r="Z4" s="3412"/>
      <c r="AA4" s="3406" t="s">
        <v>795</v>
      </c>
      <c r="AB4" s="3407" t="s">
        <v>796</v>
      </c>
      <c r="AC4" s="3406" t="s">
        <v>797</v>
      </c>
    </row>
    <row r="5" spans="1:29">
      <c r="A5" s="514"/>
      <c r="B5" s="515"/>
      <c r="C5" s="3434" t="s">
        <v>2924</v>
      </c>
      <c r="D5" s="3435"/>
      <c r="E5" s="3495" t="s">
        <v>3115</v>
      </c>
      <c r="F5" s="3435"/>
      <c r="G5" s="3495" t="s">
        <v>3116</v>
      </c>
      <c r="H5" s="3435"/>
      <c r="I5" s="3495" t="s">
        <v>3117</v>
      </c>
      <c r="J5" s="3435"/>
      <c r="K5" s="513"/>
      <c r="L5" s="2130"/>
      <c r="M5" s="2131"/>
      <c r="N5" s="2131"/>
      <c r="O5" s="2131"/>
      <c r="P5" s="3427"/>
      <c r="Q5" s="3428"/>
      <c r="R5" s="3413"/>
      <c r="S5" s="3414"/>
      <c r="T5" s="3413"/>
      <c r="U5" s="3414"/>
      <c r="V5" s="3431"/>
      <c r="W5" s="3431"/>
      <c r="X5" s="1563"/>
      <c r="Y5" s="3413"/>
      <c r="Z5" s="3414"/>
      <c r="AA5" s="3407"/>
      <c r="AB5" s="3407"/>
      <c r="AC5" s="3407"/>
    </row>
    <row r="6" spans="1:29" ht="15" thickBot="1">
      <c r="A6" s="516"/>
      <c r="B6" s="517"/>
      <c r="C6" s="3452" t="s">
        <v>2928</v>
      </c>
      <c r="D6" s="3433"/>
      <c r="E6" s="3527" t="s">
        <v>2928</v>
      </c>
      <c r="F6" s="3438"/>
      <c r="G6" s="3452" t="s">
        <v>2928</v>
      </c>
      <c r="H6" s="3433"/>
      <c r="I6" s="3452" t="s">
        <v>2928</v>
      </c>
      <c r="J6" s="3433"/>
      <c r="K6" s="513" t="s">
        <v>524</v>
      </c>
      <c r="L6" s="2130"/>
      <c r="M6" s="2131"/>
      <c r="N6" s="2131"/>
      <c r="O6" s="2131"/>
      <c r="P6" s="3429"/>
      <c r="Q6" s="3430"/>
      <c r="R6" s="3413"/>
      <c r="S6" s="3414"/>
      <c r="T6" s="3415"/>
      <c r="U6" s="3416"/>
      <c r="V6" s="3431"/>
      <c r="W6" s="3431"/>
      <c r="X6" s="1563"/>
      <c r="Y6" s="3415"/>
      <c r="Z6" s="3416"/>
      <c r="AA6" s="3408"/>
      <c r="AB6" s="3408"/>
      <c r="AC6" s="3408"/>
    </row>
    <row r="7" spans="1:29" s="1218" customFormat="1" ht="15" thickBot="1">
      <c r="A7" s="2933"/>
      <c r="B7" s="2940" t="s">
        <v>525</v>
      </c>
      <c r="C7" s="518">
        <f>'数据-取费表'!B2</f>
        <v>43353</v>
      </c>
      <c r="D7" s="519">
        <v>100</v>
      </c>
      <c r="E7" s="520">
        <v>43221</v>
      </c>
      <c r="F7" s="521">
        <f>SUMIF(48:48,YEAR(E7)&amp;"-"&amp;MONTH(E7),49:49)</f>
        <v>99.5</v>
      </c>
      <c r="G7" s="522">
        <v>43160</v>
      </c>
      <c r="H7" s="519">
        <f>SUMIF(48:48,YEAR(G7)&amp;"-"&amp;MONTH(G7),49:49)</f>
        <v>0</v>
      </c>
      <c r="I7" s="522">
        <v>43221</v>
      </c>
      <c r="J7" s="519">
        <f>SUMIF(48:48,YEAR(I7)&amp;"-"&amp;MONTH(I7),49:49)</f>
        <v>99.5</v>
      </c>
      <c r="K7" s="523"/>
      <c r="L7" s="2132"/>
      <c r="M7" s="2133"/>
      <c r="N7" s="2133"/>
      <c r="O7" s="2133"/>
      <c r="P7" s="3409" t="s">
        <v>526</v>
      </c>
      <c r="Q7" s="3418"/>
      <c r="R7" s="1564" t="s">
        <v>8</v>
      </c>
      <c r="S7" s="1565">
        <f t="shared" ref="S7:S14" si="0">F7</f>
        <v>99.5</v>
      </c>
      <c r="T7" s="1564" t="s">
        <v>8</v>
      </c>
      <c r="U7" s="1565">
        <f t="shared" ref="U7:U14" si="1">H7</f>
        <v>0</v>
      </c>
      <c r="V7" s="1564" t="s">
        <v>8</v>
      </c>
      <c r="W7" s="1565">
        <f t="shared" ref="W7:W14" si="2">J7</f>
        <v>99.5</v>
      </c>
      <c r="X7" s="1566"/>
      <c r="Y7" s="3409" t="s">
        <v>526</v>
      </c>
      <c r="Z7" s="3410"/>
      <c r="AA7" s="1567">
        <f>D7/F7</f>
        <v>1.0050251256281406</v>
      </c>
      <c r="AB7" s="1567" t="e">
        <f>D7/H7</f>
        <v>#DIV/0!</v>
      </c>
      <c r="AC7" s="1567">
        <f>D7/J7</f>
        <v>1.0050251256281406</v>
      </c>
    </row>
    <row r="8" spans="1:29" s="1218" customFormat="1" ht="1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09" t="s">
        <v>529</v>
      </c>
      <c r="Q8" s="3410"/>
      <c r="R8" s="1564" t="s">
        <v>8</v>
      </c>
      <c r="S8" s="1565">
        <f t="shared" si="0"/>
        <v>100</v>
      </c>
      <c r="T8" s="1564" t="s">
        <v>8</v>
      </c>
      <c r="U8" s="1565">
        <f t="shared" si="1"/>
        <v>100</v>
      </c>
      <c r="V8" s="1564" t="s">
        <v>8</v>
      </c>
      <c r="W8" s="1565">
        <f t="shared" si="2"/>
        <v>100</v>
      </c>
      <c r="X8" s="1566"/>
      <c r="Y8" s="3409" t="s">
        <v>529</v>
      </c>
      <c r="Z8" s="3410"/>
      <c r="AA8" s="1567">
        <f t="shared" ref="AA8:AA36" si="3">D8/F8</f>
        <v>1</v>
      </c>
      <c r="AB8" s="1567">
        <f t="shared" ref="AB8:AB36" si="4">D8/H8</f>
        <v>1</v>
      </c>
      <c r="AC8" s="1567">
        <f t="shared" ref="AC8:AC36" si="5">D8/J8</f>
        <v>1</v>
      </c>
    </row>
    <row r="9" spans="1:29" s="1218" customFormat="1" ht="14.4">
      <c r="A9" s="2935"/>
      <c r="B9" s="2942" t="s">
        <v>2755</v>
      </c>
      <c r="C9" s="3211" t="s">
        <v>3112</v>
      </c>
      <c r="D9" s="253">
        <v>100</v>
      </c>
      <c r="E9" s="859" t="s">
        <v>3064</v>
      </c>
      <c r="F9" s="253">
        <f>SUMIF(53:53,E9,54:54)-SUMIF(53:53,C9,54:54)+100</f>
        <v>100</v>
      </c>
      <c r="G9" s="859" t="s">
        <v>3064</v>
      </c>
      <c r="H9" s="253">
        <f>SUMIF(53:53,G9,54:54)-SUMIF(53:53,C9,54:54)+100</f>
        <v>100</v>
      </c>
      <c r="I9" s="859" t="s">
        <v>3064</v>
      </c>
      <c r="J9" s="253">
        <f>SUMIF(53:53,I9,54:54)-SUMIF(53:53,C9,54:54)+100</f>
        <v>100</v>
      </c>
      <c r="K9" s="523"/>
      <c r="L9" s="2132"/>
      <c r="M9" s="2133"/>
      <c r="N9" s="2133"/>
      <c r="O9" s="2134"/>
      <c r="P9" s="3417" t="s">
        <v>531</v>
      </c>
      <c r="Q9" s="1149" t="str">
        <f t="shared" ref="Q9:Q14" si="6">B9</f>
        <v>用途</v>
      </c>
      <c r="R9" s="1564" t="s">
        <v>8</v>
      </c>
      <c r="S9" s="1565">
        <f t="shared" si="0"/>
        <v>100</v>
      </c>
      <c r="T9" s="1564" t="s">
        <v>8</v>
      </c>
      <c r="U9" s="1565">
        <f t="shared" si="1"/>
        <v>100</v>
      </c>
      <c r="V9" s="1564" t="s">
        <v>8</v>
      </c>
      <c r="W9" s="1565">
        <f t="shared" si="2"/>
        <v>100</v>
      </c>
      <c r="X9" s="1566"/>
      <c r="Y9" s="3374" t="s">
        <v>532</v>
      </c>
      <c r="Z9" s="1148" t="str">
        <f t="shared" ref="Z9:Z14" si="7">Q9</f>
        <v>用途</v>
      </c>
      <c r="AA9" s="1567">
        <f t="shared" si="3"/>
        <v>1</v>
      </c>
      <c r="AB9" s="1567">
        <f t="shared" si="4"/>
        <v>1</v>
      </c>
      <c r="AC9" s="1567">
        <f t="shared" si="5"/>
        <v>1</v>
      </c>
    </row>
    <row r="10" spans="1:29" s="1336" customFormat="1" ht="28.8">
      <c r="A10" s="2936"/>
      <c r="B10" s="2941" t="s">
        <v>2756</v>
      </c>
      <c r="C10" s="860" t="s">
        <v>3113</v>
      </c>
      <c r="D10" s="254">
        <v>100</v>
      </c>
      <c r="E10" s="860" t="s">
        <v>3113</v>
      </c>
      <c r="F10" s="254">
        <f>SUMIF(55:55,E10,56:56)-SUMIF(55:55,C10,56:56)+100</f>
        <v>100</v>
      </c>
      <c r="G10" s="860" t="s">
        <v>3113</v>
      </c>
      <c r="H10" s="254">
        <f>SUMIF(55:55,G10,56:56)-SUMIF(55:55,C10,56:56)+100</f>
        <v>100</v>
      </c>
      <c r="I10" s="860" t="s">
        <v>3113</v>
      </c>
      <c r="J10" s="254">
        <f>SUMIF(55:55,I10,56:56)-SUMIF(55:55,C10,56:56)+100</f>
        <v>100</v>
      </c>
      <c r="K10" s="583">
        <v>1</v>
      </c>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74"/>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17"/>
      <c r="Q11" s="1149">
        <f t="shared" si="6"/>
        <v>111</v>
      </c>
      <c r="R11" s="1564" t="s">
        <v>8</v>
      </c>
      <c r="S11" s="1565">
        <f t="shared" si="0"/>
        <v>100</v>
      </c>
      <c r="T11" s="1564" t="s">
        <v>8</v>
      </c>
      <c r="U11" s="1565">
        <f t="shared" si="1"/>
        <v>100</v>
      </c>
      <c r="V11" s="1564" t="s">
        <v>8</v>
      </c>
      <c r="W11" s="1565">
        <f t="shared" si="2"/>
        <v>100</v>
      </c>
      <c r="X11" s="1566"/>
      <c r="Y11" s="3374"/>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74"/>
      <c r="Z12" s="1148">
        <f t="shared" si="7"/>
        <v>111</v>
      </c>
      <c r="AA12" s="1567">
        <f>D12/F12</f>
        <v>1</v>
      </c>
      <c r="AB12" s="1567">
        <f>D12/H12</f>
        <v>1</v>
      </c>
      <c r="AC12" s="1567">
        <f>D12/J12</f>
        <v>1</v>
      </c>
    </row>
    <row r="13" spans="1:29" ht="15.6"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74"/>
      <c r="Z13" s="1148">
        <f t="shared" si="7"/>
        <v>111</v>
      </c>
      <c r="AA13" s="1567">
        <f t="shared" si="3"/>
        <v>1</v>
      </c>
      <c r="AB13" s="1567">
        <f t="shared" si="4"/>
        <v>1</v>
      </c>
      <c r="AC13" s="1567">
        <f t="shared" si="5"/>
        <v>1</v>
      </c>
    </row>
    <row r="14" spans="1:29" ht="89.25" customHeight="1">
      <c r="A14" s="2931" t="s">
        <v>2753</v>
      </c>
      <c r="B14" s="546" t="s">
        <v>539</v>
      </c>
      <c r="C14" s="919" t="str">
        <f>IF(B1="工业",估价对象房地状况!G4,估价对象房地状况!C6)</f>
        <v>估价对象周边道路状况、公共交通通达情况：有071、003、030、36等多路公交车，停车便捷程度，综合评价交通便捷度较好</v>
      </c>
      <c r="D14" s="548">
        <v>100</v>
      </c>
      <c r="E14" s="3212" t="s">
        <v>3114</v>
      </c>
      <c r="F14" s="550">
        <f>SUMIF(63:63,E15,64:64)-SUMIF(63:63,C15,64:64)+100</f>
        <v>102</v>
      </c>
      <c r="G14" s="3212" t="s">
        <v>3114</v>
      </c>
      <c r="H14" s="548">
        <f>SUMIF(63:63,G15,64:64)-SUMIF(63:63,C15,64:64)+100</f>
        <v>102</v>
      </c>
      <c r="I14" s="549"/>
      <c r="J14" s="548">
        <f>SUMIF(63:63,I15,64:64)-SUMIF(63:63,C15,64:64)+100</f>
        <v>100</v>
      </c>
      <c r="K14" s="896">
        <f>'比较法-住宅、综合'!K23</f>
        <v>2</v>
      </c>
      <c r="L14" s="2139"/>
      <c r="M14" s="2131"/>
      <c r="N14" s="2131"/>
      <c r="O14" s="2138"/>
      <c r="P14" s="3419" t="s">
        <v>536</v>
      </c>
      <c r="Q14" s="1568" t="str">
        <f t="shared" si="6"/>
        <v>交通便捷度</v>
      </c>
      <c r="R14" s="1569" t="s">
        <v>8</v>
      </c>
      <c r="S14" s="1570">
        <f t="shared" si="0"/>
        <v>102</v>
      </c>
      <c r="T14" s="1569" t="s">
        <v>8</v>
      </c>
      <c r="U14" s="1570">
        <f t="shared" si="1"/>
        <v>102</v>
      </c>
      <c r="V14" s="1569" t="s">
        <v>8</v>
      </c>
      <c r="W14" s="1570">
        <f t="shared" si="2"/>
        <v>100</v>
      </c>
      <c r="X14" s="1563"/>
      <c r="Y14" s="3419" t="s">
        <v>536</v>
      </c>
      <c r="Z14" s="1571" t="str">
        <f t="shared" si="7"/>
        <v>交通便捷度</v>
      </c>
      <c r="AA14" s="1572">
        <f t="shared" si="3"/>
        <v>0.98039215686274506</v>
      </c>
      <c r="AB14" s="1572">
        <f t="shared" si="4"/>
        <v>0.98039215686274506</v>
      </c>
      <c r="AC14" s="1572">
        <f t="shared" si="5"/>
        <v>1</v>
      </c>
    </row>
    <row r="15" spans="1:29" ht="15">
      <c r="A15" s="514"/>
      <c r="B15" s="922"/>
      <c r="C15" s="575" t="s">
        <v>3085</v>
      </c>
      <c r="D15" s="554"/>
      <c r="E15" s="575" t="s">
        <v>3087</v>
      </c>
      <c r="F15" s="556"/>
      <c r="G15" s="575" t="s">
        <v>3087</v>
      </c>
      <c r="H15" s="558"/>
      <c r="I15" s="575" t="s">
        <v>3085</v>
      </c>
      <c r="J15" s="554"/>
      <c r="K15" s="897"/>
      <c r="L15" s="2139"/>
      <c r="M15" s="2131"/>
      <c r="N15" s="2131"/>
      <c r="O15" s="2138"/>
      <c r="P15" s="3420"/>
      <c r="Q15" s="1568"/>
      <c r="R15" s="1569"/>
      <c r="S15" s="1570"/>
      <c r="T15" s="1569"/>
      <c r="U15" s="1570"/>
      <c r="V15" s="1569"/>
      <c r="W15" s="1570"/>
      <c r="X15" s="1563"/>
      <c r="Y15" s="3420"/>
      <c r="Z15" s="1571"/>
      <c r="AA15" s="1572">
        <v>1</v>
      </c>
      <c r="AB15" s="1572">
        <v>1</v>
      </c>
      <c r="AC15" s="1572">
        <v>1</v>
      </c>
    </row>
    <row r="16" spans="1:29" ht="55.2">
      <c r="A16" s="514"/>
      <c r="B16" s="2624" t="s">
        <v>2545</v>
      </c>
      <c r="C16" s="871" t="str">
        <f>IF(B1="工业",估价对象房地状况!G5,估价对象房地状况!C7)</f>
        <v>估价对象所在区域公共配套设施齐备情况较好：中山市实验中学</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20"/>
      <c r="Q16" s="1568" t="str">
        <f>B16</f>
        <v>公共配套设施</v>
      </c>
      <c r="R16" s="1569" t="s">
        <v>8</v>
      </c>
      <c r="S16" s="1570">
        <f>F16</f>
        <v>100</v>
      </c>
      <c r="T16" s="1569" t="s">
        <v>8</v>
      </c>
      <c r="U16" s="1570">
        <f>H16</f>
        <v>100</v>
      </c>
      <c r="V16" s="1569" t="s">
        <v>8</v>
      </c>
      <c r="W16" s="1570">
        <f>J16</f>
        <v>100</v>
      </c>
      <c r="X16" s="1563"/>
      <c r="Y16" s="3420"/>
      <c r="Z16" s="1571" t="str">
        <f>Q16</f>
        <v>公共配套设施</v>
      </c>
      <c r="AA16" s="1572">
        <f t="shared" si="3"/>
        <v>1</v>
      </c>
      <c r="AB16" s="1572">
        <f t="shared" si="4"/>
        <v>1</v>
      </c>
      <c r="AC16" s="1572">
        <f t="shared" si="5"/>
        <v>1</v>
      </c>
    </row>
    <row r="17" spans="1:29" ht="15">
      <c r="A17" s="514"/>
      <c r="B17" s="565"/>
      <c r="C17" s="872" t="s">
        <v>3085</v>
      </c>
      <c r="D17" s="554"/>
      <c r="E17" s="872" t="s">
        <v>3085</v>
      </c>
      <c r="F17" s="556"/>
      <c r="G17" s="575" t="s">
        <v>3085</v>
      </c>
      <c r="H17" s="554"/>
      <c r="I17" s="575" t="s">
        <v>3085</v>
      </c>
      <c r="J17" s="554"/>
      <c r="K17" s="897"/>
      <c r="L17" s="2139"/>
      <c r="M17" s="2131"/>
      <c r="N17" s="2131"/>
      <c r="O17" s="2138"/>
      <c r="P17" s="3420"/>
      <c r="Q17" s="1568"/>
      <c r="R17" s="1569"/>
      <c r="S17" s="1570"/>
      <c r="T17" s="1569"/>
      <c r="U17" s="1570"/>
      <c r="V17" s="1569"/>
      <c r="W17" s="1570"/>
      <c r="X17" s="1563"/>
      <c r="Y17" s="3420"/>
      <c r="Z17" s="1571"/>
      <c r="AA17" s="1572">
        <v>1</v>
      </c>
      <c r="AB17" s="1572">
        <v>1</v>
      </c>
      <c r="AC17" s="1572">
        <v>1</v>
      </c>
    </row>
    <row r="18" spans="1:29" ht="27.6">
      <c r="A18" s="514"/>
      <c r="B18" s="2612" t="s">
        <v>2557</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20"/>
      <c r="Q18" s="2600" t="str">
        <f>B18</f>
        <v>基础设施水平</v>
      </c>
      <c r="R18" s="1569" t="s">
        <v>8</v>
      </c>
      <c r="S18" s="1570">
        <f>F18</f>
        <v>100</v>
      </c>
      <c r="T18" s="1569" t="s">
        <v>8</v>
      </c>
      <c r="U18" s="1570">
        <f>H18</f>
        <v>100</v>
      </c>
      <c r="V18" s="1569" t="s">
        <v>8</v>
      </c>
      <c r="W18" s="1570">
        <f>J18</f>
        <v>100</v>
      </c>
      <c r="X18" s="2602"/>
      <c r="Y18" s="3420"/>
      <c r="Z18" s="2601" t="str">
        <f>Q18</f>
        <v>基础设施水平</v>
      </c>
      <c r="AA18" s="1572">
        <f t="shared" ref="AA18" si="8">D18/F18</f>
        <v>1</v>
      </c>
      <c r="AB18" s="1572">
        <f t="shared" ref="AB18" si="9">D18/H18</f>
        <v>1</v>
      </c>
      <c r="AC18" s="1572">
        <f t="shared" ref="AC18" si="10">D18/J18</f>
        <v>1</v>
      </c>
    </row>
    <row r="19" spans="1:29" ht="15">
      <c r="A19" s="514"/>
      <c r="B19" s="577"/>
      <c r="C19" s="872" t="s">
        <v>3090</v>
      </c>
      <c r="D19" s="558"/>
      <c r="E19" s="872" t="s">
        <v>3090</v>
      </c>
      <c r="F19" s="556"/>
      <c r="G19" s="872" t="s">
        <v>3090</v>
      </c>
      <c r="H19" s="554"/>
      <c r="I19" s="872" t="s">
        <v>3090</v>
      </c>
      <c r="J19" s="554"/>
      <c r="K19" s="2623"/>
      <c r="L19" s="2139"/>
      <c r="M19" s="2131"/>
      <c r="N19" s="2131"/>
      <c r="O19" s="2138"/>
      <c r="P19" s="3420"/>
      <c r="Q19" s="2600"/>
      <c r="R19" s="1569"/>
      <c r="S19" s="1570"/>
      <c r="T19" s="1569"/>
      <c r="U19" s="1570"/>
      <c r="V19" s="1569"/>
      <c r="W19" s="1570"/>
      <c r="X19" s="2602"/>
      <c r="Y19" s="3420"/>
      <c r="Z19" s="2601"/>
      <c r="AA19" s="1572">
        <v>1</v>
      </c>
      <c r="AB19" s="1572">
        <v>1</v>
      </c>
      <c r="AC19" s="1572">
        <v>1</v>
      </c>
    </row>
    <row r="20" spans="1:29" ht="55.2">
      <c r="A20" s="514"/>
      <c r="B20" s="559" t="s">
        <v>800</v>
      </c>
      <c r="C20" s="871" t="str">
        <f>IF(B1="工业",估价对象房地状况!G7,估价对象房地状况!C9)</f>
        <v>周边2公里区域自然环境：；人文环境：；综合评价环境状况较好</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20"/>
      <c r="Q20" s="1568" t="str">
        <f>B20</f>
        <v>自然及人文环境</v>
      </c>
      <c r="R20" s="1569" t="s">
        <v>8</v>
      </c>
      <c r="S20" s="1570">
        <f>F20</f>
        <v>98</v>
      </c>
      <c r="T20" s="1569" t="s">
        <v>8</v>
      </c>
      <c r="U20" s="1570">
        <f>H20</f>
        <v>98</v>
      </c>
      <c r="V20" s="1569" t="s">
        <v>8</v>
      </c>
      <c r="W20" s="1570">
        <f>J20</f>
        <v>100</v>
      </c>
      <c r="X20" s="1563"/>
      <c r="Y20" s="3420"/>
      <c r="Z20" s="1571" t="str">
        <f>Q20</f>
        <v>自然及人文环境</v>
      </c>
      <c r="AA20" s="1572">
        <f t="shared" si="3"/>
        <v>1.0204081632653061</v>
      </c>
      <c r="AB20" s="1572">
        <f t="shared" si="4"/>
        <v>1.0204081632653061</v>
      </c>
      <c r="AC20" s="1572">
        <f t="shared" si="5"/>
        <v>1</v>
      </c>
    </row>
    <row r="21" spans="1:29" ht="15">
      <c r="A21" s="514"/>
      <c r="B21" s="565"/>
      <c r="C21" s="575" t="s">
        <v>3087</v>
      </c>
      <c r="D21" s="554"/>
      <c r="E21" s="575" t="s">
        <v>3085</v>
      </c>
      <c r="F21" s="556"/>
      <c r="G21" s="575" t="s">
        <v>3085</v>
      </c>
      <c r="H21" s="554"/>
      <c r="I21" s="575" t="s">
        <v>3087</v>
      </c>
      <c r="J21" s="554"/>
      <c r="K21" s="897"/>
      <c r="L21" s="2139"/>
      <c r="M21" s="2131"/>
      <c r="N21" s="2131"/>
      <c r="O21" s="2138"/>
      <c r="P21" s="3420"/>
      <c r="Q21" s="1568"/>
      <c r="R21" s="1569"/>
      <c r="S21" s="1570"/>
      <c r="T21" s="1569"/>
      <c r="U21" s="1570"/>
      <c r="V21" s="1569"/>
      <c r="W21" s="1570"/>
      <c r="X21" s="1563"/>
      <c r="Y21" s="3420"/>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20"/>
      <c r="Q22" s="1568" t="str">
        <f>B22</f>
        <v>楼层</v>
      </c>
      <c r="R22" s="1569" t="s">
        <v>8</v>
      </c>
      <c r="S22" s="1570">
        <f>F22</f>
        <v>100</v>
      </c>
      <c r="T22" s="1569" t="s">
        <v>8</v>
      </c>
      <c r="U22" s="1570">
        <f>H22</f>
        <v>100</v>
      </c>
      <c r="V22" s="1569" t="s">
        <v>8</v>
      </c>
      <c r="W22" s="1570">
        <f>J22</f>
        <v>100</v>
      </c>
      <c r="X22" s="1563"/>
      <c r="Y22" s="3420"/>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20"/>
      <c r="Q23" s="1568">
        <f>B23</f>
        <v>0</v>
      </c>
      <c r="R23" s="1569" t="s">
        <v>8</v>
      </c>
      <c r="S23" s="1570">
        <f>F23</f>
        <v>100</v>
      </c>
      <c r="T23" s="1569" t="s">
        <v>8</v>
      </c>
      <c r="U23" s="1570">
        <f>H23</f>
        <v>100</v>
      </c>
      <c r="V23" s="1569" t="s">
        <v>8</v>
      </c>
      <c r="W23" s="1570">
        <f>J23</f>
        <v>100</v>
      </c>
      <c r="X23" s="1563"/>
      <c r="Y23" s="3420"/>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20"/>
      <c r="Q24" s="1568">
        <f t="shared" ref="Q24:Q36" si="11">B24</f>
        <v>0</v>
      </c>
      <c r="R24" s="1569" t="s">
        <v>8</v>
      </c>
      <c r="S24" s="1570">
        <f>F24</f>
        <v>100</v>
      </c>
      <c r="T24" s="1569" t="s">
        <v>8</v>
      </c>
      <c r="U24" s="1570">
        <f>H24</f>
        <v>100</v>
      </c>
      <c r="V24" s="1569" t="s">
        <v>8</v>
      </c>
      <c r="W24" s="1570">
        <f>J24</f>
        <v>100</v>
      </c>
      <c r="X24" s="1563"/>
      <c r="Y24" s="3420"/>
      <c r="Z24" s="1571">
        <f>Q24</f>
        <v>0</v>
      </c>
      <c r="AA24" s="1572">
        <f t="shared" si="3"/>
        <v>1</v>
      </c>
      <c r="AB24" s="1572">
        <f t="shared" si="4"/>
        <v>1</v>
      </c>
      <c r="AC24" s="1572">
        <f t="shared" si="5"/>
        <v>1</v>
      </c>
    </row>
    <row r="25" spans="1:29" s="1218" customFormat="1" ht="15.6"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20"/>
      <c r="Q25" s="1149">
        <f t="shared" si="11"/>
        <v>0</v>
      </c>
      <c r="R25" s="1564" t="s">
        <v>8</v>
      </c>
      <c r="S25" s="1565">
        <f>F25</f>
        <v>100</v>
      </c>
      <c r="T25" s="1564" t="s">
        <v>8</v>
      </c>
      <c r="U25" s="1565">
        <f>H25</f>
        <v>100</v>
      </c>
      <c r="V25" s="1564" t="s">
        <v>8</v>
      </c>
      <c r="W25" s="1565">
        <f>J25</f>
        <v>100</v>
      </c>
      <c r="X25" s="1566"/>
      <c r="Y25" s="3420"/>
      <c r="Z25" s="1148">
        <f>Q25</f>
        <v>0</v>
      </c>
      <c r="AA25" s="1572">
        <f>D25/F25</f>
        <v>1</v>
      </c>
      <c r="AB25" s="1572">
        <f>D25/H25</f>
        <v>1</v>
      </c>
      <c r="AC25" s="1572">
        <f>D25/J25</f>
        <v>1</v>
      </c>
    </row>
    <row r="26" spans="1:29" ht="15">
      <c r="A26" s="2928" t="s">
        <v>2754</v>
      </c>
      <c r="B26" s="170" t="s">
        <v>802</v>
      </c>
      <c r="C26" s="926" t="str">
        <f>B1</f>
        <v>车库</v>
      </c>
      <c r="D26" s="554">
        <v>100</v>
      </c>
      <c r="E26" s="575" t="s">
        <v>3064</v>
      </c>
      <c r="F26" s="556">
        <f>SUMIF(79:79,E26,80:80)-SUMIF(79:79,C26,80:80)+100</f>
        <v>100</v>
      </c>
      <c r="G26" s="575" t="s">
        <v>3064</v>
      </c>
      <c r="H26" s="554">
        <f>SUMIF(79:79,G26,80:80)-SUMIF(79:79,C26,80:80)+100</f>
        <v>100</v>
      </c>
      <c r="I26" s="575" t="s">
        <v>3064</v>
      </c>
      <c r="J26" s="554">
        <f>SUMIF(79:79,I26,80:80)-SUMIF(79:79,C26,80:80)+100</f>
        <v>100</v>
      </c>
      <c r="K26" s="583"/>
      <c r="L26" s="2139"/>
      <c r="M26" s="2131"/>
      <c r="N26" s="2131"/>
      <c r="O26" s="2138"/>
      <c r="P26" s="3421"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22"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22"/>
      <c r="Q27" s="1601" t="str">
        <f t="shared" si="11"/>
        <v>项目停车位配比</v>
      </c>
      <c r="R27" s="1573" t="s">
        <v>8</v>
      </c>
      <c r="S27" s="1574">
        <f t="shared" si="12"/>
        <v>100</v>
      </c>
      <c r="T27" s="1573" t="s">
        <v>8</v>
      </c>
      <c r="U27" s="1574">
        <f t="shared" si="13"/>
        <v>100</v>
      </c>
      <c r="V27" s="1573" t="s">
        <v>8</v>
      </c>
      <c r="W27" s="1574">
        <f t="shared" si="14"/>
        <v>100</v>
      </c>
      <c r="X27" s="1575"/>
      <c r="Y27" s="3422"/>
      <c r="Z27" s="1576" t="str">
        <f t="shared" si="15"/>
        <v>项目停车位配比</v>
      </c>
      <c r="AA27" s="1572">
        <f t="shared" si="3"/>
        <v>1</v>
      </c>
      <c r="AB27" s="1572">
        <f t="shared" si="4"/>
        <v>1</v>
      </c>
      <c r="AC27" s="1572">
        <f t="shared" si="5"/>
        <v>1</v>
      </c>
    </row>
    <row r="28" spans="1:29" ht="15">
      <c r="A28" s="929"/>
      <c r="B28" s="581" t="s">
        <v>804</v>
      </c>
      <c r="C28" s="573" t="s">
        <v>3118</v>
      </c>
      <c r="D28" s="539">
        <v>100</v>
      </c>
      <c r="E28" s="573" t="s">
        <v>3118</v>
      </c>
      <c r="F28" s="574">
        <f>SUMIF(83:83,E28,84:84)-SUMIF(83:83,C28,84:84)+100</f>
        <v>100</v>
      </c>
      <c r="G28" s="573" t="s">
        <v>3118</v>
      </c>
      <c r="H28" s="539">
        <f>SUMIF(83:83,G28,84:84)-SUMIF(83:83,C28,84:84)+100</f>
        <v>100</v>
      </c>
      <c r="I28" s="573" t="s">
        <v>3118</v>
      </c>
      <c r="J28" s="539">
        <f>SUMIF(83:83,I28,84:84)-SUMIF(83:83,C28,84:84)+100</f>
        <v>100</v>
      </c>
      <c r="K28" s="583">
        <v>2</v>
      </c>
      <c r="L28" s="2139"/>
      <c r="M28" s="2131"/>
      <c r="N28" s="2131"/>
      <c r="O28" s="2138"/>
      <c r="P28" s="3422"/>
      <c r="Q28" s="1568" t="str">
        <f t="shared" si="11"/>
        <v>公共部分装修</v>
      </c>
      <c r="R28" s="1569" t="s">
        <v>8</v>
      </c>
      <c r="S28" s="1570">
        <f t="shared" si="12"/>
        <v>100</v>
      </c>
      <c r="T28" s="1569" t="s">
        <v>8</v>
      </c>
      <c r="U28" s="1570">
        <f t="shared" si="13"/>
        <v>100</v>
      </c>
      <c r="V28" s="1569" t="s">
        <v>8</v>
      </c>
      <c r="W28" s="1570">
        <f t="shared" si="14"/>
        <v>100</v>
      </c>
      <c r="X28" s="1563"/>
      <c r="Y28" s="3422"/>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22"/>
      <c r="Q29" s="1568" t="str">
        <f t="shared" si="11"/>
        <v>成新率</v>
      </c>
      <c r="R29" s="1569" t="s">
        <v>8</v>
      </c>
      <c r="S29" s="1570">
        <f t="shared" si="12"/>
        <v>100</v>
      </c>
      <c r="T29" s="1569" t="s">
        <v>8</v>
      </c>
      <c r="U29" s="1570">
        <f t="shared" si="13"/>
        <v>100</v>
      </c>
      <c r="V29" s="1569" t="s">
        <v>8</v>
      </c>
      <c r="W29" s="1570">
        <f t="shared" si="14"/>
        <v>100</v>
      </c>
      <c r="X29" s="1563"/>
      <c r="Y29" s="3422"/>
      <c r="Z29" s="1571" t="str">
        <f t="shared" si="15"/>
        <v>成新率</v>
      </c>
      <c r="AA29" s="1572">
        <f t="shared" si="3"/>
        <v>1</v>
      </c>
      <c r="AB29" s="1572">
        <f t="shared" si="4"/>
        <v>1</v>
      </c>
      <c r="AC29" s="1572">
        <f t="shared" si="5"/>
        <v>1</v>
      </c>
    </row>
    <row r="30" spans="1:29" ht="15">
      <c r="A30" s="929"/>
      <c r="B30" s="581" t="s">
        <v>806</v>
      </c>
      <c r="C30" s="930" t="s">
        <v>3123</v>
      </c>
      <c r="D30" s="539">
        <v>100</v>
      </c>
      <c r="E30" s="930" t="s">
        <v>3123</v>
      </c>
      <c r="F30" s="574">
        <f>SUMIF(88:88,E30,89:89)-SUMIF(88:88,C30,89:89)+100</f>
        <v>100</v>
      </c>
      <c r="G30" s="930" t="s">
        <v>3123</v>
      </c>
      <c r="H30" s="539">
        <f>SUMIF(88:88,E30,89:89)-SUMIF(88:88,C30,89:89)+100</f>
        <v>100</v>
      </c>
      <c r="I30" s="930" t="s">
        <v>3123</v>
      </c>
      <c r="J30" s="539">
        <f>SUMIF(88:88,E30,89:89)-SUMIF(88:88,C30,89:89)+100</f>
        <v>100</v>
      </c>
      <c r="K30" s="583">
        <v>2</v>
      </c>
      <c r="L30" s="2139"/>
      <c r="M30" s="2131"/>
      <c r="N30" s="2131"/>
      <c r="O30" s="2138"/>
      <c r="P30" s="3422"/>
      <c r="Q30" s="1568" t="str">
        <f t="shared" si="11"/>
        <v>物业等级</v>
      </c>
      <c r="R30" s="1569" t="s">
        <v>8</v>
      </c>
      <c r="S30" s="1570">
        <f t="shared" si="12"/>
        <v>100</v>
      </c>
      <c r="T30" s="1569" t="s">
        <v>8</v>
      </c>
      <c r="U30" s="1570">
        <f t="shared" si="13"/>
        <v>100</v>
      </c>
      <c r="V30" s="1569" t="s">
        <v>8</v>
      </c>
      <c r="W30" s="1570">
        <f t="shared" si="14"/>
        <v>100</v>
      </c>
      <c r="X30" s="1563"/>
      <c r="Y30" s="3422"/>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22"/>
      <c r="Q31" s="1149" t="str">
        <f t="shared" si="11"/>
        <v>停车位面积</v>
      </c>
      <c r="R31" s="1564" t="s">
        <v>8</v>
      </c>
      <c r="S31" s="1565">
        <f t="shared" si="12"/>
        <v>100</v>
      </c>
      <c r="T31" s="1564" t="s">
        <v>8</v>
      </c>
      <c r="U31" s="1565">
        <f t="shared" si="13"/>
        <v>100</v>
      </c>
      <c r="V31" s="1564" t="s">
        <v>8</v>
      </c>
      <c r="W31" s="1565">
        <f t="shared" si="14"/>
        <v>100</v>
      </c>
      <c r="X31" s="1566"/>
      <c r="Y31" s="3422"/>
      <c r="Z31" s="1148" t="str">
        <f t="shared" si="15"/>
        <v>停车位面积</v>
      </c>
      <c r="AA31" s="1567">
        <f t="shared" si="3"/>
        <v>1</v>
      </c>
      <c r="AB31" s="1567">
        <f t="shared" si="4"/>
        <v>1</v>
      </c>
      <c r="AC31" s="1567">
        <f t="shared" si="5"/>
        <v>1</v>
      </c>
    </row>
    <row r="32" spans="1:29" ht="15">
      <c r="A32" s="929"/>
      <c r="B32" s="581" t="s">
        <v>808</v>
      </c>
      <c r="C32" s="573" t="s">
        <v>3125</v>
      </c>
      <c r="D32" s="539">
        <v>100</v>
      </c>
      <c r="E32" s="573" t="s">
        <v>3125</v>
      </c>
      <c r="F32" s="574">
        <f>SUMIF(93:93,E32,94:94)-SUMIF(93:93,C32,94:94)+100</f>
        <v>100</v>
      </c>
      <c r="G32" s="573" t="s">
        <v>3125</v>
      </c>
      <c r="H32" s="539">
        <f>SUMIF(93:93,G32,94:94)-SUMIF(93:93,C32,94:94)+100</f>
        <v>100</v>
      </c>
      <c r="I32" s="573" t="s">
        <v>3125</v>
      </c>
      <c r="J32" s="539">
        <f>SUMIF(93:93,I32,94:94)-SUMIF(93:93,C32,94:94)+100</f>
        <v>100</v>
      </c>
      <c r="K32" s="583">
        <v>2</v>
      </c>
      <c r="L32" s="2139"/>
      <c r="M32" s="2131"/>
      <c r="N32" s="2131"/>
      <c r="O32" s="2138"/>
      <c r="P32" s="3422" t="s">
        <v>546</v>
      </c>
      <c r="Q32" s="1568" t="str">
        <f t="shared" si="11"/>
        <v>车位类型</v>
      </c>
      <c r="R32" s="1569" t="s">
        <v>8</v>
      </c>
      <c r="S32" s="1570">
        <f t="shared" si="12"/>
        <v>100</v>
      </c>
      <c r="T32" s="1569" t="s">
        <v>8</v>
      </c>
      <c r="U32" s="1570">
        <f t="shared" si="13"/>
        <v>100</v>
      </c>
      <c r="V32" s="1569" t="s">
        <v>8</v>
      </c>
      <c r="W32" s="1570">
        <f t="shared" si="14"/>
        <v>100</v>
      </c>
      <c r="X32" s="1563"/>
      <c r="Y32" s="3422" t="s">
        <v>546</v>
      </c>
      <c r="Z32" s="1571" t="str">
        <f t="shared" si="15"/>
        <v>车位类型</v>
      </c>
      <c r="AA32" s="1572">
        <f t="shared" si="3"/>
        <v>1</v>
      </c>
      <c r="AB32" s="1572">
        <f t="shared" si="4"/>
        <v>1</v>
      </c>
      <c r="AC32" s="1572">
        <f t="shared" si="5"/>
        <v>1</v>
      </c>
    </row>
    <row r="33" spans="1:29" ht="15">
      <c r="A33" s="929"/>
      <c r="B33" s="581" t="s">
        <v>809</v>
      </c>
      <c r="C33" s="573" t="s">
        <v>2985</v>
      </c>
      <c r="D33" s="539">
        <v>100</v>
      </c>
      <c r="E33" s="573" t="s">
        <v>2985</v>
      </c>
      <c r="F33" s="574">
        <f>SUMIF(95:95,E33,96:96)-SUMIF(95:95,C33,96:96)+100</f>
        <v>100</v>
      </c>
      <c r="G33" s="573" t="s">
        <v>2985</v>
      </c>
      <c r="H33" s="539">
        <f>SUMIF(95:95,G33,96:96)-SUMIF(95:95,C33,96:96)+100</f>
        <v>100</v>
      </c>
      <c r="I33" s="573" t="s">
        <v>2985</v>
      </c>
      <c r="J33" s="539">
        <f>SUMIF(95:95,I33,96:96)-SUMIF(95:95,C33,96:96)+100</f>
        <v>100</v>
      </c>
      <c r="K33" s="583">
        <v>3</v>
      </c>
      <c r="L33" s="2139"/>
      <c r="M33" s="2131"/>
      <c r="N33" s="2131"/>
      <c r="O33" s="2138"/>
      <c r="P33" s="3422"/>
      <c r="Q33" s="1568" t="str">
        <f t="shared" si="11"/>
        <v>是否直接入户</v>
      </c>
      <c r="R33" s="1569" t="s">
        <v>8</v>
      </c>
      <c r="S33" s="1570">
        <f t="shared" si="12"/>
        <v>100</v>
      </c>
      <c r="T33" s="1569" t="s">
        <v>8</v>
      </c>
      <c r="U33" s="1570">
        <f t="shared" si="13"/>
        <v>100</v>
      </c>
      <c r="V33" s="1569" t="s">
        <v>8</v>
      </c>
      <c r="W33" s="1570">
        <f t="shared" si="14"/>
        <v>100</v>
      </c>
      <c r="X33" s="1563"/>
      <c r="Y33" s="3422"/>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22"/>
      <c r="Q34" s="1568">
        <f t="shared" si="11"/>
        <v>0</v>
      </c>
      <c r="R34" s="1569" t="s">
        <v>8</v>
      </c>
      <c r="S34" s="1570">
        <f t="shared" si="12"/>
        <v>100</v>
      </c>
      <c r="T34" s="1569" t="s">
        <v>8</v>
      </c>
      <c r="U34" s="1570">
        <f t="shared" si="13"/>
        <v>100</v>
      </c>
      <c r="V34" s="1569" t="s">
        <v>8</v>
      </c>
      <c r="W34" s="1570">
        <f t="shared" si="14"/>
        <v>100</v>
      </c>
      <c r="X34" s="1563"/>
      <c r="Y34" s="3422"/>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22"/>
      <c r="Q35" s="1601">
        <f t="shared" si="11"/>
        <v>0</v>
      </c>
      <c r="R35" s="1573" t="s">
        <v>8</v>
      </c>
      <c r="S35" s="1574">
        <f t="shared" si="12"/>
        <v>100</v>
      </c>
      <c r="T35" s="1573" t="s">
        <v>8</v>
      </c>
      <c r="U35" s="1574">
        <f t="shared" si="13"/>
        <v>100</v>
      </c>
      <c r="V35" s="1573" t="s">
        <v>8</v>
      </c>
      <c r="W35" s="1574">
        <f t="shared" si="14"/>
        <v>100</v>
      </c>
      <c r="X35" s="1575"/>
      <c r="Y35" s="3422"/>
      <c r="Z35" s="1576">
        <f t="shared" si="15"/>
        <v>0</v>
      </c>
      <c r="AA35" s="1572">
        <f t="shared" si="3"/>
        <v>1</v>
      </c>
      <c r="AB35" s="1572">
        <f t="shared" si="4"/>
        <v>1</v>
      </c>
      <c r="AC35" s="1572">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22"/>
      <c r="Q36" s="1568">
        <f t="shared" si="11"/>
        <v>111</v>
      </c>
      <c r="R36" s="1569" t="s">
        <v>8</v>
      </c>
      <c r="S36" s="1570">
        <f t="shared" si="12"/>
        <v>100</v>
      </c>
      <c r="T36" s="1569" t="s">
        <v>8</v>
      </c>
      <c r="U36" s="1570">
        <f t="shared" si="13"/>
        <v>100</v>
      </c>
      <c r="V36" s="1569" t="s">
        <v>8</v>
      </c>
      <c r="W36" s="1570">
        <f t="shared" si="14"/>
        <v>100</v>
      </c>
      <c r="X36" s="1563"/>
      <c r="Y36" s="3422"/>
      <c r="Z36" s="1571">
        <f t="shared" si="15"/>
        <v>111</v>
      </c>
      <c r="AA36" s="1572">
        <f t="shared" si="3"/>
        <v>1</v>
      </c>
      <c r="AB36" s="1572">
        <f t="shared" si="4"/>
        <v>1</v>
      </c>
      <c r="AC36" s="1572">
        <f t="shared" si="5"/>
        <v>1</v>
      </c>
    </row>
    <row r="37" spans="1:29" ht="14.4">
      <c r="A37" s="1843" t="s">
        <v>2076</v>
      </c>
      <c r="B37" s="1844" t="s">
        <v>3129</v>
      </c>
      <c r="C37" s="2648" t="s">
        <v>1</v>
      </c>
      <c r="D37" s="2649"/>
      <c r="E37" s="2650">
        <v>109000</v>
      </c>
      <c r="F37" s="2651"/>
      <c r="G37" s="2652">
        <v>100000</v>
      </c>
      <c r="H37" s="2653"/>
      <c r="I37" s="2650">
        <v>100000</v>
      </c>
      <c r="J37" s="2653"/>
      <c r="K37" s="1607"/>
      <c r="L37" s="2141"/>
      <c r="M37" s="2142"/>
      <c r="N37" s="2131"/>
      <c r="O37" s="2142"/>
      <c r="P37" s="3417" t="str">
        <f>A37</f>
        <v>成交单价</v>
      </c>
      <c r="Q37" s="3417"/>
      <c r="R37" s="3498">
        <f>E37</f>
        <v>109000</v>
      </c>
      <c r="S37" s="3498"/>
      <c r="T37" s="3498">
        <f>G37</f>
        <v>100000</v>
      </c>
      <c r="U37" s="3498"/>
      <c r="V37" s="3498">
        <f>I37</f>
        <v>100000</v>
      </c>
      <c r="W37" s="3498"/>
      <c r="X37" s="1555"/>
      <c r="Y37" s="1577"/>
      <c r="Z37" s="1555"/>
      <c r="AA37" s="1555"/>
      <c r="AB37" s="1555"/>
      <c r="AC37" s="1555"/>
    </row>
    <row r="38" spans="1:29" ht="15" thickBot="1">
      <c r="A38" s="614" t="s">
        <v>2759</v>
      </c>
      <c r="B38" s="886"/>
      <c r="C38" s="2654" t="e">
        <f>R39</f>
        <v>#DIV/0!</v>
      </c>
      <c r="D38" s="2655"/>
      <c r="E38" s="2656">
        <f>R38</f>
        <v>109592</v>
      </c>
      <c r="F38" s="2656"/>
      <c r="G38" s="2654" t="e">
        <f>T38</f>
        <v>#DIV/0!</v>
      </c>
      <c r="H38" s="2655"/>
      <c r="I38" s="2656">
        <f>V38</f>
        <v>100503</v>
      </c>
      <c r="J38" s="2655"/>
      <c r="K38" s="1608"/>
      <c r="L38" s="2141"/>
      <c r="M38" s="2142"/>
      <c r="N38" s="2142"/>
      <c r="O38" s="2142"/>
      <c r="P38" s="3417" t="str">
        <f>A38</f>
        <v>比较价格（元/平方米）</v>
      </c>
      <c r="Q38" s="3417"/>
      <c r="R38" s="3498">
        <f>IF(F1="售价",ROUND(PRODUCT(R37,AA7:AA36),0),ROUND(PRODUCT(R37,AA7:AA36),1))</f>
        <v>109592</v>
      </c>
      <c r="S38" s="3498"/>
      <c r="T38" s="3498" t="e">
        <f>IF(F1="售价",ROUND(PRODUCT(T37,AB7:AB36),0),ROUND(PRODUCT(T37,AB7:AB36),1))</f>
        <v>#DIV/0!</v>
      </c>
      <c r="U38" s="3498"/>
      <c r="V38" s="3498">
        <f>IF(F1="售价",ROUND(PRODUCT(V37,AC7:AC36),0),ROUND(PRODUCT(V37,AC7:AC36),1))</f>
        <v>100503</v>
      </c>
      <c r="W38" s="3498"/>
      <c r="X38" s="1555"/>
      <c r="Y38" s="1555"/>
      <c r="Z38" s="1555"/>
      <c r="AA38" s="1555"/>
      <c r="AB38" s="1555"/>
      <c r="AC38" s="1555"/>
    </row>
    <row r="39" spans="1:29" ht="15" thickBot="1">
      <c r="A39" s="620" t="s">
        <v>2930</v>
      </c>
      <c r="B39" s="621"/>
      <c r="C39" s="2657" t="e">
        <f>R39</f>
        <v>#DIV/0!</v>
      </c>
      <c r="D39" s="2657"/>
      <c r="E39" s="2657"/>
      <c r="F39" s="2657"/>
      <c r="G39" s="2657"/>
      <c r="H39" s="2657"/>
      <c r="I39" s="2657"/>
      <c r="J39" s="2657"/>
      <c r="K39" s="1609"/>
      <c r="L39" s="2141"/>
      <c r="M39" s="2142"/>
      <c r="N39" s="2142"/>
      <c r="O39" s="2142"/>
      <c r="P39" s="3439" t="str">
        <f>A39</f>
        <v>估价对象XX用房的比较价格（楼面单价，元/平方米）</v>
      </c>
      <c r="Q39" s="3440"/>
      <c r="R39" s="3499" t="e">
        <f>IF(F1="售价",ROUND(AVERAGE(R38:V38),0),ROUND(AVERAGE(R38:V38),1))</f>
        <v>#DIV/0!</v>
      </c>
      <c r="S39" s="3499"/>
      <c r="T39" s="3499"/>
      <c r="U39" s="3499"/>
      <c r="V39" s="3499"/>
      <c r="W39" s="3499"/>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5.4311926605503658E-3</v>
      </c>
      <c r="F42" s="626" t="str">
        <f>IF(OR(E42&gt;=0.3,E42&lt;=-0.3),"超过30%","")</f>
        <v/>
      </c>
      <c r="G42" s="625" t="e">
        <f>IF(G37&lt;G38,G38/G37-1,G37/G38-1)</f>
        <v>#DIV/0!</v>
      </c>
      <c r="H42" s="626" t="e">
        <f>IF(OR(G42&gt;=0.3,G42&lt;=-0.3),"超过30%","")</f>
        <v>#DIV/0!</v>
      </c>
      <c r="I42" s="625">
        <f>IF(I37&lt;I38,I38/I37-1,I37/I38-1)</f>
        <v>5.03000000000009E-3</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t="e">
        <f>IF(E38&lt;G38,G38/E38-1,E38/G38-1)</f>
        <v>#DIV/0!</v>
      </c>
      <c r="F43" s="626" t="e">
        <f>IF(OR(E43&gt;=0.2,E43&lt;=-0.2),"超过20%","")</f>
        <v>#DIV/0!</v>
      </c>
      <c r="G43" s="625" t="e">
        <f>IF(G38&lt;I38,I38/G38-1,G38/I38-1)</f>
        <v>#DIV/0!</v>
      </c>
      <c r="H43" s="626" t="e">
        <f>IF(OR(G43&gt;=0.2,G43&lt;=-0.2),"超过20%","")</f>
        <v>#DIV/0!</v>
      </c>
      <c r="I43" s="625">
        <f>IF(I38&lt;E38,E38/I38-1,I38/E38-1)</f>
        <v>9.0435111389709721E-2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4.4">
      <c r="A48" s="644" t="s">
        <v>525</v>
      </c>
      <c r="B48" s="645"/>
      <c r="C48" s="2823" t="str">
        <f>YEAR(C7)&amp;"-"&amp;MONTH(C7)</f>
        <v>2018-9</v>
      </c>
      <c r="D48" s="2825">
        <f>EDATE(C48,-1)</f>
        <v>43313</v>
      </c>
      <c r="E48" s="2825">
        <f t="shared" ref="E48:O48" si="16">EDATE(D48,-1)</f>
        <v>43282</v>
      </c>
      <c r="F48" s="2825">
        <f t="shared" si="16"/>
        <v>43252</v>
      </c>
      <c r="G48" s="2825">
        <f t="shared" si="16"/>
        <v>43221</v>
      </c>
      <c r="H48" s="2825">
        <f t="shared" si="16"/>
        <v>43191</v>
      </c>
      <c r="I48" s="2825">
        <f t="shared" si="16"/>
        <v>43160</v>
      </c>
      <c r="J48" s="2825">
        <f t="shared" si="16"/>
        <v>43132</v>
      </c>
      <c r="K48" s="2825">
        <f t="shared" si="16"/>
        <v>43101</v>
      </c>
      <c r="L48" s="2825">
        <f t="shared" si="16"/>
        <v>43070</v>
      </c>
      <c r="M48" s="2825">
        <f t="shared" si="16"/>
        <v>43040</v>
      </c>
      <c r="N48" s="2825">
        <f t="shared" si="16"/>
        <v>43009</v>
      </c>
      <c r="O48" s="2825">
        <f t="shared" si="16"/>
        <v>42979</v>
      </c>
      <c r="P48" s="2157"/>
      <c r="Q48" s="2158"/>
      <c r="R48" s="2158"/>
      <c r="S48" s="2158"/>
      <c r="T48" s="2158"/>
      <c r="U48" s="2158"/>
      <c r="V48" s="2158"/>
      <c r="W48" s="2158"/>
      <c r="X48" s="2158"/>
      <c r="Y48" s="2158"/>
      <c r="Z48" s="2158"/>
      <c r="AA48" s="2158"/>
      <c r="AB48" s="2158"/>
      <c r="AC48" s="2158"/>
    </row>
    <row r="49" spans="1:29" s="1218" customFormat="1">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4.4">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4.4"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4.4"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4.4"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187" t="s">
        <v>3119</v>
      </c>
      <c r="D83" s="3187" t="s">
        <v>3120</v>
      </c>
      <c r="E83" s="3190" t="s">
        <v>3121</v>
      </c>
      <c r="F83" s="3190" t="s">
        <v>3122</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179" t="s">
        <v>3124</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187" t="s">
        <v>3126</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179" t="s">
        <v>3127</v>
      </c>
      <c r="D95" s="3179" t="s">
        <v>3128</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4.4"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39" sqref="J39"/>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35</v>
      </c>
      <c r="D1" s="3147" t="s">
        <v>3069</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79" t="s">
        <v>2462</v>
      </c>
      <c r="C6" s="782" t="e">
        <f ca="1">ROUND(F6*F8*F7*(1-F9)/10000,0)</f>
        <v>#N/A</v>
      </c>
      <c r="D6" s="2518" t="s">
        <v>2461</v>
      </c>
      <c r="E6" s="783" t="s">
        <v>1735</v>
      </c>
      <c r="F6" s="784" t="e">
        <f ca="1">INDIRECT("'数据-取费表'!u"&amp;$G$1)</f>
        <v>#N/A</v>
      </c>
      <c r="G6" s="1588"/>
      <c r="H6" s="2525" t="s">
        <v>1821</v>
      </c>
      <c r="I6" s="3479" t="s">
        <v>2462</v>
      </c>
      <c r="J6" s="782" t="e">
        <f ca="1">ROUND(M6*M8*M7*(1-M9)/10000,0)</f>
        <v>#N/A</v>
      </c>
      <c r="K6" s="340" t="s">
        <v>632</v>
      </c>
      <c r="L6" s="783" t="s">
        <v>1735</v>
      </c>
      <c r="M6" s="784" t="e">
        <f ca="1">INDIRECT("'数据-取费表'!z"&amp;$G$1)</f>
        <v>#N/A</v>
      </c>
    </row>
    <row r="7" spans="1:33" ht="18" customHeight="1">
      <c r="A7" s="2521"/>
      <c r="B7" s="3480"/>
      <c r="C7" s="787"/>
      <c r="D7" s="788"/>
      <c r="E7" s="783" t="s">
        <v>634</v>
      </c>
      <c r="F7" s="784" t="e">
        <f ca="1">IF(INDIRECT("'数据-取费表'!ah"&amp;$G$1)="",INDIRECT("'数据-取费表'!k"&amp;$G$1),INDIRECT("'数据-取费表'!ah"&amp;$G$1))</f>
        <v>#N/A</v>
      </c>
      <c r="G7" s="1588"/>
      <c r="H7" s="2510"/>
      <c r="I7" s="3480"/>
      <c r="J7" s="787"/>
      <c r="K7" s="788"/>
      <c r="L7" s="783" t="s">
        <v>634</v>
      </c>
      <c r="M7" s="784" t="e">
        <f ca="1">F7</f>
        <v>#N/A</v>
      </c>
    </row>
    <row r="8" spans="1:33" ht="18" customHeight="1">
      <c r="A8" s="2514"/>
      <c r="B8" s="3481"/>
      <c r="C8" s="787"/>
      <c r="D8" s="788"/>
      <c r="E8" s="783" t="s">
        <v>635</v>
      </c>
      <c r="F8" s="784" t="e">
        <f ca="1">INDIRECT("'数据-取费表'!ai"&amp;$G$1)</f>
        <v>#N/A</v>
      </c>
      <c r="G8" s="1588"/>
      <c r="H8" s="2510"/>
      <c r="I8" s="3481"/>
      <c r="J8" s="787"/>
      <c r="K8" s="788"/>
      <c r="L8" s="783" t="s">
        <v>635</v>
      </c>
      <c r="M8" s="784" t="e">
        <f ca="1">INDIRECT("'数据-取费表'!ai"&amp;$G$1)</f>
        <v>#N/A</v>
      </c>
    </row>
    <row r="9" spans="1:33" ht="18" customHeight="1">
      <c r="A9" s="785"/>
      <c r="B9" s="3482"/>
      <c r="C9" s="787"/>
      <c r="D9" s="788"/>
      <c r="E9" s="783" t="s">
        <v>636</v>
      </c>
      <c r="F9" s="793" t="e">
        <f ca="1">INDIRECT("'数据-取费表'!w"&amp;$G$1)</f>
        <v>#N/A</v>
      </c>
      <c r="G9" s="1588"/>
      <c r="H9" s="2526"/>
      <c r="I9" s="3481"/>
      <c r="J9" s="787"/>
      <c r="K9" s="788"/>
      <c r="L9" s="794" t="s">
        <v>636</v>
      </c>
      <c r="M9" s="795" t="e">
        <f ca="1">INDIRECT("'数据-取费表'!ab"&amp;$G$1)</f>
        <v>#N/A</v>
      </c>
    </row>
    <row r="10" spans="1:33" ht="18" customHeight="1">
      <c r="A10" s="1827" t="s">
        <v>1822</v>
      </c>
      <c r="B10" s="2515" t="s">
        <v>2458</v>
      </c>
      <c r="C10" s="798">
        <f ca="1">ROUND(IF(F10="押一",C6/12*F11,IF(F10="押二",C6/12*2*F11,IF(F10="押三",C6/12*3*F11,C11*F11))),0)</f>
        <v>0</v>
      </c>
      <c r="D10" s="2522" t="s">
        <v>2972</v>
      </c>
      <c r="E10" s="2519" t="s">
        <v>2463</v>
      </c>
      <c r="F10" s="2642"/>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4" t="s">
        <v>1742</v>
      </c>
      <c r="E14" s="3173"/>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6"/>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7"/>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2.5000000000000001E-2</v>
      </c>
      <c r="G20" s="1589"/>
      <c r="H20" s="1647" t="s">
        <v>1830</v>
      </c>
      <c r="I20" s="340" t="s">
        <v>664</v>
      </c>
      <c r="J20" s="54" t="e">
        <f ca="1">ROUND(M20*M21/10000,0)</f>
        <v>#N/A</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t="e">
        <f ca="1">ROUND(J14*M22,0)</f>
        <v>#N/A</v>
      </c>
      <c r="K22" s="3175"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5"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6"/>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04" t="s">
        <v>3109</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5"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5"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t="e">
        <f ca="1">C40/771</f>
        <v>#N/A</v>
      </c>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00" t="s">
        <v>2964</v>
      </c>
      <c r="L53" s="3501"/>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5"/>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7"/>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4" t="s">
        <v>653</v>
      </c>
      <c r="E58" s="3175"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5" t="s">
        <v>657</v>
      </c>
      <c r="E59" s="783" t="s">
        <v>645</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5"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5" t="s">
        <v>687</v>
      </c>
      <c r="E63" s="783" t="s">
        <v>645</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3175" t="s">
        <v>676</v>
      </c>
      <c r="E64" s="783" t="s">
        <v>645</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3175" t="s">
        <v>679</v>
      </c>
      <c r="E65" s="783" t="s">
        <v>645</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3174" t="s">
        <v>696</v>
      </c>
      <c r="E66" s="3172"/>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23" t="s">
        <v>794</v>
      </c>
      <c r="D4" s="3424"/>
      <c r="E4" s="3448" t="s">
        <v>795</v>
      </c>
      <c r="F4" s="3449"/>
      <c r="G4" s="3423" t="s">
        <v>796</v>
      </c>
      <c r="H4" s="3424"/>
      <c r="I4" s="3423" t="s">
        <v>797</v>
      </c>
      <c r="J4" s="3424"/>
      <c r="K4" s="513" t="s">
        <v>798</v>
      </c>
      <c r="L4" s="2130"/>
      <c r="M4" s="2131"/>
      <c r="N4" s="2131"/>
      <c r="O4" s="2131"/>
      <c r="P4" s="3425" t="s">
        <v>799</v>
      </c>
      <c r="Q4" s="3426"/>
      <c r="R4" s="3411" t="s">
        <v>795</v>
      </c>
      <c r="S4" s="3412"/>
      <c r="T4" s="3411" t="s">
        <v>796</v>
      </c>
      <c r="U4" s="3412"/>
      <c r="V4" s="3431" t="s">
        <v>797</v>
      </c>
      <c r="W4" s="3431"/>
      <c r="X4" s="1563"/>
      <c r="Y4" s="3411" t="s">
        <v>799</v>
      </c>
      <c r="Z4" s="3412"/>
      <c r="AA4" s="3406" t="s">
        <v>795</v>
      </c>
      <c r="AB4" s="3407" t="s">
        <v>796</v>
      </c>
      <c r="AC4" s="3406" t="s">
        <v>797</v>
      </c>
    </row>
    <row r="5" spans="1:29">
      <c r="A5" s="514"/>
      <c r="B5" s="515"/>
      <c r="C5" s="3434" t="s">
        <v>2924</v>
      </c>
      <c r="D5" s="3435"/>
      <c r="E5" s="3450" t="s">
        <v>2925</v>
      </c>
      <c r="F5" s="3451"/>
      <c r="G5" s="3434" t="s">
        <v>2926</v>
      </c>
      <c r="H5" s="3435"/>
      <c r="I5" s="3434" t="s">
        <v>2927</v>
      </c>
      <c r="J5" s="3435"/>
      <c r="K5" s="513"/>
      <c r="L5" s="2130"/>
      <c r="M5" s="2131"/>
      <c r="N5" s="2131"/>
      <c r="O5" s="2131"/>
      <c r="P5" s="3427"/>
      <c r="Q5" s="3428"/>
      <c r="R5" s="3413"/>
      <c r="S5" s="3414"/>
      <c r="T5" s="3413"/>
      <c r="U5" s="3414"/>
      <c r="V5" s="3431"/>
      <c r="W5" s="3431"/>
      <c r="X5" s="1563"/>
      <c r="Y5" s="3413"/>
      <c r="Z5" s="3414"/>
      <c r="AA5" s="3407"/>
      <c r="AB5" s="3407"/>
      <c r="AC5" s="3407"/>
    </row>
    <row r="6" spans="1:29" ht="15" thickBot="1">
      <c r="A6" s="516"/>
      <c r="B6" s="517"/>
      <c r="C6" s="3452" t="s">
        <v>2928</v>
      </c>
      <c r="D6" s="3433"/>
      <c r="E6" s="3453" t="s">
        <v>2928</v>
      </c>
      <c r="F6" s="3454"/>
      <c r="G6" s="3452" t="s">
        <v>2928</v>
      </c>
      <c r="H6" s="3433"/>
      <c r="I6" s="3452" t="s">
        <v>2928</v>
      </c>
      <c r="J6" s="3433"/>
      <c r="K6" s="513" t="s">
        <v>524</v>
      </c>
      <c r="L6" s="2130"/>
      <c r="M6" s="2131"/>
      <c r="N6" s="2131"/>
      <c r="O6" s="2131"/>
      <c r="P6" s="3429"/>
      <c r="Q6" s="3430"/>
      <c r="R6" s="3413"/>
      <c r="S6" s="3414"/>
      <c r="T6" s="3415"/>
      <c r="U6" s="3416"/>
      <c r="V6" s="3431"/>
      <c r="W6" s="3431"/>
      <c r="X6" s="1563"/>
      <c r="Y6" s="3415"/>
      <c r="Z6" s="3416"/>
      <c r="AA6" s="3408"/>
      <c r="AB6" s="3408"/>
      <c r="AC6" s="3408"/>
    </row>
    <row r="7" spans="1:29" s="1218" customFormat="1" ht="15" thickBot="1">
      <c r="A7" s="2933"/>
      <c r="B7" s="2940" t="s">
        <v>525</v>
      </c>
      <c r="C7" s="518">
        <f>'数据-取费表'!B2</f>
        <v>43353</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09" t="s">
        <v>526</v>
      </c>
      <c r="Q7" s="3418"/>
      <c r="R7" s="1564" t="s">
        <v>8</v>
      </c>
      <c r="S7" s="1565">
        <f t="shared" ref="S7:S14" si="0">F7</f>
        <v>0</v>
      </c>
      <c r="T7" s="1564" t="s">
        <v>8</v>
      </c>
      <c r="U7" s="1565">
        <f t="shared" ref="U7:U14" si="1">H7</f>
        <v>0</v>
      </c>
      <c r="V7" s="1564" t="s">
        <v>8</v>
      </c>
      <c r="W7" s="1565">
        <f t="shared" ref="W7:W14" si="2">J7</f>
        <v>0</v>
      </c>
      <c r="X7" s="1566"/>
      <c r="Y7" s="3409" t="s">
        <v>526</v>
      </c>
      <c r="Z7" s="3410"/>
      <c r="AA7" s="1567" t="e">
        <f>D7/F7</f>
        <v>#DIV/0!</v>
      </c>
      <c r="AB7" s="1567" t="e">
        <f>D7/H7</f>
        <v>#DIV/0!</v>
      </c>
      <c r="AC7" s="1567" t="e">
        <f>D7/J7</f>
        <v>#DIV/0!</v>
      </c>
    </row>
    <row r="8" spans="1:29" s="1218" customFormat="1" ht="1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09" t="s">
        <v>529</v>
      </c>
      <c r="Q8" s="3410"/>
      <c r="R8" s="1564" t="s">
        <v>8</v>
      </c>
      <c r="S8" s="1565">
        <f t="shared" si="0"/>
        <v>0</v>
      </c>
      <c r="T8" s="1564" t="s">
        <v>8</v>
      </c>
      <c r="U8" s="1565">
        <f t="shared" si="1"/>
        <v>0</v>
      </c>
      <c r="V8" s="1564" t="s">
        <v>8</v>
      </c>
      <c r="W8" s="1565">
        <f t="shared" si="2"/>
        <v>0</v>
      </c>
      <c r="X8" s="1566"/>
      <c r="Y8" s="3409" t="s">
        <v>529</v>
      </c>
      <c r="Z8" s="3410"/>
      <c r="AA8" s="1567" t="e">
        <f t="shared" ref="AA8:AA34" si="3">D8/F8</f>
        <v>#DIV/0!</v>
      </c>
      <c r="AB8" s="1567" t="e">
        <f t="shared" ref="AB8:AB34" si="4">D8/H8</f>
        <v>#DIV/0!</v>
      </c>
      <c r="AC8" s="1567" t="e">
        <f t="shared" ref="AC8:AC34" si="5">D8/J8</f>
        <v>#DIV/0!</v>
      </c>
    </row>
    <row r="9" spans="1:29" s="1218" customFormat="1" ht="14.4">
      <c r="A9" s="2935"/>
      <c r="B9" s="2942" t="s">
        <v>2755</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17" t="s">
        <v>531</v>
      </c>
      <c r="Q9" s="1149" t="str">
        <f t="shared" ref="Q9:Q14" si="6">B9</f>
        <v>用途</v>
      </c>
      <c r="R9" s="1564" t="s">
        <v>8</v>
      </c>
      <c r="S9" s="1565">
        <f t="shared" si="0"/>
        <v>100</v>
      </c>
      <c r="T9" s="1564" t="s">
        <v>8</v>
      </c>
      <c r="U9" s="1565">
        <f t="shared" si="1"/>
        <v>100</v>
      </c>
      <c r="V9" s="1564" t="s">
        <v>8</v>
      </c>
      <c r="W9" s="1565">
        <f t="shared" si="2"/>
        <v>100</v>
      </c>
      <c r="X9" s="1566"/>
      <c r="Y9" s="3374" t="s">
        <v>532</v>
      </c>
      <c r="Z9" s="1148" t="str">
        <f t="shared" ref="Z9:Z14" si="7">Q9</f>
        <v>用途</v>
      </c>
      <c r="AA9" s="1567">
        <f t="shared" si="3"/>
        <v>1</v>
      </c>
      <c r="AB9" s="1567">
        <f t="shared" si="4"/>
        <v>1</v>
      </c>
      <c r="AC9" s="1567">
        <f t="shared" si="5"/>
        <v>1</v>
      </c>
    </row>
    <row r="10" spans="1:29" s="1336" customFormat="1" ht="28.8">
      <c r="A10" s="2936"/>
      <c r="B10" s="2941" t="s">
        <v>2756</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74"/>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17"/>
      <c r="Q11" s="1149">
        <f t="shared" si="6"/>
        <v>111</v>
      </c>
      <c r="R11" s="1564" t="s">
        <v>8</v>
      </c>
      <c r="S11" s="1565">
        <f t="shared" si="0"/>
        <v>100</v>
      </c>
      <c r="T11" s="1564" t="s">
        <v>8</v>
      </c>
      <c r="U11" s="1565">
        <f t="shared" si="1"/>
        <v>100</v>
      </c>
      <c r="V11" s="1564" t="s">
        <v>8</v>
      </c>
      <c r="W11" s="1565">
        <f t="shared" si="2"/>
        <v>100</v>
      </c>
      <c r="X11" s="1566"/>
      <c r="Y11" s="3374"/>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74"/>
      <c r="Z12" s="1148">
        <f t="shared" si="7"/>
        <v>111</v>
      </c>
      <c r="AA12" s="1567">
        <f>D12/F12</f>
        <v>1</v>
      </c>
      <c r="AB12" s="1567">
        <f>D12/H12</f>
        <v>1</v>
      </c>
      <c r="AC12" s="1567">
        <f>D12/J12</f>
        <v>1</v>
      </c>
    </row>
    <row r="13" spans="1:29" ht="15.6"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74"/>
      <c r="Z13" s="1148">
        <f t="shared" si="7"/>
        <v>111</v>
      </c>
      <c r="AA13" s="1567">
        <f t="shared" si="3"/>
        <v>1</v>
      </c>
      <c r="AB13" s="1567">
        <f t="shared" si="4"/>
        <v>1</v>
      </c>
      <c r="AC13" s="1567">
        <f t="shared" si="5"/>
        <v>1</v>
      </c>
    </row>
    <row r="14" spans="1:29" ht="138">
      <c r="A14" s="2931" t="s">
        <v>2753</v>
      </c>
      <c r="B14" s="166" t="s">
        <v>539</v>
      </c>
      <c r="C14" s="919" t="str">
        <f>IF(B1="工业",估价对象房地状况!G4,估价对象房地状况!C6)</f>
        <v>估价对象周边道路状况、公共交通通达情况：有071、003、030、36等多路公交车，停车便捷程度，综合评价交通便捷度较好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19" t="s">
        <v>536</v>
      </c>
      <c r="Q14" s="1568" t="str">
        <f t="shared" si="6"/>
        <v>交通便捷度</v>
      </c>
      <c r="R14" s="1569" t="s">
        <v>8</v>
      </c>
      <c r="S14" s="1570">
        <f t="shared" si="0"/>
        <v>100</v>
      </c>
      <c r="T14" s="1569" t="s">
        <v>8</v>
      </c>
      <c r="U14" s="1570">
        <f t="shared" si="1"/>
        <v>100</v>
      </c>
      <c r="V14" s="1569" t="s">
        <v>8</v>
      </c>
      <c r="W14" s="1570">
        <f t="shared" si="2"/>
        <v>100</v>
      </c>
      <c r="X14" s="1563"/>
      <c r="Y14" s="3419"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20"/>
      <c r="Q15" s="1568"/>
      <c r="R15" s="1569"/>
      <c r="S15" s="1570"/>
      <c r="T15" s="1569"/>
      <c r="U15" s="1570"/>
      <c r="V15" s="1569"/>
      <c r="W15" s="1570"/>
      <c r="X15" s="1563"/>
      <c r="Y15" s="3420"/>
      <c r="Z15" s="1571"/>
      <c r="AA15" s="1572">
        <v>1</v>
      </c>
      <c r="AB15" s="1572">
        <v>1</v>
      </c>
      <c r="AC15" s="1572">
        <v>1</v>
      </c>
    </row>
    <row r="16" spans="1:29" ht="69">
      <c r="A16" s="531"/>
      <c r="B16" s="2624" t="s">
        <v>2545</v>
      </c>
      <c r="C16" s="871" t="str">
        <f>IF(B1="工业",估价对象房地状况!G5,估价对象房地状况!C7)</f>
        <v>估价对象所在区域公共配套设施齐备情况较好：中山市实验中学</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20"/>
      <c r="Q16" s="1568" t="str">
        <f>B16</f>
        <v>公共配套设施</v>
      </c>
      <c r="R16" s="1569" t="s">
        <v>8</v>
      </c>
      <c r="S16" s="1570">
        <f>F16</f>
        <v>100</v>
      </c>
      <c r="T16" s="1569" t="s">
        <v>8</v>
      </c>
      <c r="U16" s="1570">
        <f>H16</f>
        <v>100</v>
      </c>
      <c r="V16" s="1569" t="s">
        <v>8</v>
      </c>
      <c r="W16" s="1570">
        <f>J16</f>
        <v>100</v>
      </c>
      <c r="X16" s="1563"/>
      <c r="Y16" s="3420"/>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20"/>
      <c r="Q17" s="1568"/>
      <c r="R17" s="1569"/>
      <c r="S17" s="1570"/>
      <c r="T17" s="1569"/>
      <c r="U17" s="1570"/>
      <c r="V17" s="1569"/>
      <c r="W17" s="1570"/>
      <c r="X17" s="1563"/>
      <c r="Y17" s="3420"/>
      <c r="Z17" s="1571"/>
      <c r="AA17" s="1572">
        <v>1</v>
      </c>
      <c r="AB17" s="1572">
        <v>1</v>
      </c>
      <c r="AC17" s="1572">
        <v>1</v>
      </c>
    </row>
    <row r="18" spans="1:29" ht="41.4">
      <c r="A18" s="531"/>
      <c r="B18" s="2612" t="s">
        <v>2557</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20"/>
      <c r="Q18" s="2600" t="str">
        <f>B18</f>
        <v>基础设施水平</v>
      </c>
      <c r="R18" s="1569" t="s">
        <v>8</v>
      </c>
      <c r="S18" s="1570">
        <f>F18</f>
        <v>100</v>
      </c>
      <c r="T18" s="1569" t="s">
        <v>8</v>
      </c>
      <c r="U18" s="1570">
        <f>H18</f>
        <v>100</v>
      </c>
      <c r="V18" s="1569" t="s">
        <v>8</v>
      </c>
      <c r="W18" s="1570">
        <f>J18</f>
        <v>100</v>
      </c>
      <c r="X18" s="2602"/>
      <c r="Y18" s="3420"/>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20"/>
      <c r="Q19" s="2600"/>
      <c r="R19" s="1569"/>
      <c r="S19" s="1570"/>
      <c r="T19" s="1569"/>
      <c r="U19" s="1570"/>
      <c r="V19" s="1569"/>
      <c r="W19" s="1570"/>
      <c r="X19" s="2602"/>
      <c r="Y19" s="3420"/>
      <c r="Z19" s="2601"/>
      <c r="AA19" s="1572">
        <v>1</v>
      </c>
      <c r="AB19" s="1572">
        <v>1</v>
      </c>
      <c r="AC19" s="1572">
        <v>1</v>
      </c>
    </row>
    <row r="20" spans="1:29" ht="69">
      <c r="A20" s="531"/>
      <c r="B20" s="870" t="s">
        <v>800</v>
      </c>
      <c r="C20" s="871" t="str">
        <f>IF(B1="工业",估价对象房地状况!G7,估价对象房地状况!C9)</f>
        <v>周边2公里区域自然环境：；人文环境：；综合评价环境状况较好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20"/>
      <c r="Q20" s="1568" t="str">
        <f>B20</f>
        <v>自然及人文环境</v>
      </c>
      <c r="R20" s="1569" t="s">
        <v>8</v>
      </c>
      <c r="S20" s="1570">
        <f>F20</f>
        <v>100</v>
      </c>
      <c r="T20" s="1569" t="s">
        <v>8</v>
      </c>
      <c r="U20" s="1570">
        <f>H20</f>
        <v>100</v>
      </c>
      <c r="V20" s="1569" t="s">
        <v>8</v>
      </c>
      <c r="W20" s="1570">
        <f>J20</f>
        <v>100</v>
      </c>
      <c r="X20" s="1563"/>
      <c r="Y20" s="3420"/>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20"/>
      <c r="Q21" s="1568"/>
      <c r="R21" s="1569"/>
      <c r="S21" s="1570"/>
      <c r="T21" s="1569"/>
      <c r="U21" s="1570"/>
      <c r="V21" s="1569"/>
      <c r="W21" s="1570"/>
      <c r="X21" s="1563"/>
      <c r="Y21" s="3420"/>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20"/>
      <c r="Q22" s="1568" t="str">
        <f>B22</f>
        <v>楼层</v>
      </c>
      <c r="R22" s="1569" t="s">
        <v>8</v>
      </c>
      <c r="S22" s="1570">
        <f>F22</f>
        <v>100</v>
      </c>
      <c r="T22" s="1569" t="s">
        <v>8</v>
      </c>
      <c r="U22" s="1570">
        <f>H22</f>
        <v>100</v>
      </c>
      <c r="V22" s="1569" t="s">
        <v>8</v>
      </c>
      <c r="W22" s="1570">
        <f>J22</f>
        <v>100</v>
      </c>
      <c r="X22" s="1563"/>
      <c r="Y22" s="3420"/>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20"/>
      <c r="Q23" s="1568">
        <f>B23</f>
        <v>111</v>
      </c>
      <c r="R23" s="1569" t="s">
        <v>8</v>
      </c>
      <c r="S23" s="1570">
        <f>F23</f>
        <v>100</v>
      </c>
      <c r="T23" s="1569" t="s">
        <v>8</v>
      </c>
      <c r="U23" s="1570">
        <f>H23</f>
        <v>100</v>
      </c>
      <c r="V23" s="1569" t="s">
        <v>8</v>
      </c>
      <c r="W23" s="1570">
        <f>J23</f>
        <v>100</v>
      </c>
      <c r="X23" s="1563"/>
      <c r="Y23" s="3420"/>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20"/>
      <c r="Q24" s="1568">
        <f t="shared" ref="Q24:Q34" si="11">B24</f>
        <v>111</v>
      </c>
      <c r="R24" s="1569" t="s">
        <v>8</v>
      </c>
      <c r="S24" s="1570">
        <f>F24</f>
        <v>100</v>
      </c>
      <c r="T24" s="1569" t="s">
        <v>8</v>
      </c>
      <c r="U24" s="1570">
        <f>H24</f>
        <v>100</v>
      </c>
      <c r="V24" s="1569" t="s">
        <v>8</v>
      </c>
      <c r="W24" s="1570">
        <f>J24</f>
        <v>100</v>
      </c>
      <c r="X24" s="1563"/>
      <c r="Y24" s="3420"/>
      <c r="Z24" s="1571">
        <f>Q24</f>
        <v>111</v>
      </c>
      <c r="AA24" s="1572">
        <f t="shared" si="3"/>
        <v>1</v>
      </c>
      <c r="AB24" s="1572">
        <f t="shared" si="4"/>
        <v>1</v>
      </c>
      <c r="AC24" s="1572">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20"/>
      <c r="Q25" s="1149">
        <f t="shared" si="11"/>
        <v>111</v>
      </c>
      <c r="R25" s="1564" t="s">
        <v>8</v>
      </c>
      <c r="S25" s="1565">
        <f>F25</f>
        <v>100</v>
      </c>
      <c r="T25" s="1564" t="s">
        <v>8</v>
      </c>
      <c r="U25" s="1565">
        <f>H25</f>
        <v>100</v>
      </c>
      <c r="V25" s="1564" t="s">
        <v>8</v>
      </c>
      <c r="W25" s="1565">
        <f>J25</f>
        <v>100</v>
      </c>
      <c r="X25" s="1566"/>
      <c r="Y25" s="3420"/>
      <c r="Z25" s="1148">
        <f>Q25</f>
        <v>111</v>
      </c>
      <c r="AA25" s="1572">
        <f>D25/F25</f>
        <v>1</v>
      </c>
      <c r="AB25" s="1572">
        <f>D25/H25</f>
        <v>1</v>
      </c>
      <c r="AC25" s="1572">
        <f>D25/J25</f>
        <v>1</v>
      </c>
    </row>
    <row r="26" spans="1:29" ht="15">
      <c r="A26" s="2928" t="s">
        <v>2754</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21"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22"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22"/>
      <c r="Q27" s="1601" t="str">
        <f t="shared" si="11"/>
        <v>成新率</v>
      </c>
      <c r="R27" s="1573" t="s">
        <v>8</v>
      </c>
      <c r="S27" s="1574" t="e">
        <f t="shared" si="12"/>
        <v>#N/A</v>
      </c>
      <c r="T27" s="1573" t="s">
        <v>8</v>
      </c>
      <c r="U27" s="1574" t="e">
        <f t="shared" si="13"/>
        <v>#N/A</v>
      </c>
      <c r="V27" s="1573" t="s">
        <v>8</v>
      </c>
      <c r="W27" s="1574" t="e">
        <f t="shared" si="14"/>
        <v>#N/A</v>
      </c>
      <c r="X27" s="1575"/>
      <c r="Y27" s="3422"/>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22"/>
      <c r="Q28" s="1568" t="str">
        <f t="shared" si="11"/>
        <v>物业等级</v>
      </c>
      <c r="R28" s="1569" t="s">
        <v>8</v>
      </c>
      <c r="S28" s="1570">
        <f t="shared" si="12"/>
        <v>100</v>
      </c>
      <c r="T28" s="1569" t="s">
        <v>8</v>
      </c>
      <c r="U28" s="1570">
        <f t="shared" si="13"/>
        <v>100</v>
      </c>
      <c r="V28" s="1569" t="s">
        <v>8</v>
      </c>
      <c r="W28" s="1570">
        <f t="shared" si="14"/>
        <v>100</v>
      </c>
      <c r="X28" s="1563"/>
      <c r="Y28" s="3422"/>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22"/>
      <c r="Q29" s="1568" t="str">
        <f t="shared" si="11"/>
        <v>有无电梯</v>
      </c>
      <c r="R29" s="1569" t="s">
        <v>8</v>
      </c>
      <c r="S29" s="1570">
        <f t="shared" si="12"/>
        <v>100</v>
      </c>
      <c r="T29" s="1569" t="s">
        <v>8</v>
      </c>
      <c r="U29" s="1570">
        <f t="shared" si="13"/>
        <v>100</v>
      </c>
      <c r="V29" s="1569" t="s">
        <v>8</v>
      </c>
      <c r="W29" s="1570">
        <f t="shared" si="14"/>
        <v>100</v>
      </c>
      <c r="X29" s="1563"/>
      <c r="Y29" s="3422"/>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22"/>
      <c r="Q30" s="1568" t="str">
        <f t="shared" si="11"/>
        <v>建筑面积</v>
      </c>
      <c r="R30" s="1569" t="s">
        <v>8</v>
      </c>
      <c r="S30" s="1570" t="e">
        <f t="shared" si="12"/>
        <v>#N/A</v>
      </c>
      <c r="T30" s="1569" t="s">
        <v>8</v>
      </c>
      <c r="U30" s="1570" t="e">
        <f t="shared" si="13"/>
        <v>#N/A</v>
      </c>
      <c r="V30" s="1569" t="s">
        <v>8</v>
      </c>
      <c r="W30" s="1570" t="e">
        <f t="shared" si="14"/>
        <v>#N/A</v>
      </c>
      <c r="X30" s="1563"/>
      <c r="Y30" s="3422"/>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22"/>
      <c r="Q31" s="1149" t="str">
        <f t="shared" si="11"/>
        <v>是否封闭</v>
      </c>
      <c r="R31" s="1564" t="s">
        <v>8</v>
      </c>
      <c r="S31" s="1565">
        <f t="shared" si="12"/>
        <v>100</v>
      </c>
      <c r="T31" s="1564" t="s">
        <v>8</v>
      </c>
      <c r="U31" s="1565">
        <f t="shared" si="13"/>
        <v>100</v>
      </c>
      <c r="V31" s="1564" t="s">
        <v>8</v>
      </c>
      <c r="W31" s="1565">
        <f t="shared" si="14"/>
        <v>100</v>
      </c>
      <c r="X31" s="1566"/>
      <c r="Y31" s="3422"/>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22" t="s">
        <v>546</v>
      </c>
      <c r="Q32" s="1568">
        <f t="shared" si="11"/>
        <v>111</v>
      </c>
      <c r="R32" s="1569" t="s">
        <v>8</v>
      </c>
      <c r="S32" s="1570">
        <f t="shared" si="12"/>
        <v>100</v>
      </c>
      <c r="T32" s="1569" t="s">
        <v>8</v>
      </c>
      <c r="U32" s="1570">
        <f t="shared" si="13"/>
        <v>100</v>
      </c>
      <c r="V32" s="1569" t="s">
        <v>8</v>
      </c>
      <c r="W32" s="1570">
        <f t="shared" si="14"/>
        <v>100</v>
      </c>
      <c r="X32" s="1563"/>
      <c r="Y32" s="3422"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22"/>
      <c r="Q33" s="1568">
        <f t="shared" si="11"/>
        <v>111</v>
      </c>
      <c r="R33" s="1569" t="s">
        <v>8</v>
      </c>
      <c r="S33" s="1570">
        <f t="shared" si="12"/>
        <v>100</v>
      </c>
      <c r="T33" s="1569" t="s">
        <v>8</v>
      </c>
      <c r="U33" s="1570">
        <f t="shared" si="13"/>
        <v>100</v>
      </c>
      <c r="V33" s="1569" t="s">
        <v>8</v>
      </c>
      <c r="W33" s="1570">
        <f t="shared" si="14"/>
        <v>100</v>
      </c>
      <c r="X33" s="1563"/>
      <c r="Y33" s="3422"/>
      <c r="Z33" s="1571">
        <f t="shared" si="15"/>
        <v>111</v>
      </c>
      <c r="AA33" s="1572">
        <f t="shared" si="3"/>
        <v>1</v>
      </c>
      <c r="AB33" s="1572">
        <f t="shared" si="4"/>
        <v>1</v>
      </c>
      <c r="AC33" s="1572">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22"/>
      <c r="Q34" s="1568">
        <f t="shared" si="11"/>
        <v>111</v>
      </c>
      <c r="R34" s="1569" t="s">
        <v>8</v>
      </c>
      <c r="S34" s="1570">
        <f t="shared" si="12"/>
        <v>100</v>
      </c>
      <c r="T34" s="1569" t="s">
        <v>8</v>
      </c>
      <c r="U34" s="1570">
        <f t="shared" si="13"/>
        <v>100</v>
      </c>
      <c r="V34" s="1569" t="s">
        <v>8</v>
      </c>
      <c r="W34" s="1570">
        <f t="shared" si="14"/>
        <v>100</v>
      </c>
      <c r="X34" s="1563"/>
      <c r="Y34" s="3422"/>
      <c r="Z34" s="1571">
        <f t="shared" si="15"/>
        <v>111</v>
      </c>
      <c r="AA34" s="1572">
        <f t="shared" si="3"/>
        <v>1</v>
      </c>
      <c r="AB34" s="1572">
        <f t="shared" si="4"/>
        <v>1</v>
      </c>
      <c r="AC34" s="1572">
        <f t="shared" si="5"/>
        <v>1</v>
      </c>
    </row>
    <row r="35" spans="1:29" ht="14.4">
      <c r="A35" s="606" t="s">
        <v>732</v>
      </c>
      <c r="B35" s="885"/>
      <c r="C35" s="2648" t="s">
        <v>1</v>
      </c>
      <c r="D35" s="2649"/>
      <c r="E35" s="2650"/>
      <c r="F35" s="2651"/>
      <c r="G35" s="2652"/>
      <c r="H35" s="2653"/>
      <c r="I35" s="2650"/>
      <c r="J35" s="2653"/>
      <c r="K35" s="1607"/>
      <c r="L35" s="2141"/>
      <c r="M35" s="2142"/>
      <c r="N35" s="2131"/>
      <c r="O35" s="2142"/>
      <c r="P35" s="3417" t="str">
        <f>A35</f>
        <v>成交单价（元/平方米）</v>
      </c>
      <c r="Q35" s="3417"/>
      <c r="R35" s="3498">
        <f>E35</f>
        <v>0</v>
      </c>
      <c r="S35" s="3498"/>
      <c r="T35" s="3498">
        <f>G35</f>
        <v>0</v>
      </c>
      <c r="U35" s="3498"/>
      <c r="V35" s="3498">
        <f>I35</f>
        <v>0</v>
      </c>
      <c r="W35" s="3498"/>
      <c r="X35" s="1555"/>
      <c r="Y35" s="1577"/>
      <c r="Z35" s="1555"/>
      <c r="AA35" s="1555"/>
      <c r="AB35" s="1555"/>
      <c r="AC35" s="1555"/>
    </row>
    <row r="36" spans="1:29" ht="15" thickBot="1">
      <c r="A36" s="614" t="s">
        <v>2759</v>
      </c>
      <c r="B36" s="886"/>
      <c r="C36" s="2654" t="e">
        <f>R37</f>
        <v>#DIV/0!</v>
      </c>
      <c r="D36" s="2655"/>
      <c r="E36" s="2656" t="e">
        <f>R36</f>
        <v>#DIV/0!</v>
      </c>
      <c r="F36" s="2656"/>
      <c r="G36" s="2654" t="e">
        <f>T36</f>
        <v>#DIV/0!</v>
      </c>
      <c r="H36" s="2655"/>
      <c r="I36" s="2656" t="e">
        <f>V36</f>
        <v>#DIV/0!</v>
      </c>
      <c r="J36" s="2655"/>
      <c r="K36" s="1608"/>
      <c r="L36" s="2141"/>
      <c r="M36" s="2142"/>
      <c r="N36" s="2131"/>
      <c r="O36" s="2142"/>
      <c r="P36" s="3417" t="str">
        <f>A36</f>
        <v>比较价格（元/平方米）</v>
      </c>
      <c r="Q36" s="341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55"/>
      <c r="Y36" s="1555"/>
      <c r="Z36" s="1555"/>
      <c r="AA36" s="1555"/>
      <c r="AB36" s="1555"/>
      <c r="AC36" s="1555"/>
    </row>
    <row r="37" spans="1:29" ht="15" thickBot="1">
      <c r="A37" s="620" t="s">
        <v>2930</v>
      </c>
      <c r="B37" s="621"/>
      <c r="C37" s="2657" t="e">
        <f>R37</f>
        <v>#DIV/0!</v>
      </c>
      <c r="D37" s="2657"/>
      <c r="E37" s="2657"/>
      <c r="F37" s="2657"/>
      <c r="G37" s="2657"/>
      <c r="H37" s="2657"/>
      <c r="I37" s="2657"/>
      <c r="J37" s="2657"/>
      <c r="K37" s="1609"/>
      <c r="L37" s="2141"/>
      <c r="M37" s="2142"/>
      <c r="N37" s="2142"/>
      <c r="O37" s="2142"/>
      <c r="P37" s="3439" t="str">
        <f>A37</f>
        <v>估价对象XX用房的比较价格（楼面单价，元/平方米）</v>
      </c>
      <c r="Q37" s="3440"/>
      <c r="R37" s="3499" t="e">
        <f>IF(F1="售价",ROUND(AVERAGE(R36:V36),0),ROUND(AVERAGE(R36:V36),1))</f>
        <v>#DIV/0!</v>
      </c>
      <c r="S37" s="3499"/>
      <c r="T37" s="3499"/>
      <c r="U37" s="3499"/>
      <c r="V37" s="3499"/>
      <c r="W37" s="3499"/>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4.4">
      <c r="A46" s="644" t="s">
        <v>525</v>
      </c>
      <c r="B46" s="645"/>
      <c r="C46" s="2823" t="str">
        <f>YEAR(C7)&amp;"-"&amp;MONTH(C7)</f>
        <v>2018-9</v>
      </c>
      <c r="D46" s="2825">
        <f>EDATE(C46,-1)</f>
        <v>43313</v>
      </c>
      <c r="E46" s="2825">
        <f t="shared" ref="E46:O46" si="16">EDATE(D46,-1)</f>
        <v>43282</v>
      </c>
      <c r="F46" s="2825">
        <f t="shared" si="16"/>
        <v>43252</v>
      </c>
      <c r="G46" s="2825">
        <f t="shared" si="16"/>
        <v>43221</v>
      </c>
      <c r="H46" s="2825">
        <f t="shared" si="16"/>
        <v>43191</v>
      </c>
      <c r="I46" s="2825">
        <f t="shared" si="16"/>
        <v>43160</v>
      </c>
      <c r="J46" s="2825">
        <f t="shared" si="16"/>
        <v>43132</v>
      </c>
      <c r="K46" s="2825">
        <f t="shared" si="16"/>
        <v>43101</v>
      </c>
      <c r="L46" s="2825">
        <f t="shared" si="16"/>
        <v>43070</v>
      </c>
      <c r="M46" s="2825">
        <f t="shared" si="16"/>
        <v>43040</v>
      </c>
      <c r="N46" s="2825">
        <f t="shared" si="16"/>
        <v>43009</v>
      </c>
      <c r="O46" s="2825">
        <f t="shared" si="16"/>
        <v>42979</v>
      </c>
      <c r="P46" s="2157"/>
      <c r="Q46" s="2158"/>
      <c r="R46" s="2158"/>
      <c r="S46" s="2158"/>
      <c r="T46" s="2158"/>
      <c r="U46" s="2158"/>
      <c r="V46" s="2158"/>
      <c r="W46" s="2158"/>
      <c r="X46" s="2158"/>
      <c r="Y46" s="2158"/>
      <c r="Z46" s="2158"/>
      <c r="AA46" s="2158"/>
      <c r="AB46" s="2158"/>
      <c r="AC46" s="2158"/>
    </row>
    <row r="47" spans="1:29" s="1218"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4.4">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4.4"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4.4"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31" t="s">
        <v>2303</v>
      </c>
      <c r="D1" s="3532"/>
      <c r="E1" s="3532"/>
      <c r="F1" s="3532"/>
      <c r="G1" s="3532"/>
      <c r="H1" s="3532"/>
      <c r="I1" s="3532"/>
      <c r="J1" s="3532"/>
      <c r="K1" s="3532"/>
      <c r="L1" s="3532"/>
      <c r="M1" s="3532"/>
      <c r="N1" s="3532"/>
      <c r="O1" s="3532"/>
      <c r="P1" s="3532"/>
      <c r="Q1" s="3532"/>
      <c r="R1" s="3532"/>
      <c r="S1" s="3533"/>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2923</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2922</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2921</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2936</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2920</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2919</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6">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28" t="s">
        <v>20</v>
      </c>
      <c r="D22" s="3529"/>
      <c r="E22" s="3529"/>
      <c r="F22" s="3529"/>
      <c r="G22" s="3529"/>
      <c r="H22" s="3529"/>
      <c r="I22" s="3529"/>
      <c r="J22" s="3529"/>
      <c r="K22" s="3529"/>
      <c r="L22" s="3529"/>
      <c r="M22" s="3529"/>
      <c r="N22" s="3529"/>
      <c r="O22" s="3529"/>
      <c r="P22" s="3529"/>
      <c r="Q22" s="3530"/>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2787</v>
      </c>
      <c r="C1" s="3025">
        <f>项目基本情况!D3</f>
        <v>43353</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2818</v>
      </c>
      <c r="C2" s="3026">
        <f>'数据-取费表'!B22</f>
        <v>2</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3" t="s">
        <v>2037</v>
      </c>
      <c r="B1" s="3233"/>
      <c r="C1" s="3233"/>
      <c r="D1" s="3233"/>
      <c r="E1" s="3233"/>
      <c r="F1" s="3233"/>
      <c r="G1" s="3233"/>
      <c r="H1" s="3233"/>
      <c r="I1" s="3233"/>
      <c r="J1" s="3233"/>
      <c r="K1" s="3233"/>
      <c r="L1" s="3233"/>
      <c r="M1" s="3233"/>
      <c r="N1" s="3233"/>
      <c r="O1" s="3233"/>
      <c r="P1" s="3233"/>
      <c r="Q1" s="3233"/>
      <c r="R1" s="3233"/>
    </row>
    <row r="2" spans="1:18">
      <c r="A2" s="1804" t="s">
        <v>2039</v>
      </c>
      <c r="B2" s="1804"/>
      <c r="C2" s="1804"/>
      <c r="D2" s="1804"/>
      <c r="E2" s="1804"/>
      <c r="F2" s="1804"/>
      <c r="G2" s="1804"/>
      <c r="H2" s="1804"/>
      <c r="I2" s="1805"/>
      <c r="J2" s="1805"/>
      <c r="K2" s="1806" t="str">
        <f>"估价期日："&amp;TEXT(项目基本情况!D3,"yyyy年m月d日;;")</f>
        <v>估价期日：2018年9月10日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4" t="s">
        <v>2028</v>
      </c>
      <c r="B3" s="3234" t="s">
        <v>2730</v>
      </c>
      <c r="C3" s="3235" t="s">
        <v>2029</v>
      </c>
      <c r="D3" s="3234" t="s">
        <v>2734</v>
      </c>
      <c r="E3" s="3237" t="s">
        <v>2030</v>
      </c>
      <c r="F3" s="3237"/>
      <c r="G3" s="3237"/>
      <c r="H3" s="3237" t="s">
        <v>2031</v>
      </c>
      <c r="I3" s="3237"/>
      <c r="J3" s="3237"/>
      <c r="K3" s="3235" t="s">
        <v>2032</v>
      </c>
      <c r="L3" s="3235" t="s">
        <v>2033</v>
      </c>
      <c r="M3" s="3234" t="s">
        <v>2731</v>
      </c>
      <c r="N3" s="3236" t="str">
        <f>"（分摊）"&amp;项目基本情况!B16&amp;"国有建设用地使用权面积/㎡"</f>
        <v>（分摊）出让国有建设用地使用权面积/㎡</v>
      </c>
      <c r="O3" s="3234" t="s">
        <v>2062</v>
      </c>
      <c r="P3" s="3235" t="s">
        <v>2042</v>
      </c>
      <c r="Q3" s="3235" t="s">
        <v>2063</v>
      </c>
      <c r="R3" s="3235" t="s">
        <v>2034</v>
      </c>
    </row>
    <row r="4" spans="1:18" ht="36.75" customHeight="1">
      <c r="A4" s="3234"/>
      <c r="B4" s="3234"/>
      <c r="C4" s="3235"/>
      <c r="D4" s="3234"/>
      <c r="E4" s="2670" t="s">
        <v>2041</v>
      </c>
      <c r="F4" s="2670" t="s">
        <v>2743</v>
      </c>
      <c r="G4" s="2670" t="s">
        <v>2035</v>
      </c>
      <c r="H4" s="2670" t="s">
        <v>2036</v>
      </c>
      <c r="I4" s="2670" t="s">
        <v>2744</v>
      </c>
      <c r="J4" s="2670" t="s">
        <v>2035</v>
      </c>
      <c r="K4" s="3235"/>
      <c r="L4" s="3235"/>
      <c r="M4" s="3234"/>
      <c r="N4" s="3236"/>
      <c r="O4" s="3234"/>
      <c r="P4" s="3235"/>
      <c r="Q4" s="3235"/>
      <c r="R4" s="3235"/>
    </row>
    <row r="5" spans="1:18" ht="135" customHeight="1">
      <c r="A5" s="1940" t="s">
        <v>2654</v>
      </c>
      <c r="B5" s="2888" t="s">
        <v>2652</v>
      </c>
      <c r="C5" s="2669">
        <v>22</v>
      </c>
      <c r="D5" s="2668" t="s">
        <v>2653</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148860.29999999999</v>
      </c>
      <c r="O5" s="1807">
        <f>项目基本情况!C21</f>
        <v>429582.71</v>
      </c>
      <c r="P5" s="1807">
        <f ca="1">结果表!E42</f>
        <v>1524</v>
      </c>
      <c r="Q5" s="1807">
        <f ca="1">结果表!D42</f>
        <v>528</v>
      </c>
      <c r="R5" s="1808">
        <f ca="1">结果表!C42</f>
        <v>22680</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09">
        <f ca="1">结果表!O39</f>
        <v>22680</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09" t="str">
        <f>结果表!O40</f>
        <v>——</v>
      </c>
    </row>
    <row r="8" spans="1:18">
      <c r="A8" s="3238" t="str">
        <f>IF(项目基本情况!B9="市场价格","——",项目基本情况!E9)</f>
        <v>——</v>
      </c>
      <c r="B8" s="3239"/>
      <c r="C8" s="3239"/>
      <c r="D8" s="3239"/>
      <c r="E8" s="3239"/>
      <c r="F8" s="3239"/>
      <c r="G8" s="3239"/>
      <c r="H8" s="3239"/>
      <c r="I8" s="3239"/>
      <c r="J8" s="3239"/>
      <c r="K8" s="3239"/>
      <c r="L8" s="3239"/>
      <c r="M8" s="3239"/>
      <c r="N8" s="3239"/>
      <c r="O8" s="3239"/>
      <c r="P8" s="3239"/>
      <c r="Q8" s="3240"/>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41" t="s">
        <v>2064</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2065</v>
      </c>
      <c r="B5" s="3244"/>
      <c r="C5" s="3244"/>
      <c r="D5" s="3244"/>
    </row>
    <row r="6" spans="1:4">
      <c r="A6" s="3241" t="s">
        <v>2043</v>
      </c>
      <c r="B6" s="3241"/>
      <c r="C6" s="3241"/>
      <c r="D6" s="3241"/>
    </row>
    <row r="7" spans="1:4" ht="33" customHeight="1">
      <c r="A7" s="3241" t="s">
        <v>2574</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v>
      </c>
      <c r="B11" s="3243"/>
      <c r="C11" s="3243"/>
      <c r="D11" s="3243"/>
    </row>
    <row r="12" spans="1:4" ht="168" customHeight="1">
      <c r="A12" s="3244" t="s">
        <v>2067</v>
      </c>
      <c r="B12" s="3244"/>
      <c r="C12" s="3244"/>
      <c r="D12" s="3244"/>
    </row>
    <row r="13" spans="1:4">
      <c r="A13" s="3242" t="s">
        <v>2745</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89" t="s">
        <v>2694</v>
      </c>
      <c r="B19" s="2889" t="s">
        <v>2695</v>
      </c>
      <c r="C19" s="2889" t="s">
        <v>2696</v>
      </c>
      <c r="D19" s="2889" t="s">
        <v>2697</v>
      </c>
    </row>
    <row r="20" spans="1:4">
      <c r="A20" s="2889" t="str">
        <f>项目基本情况!B4</f>
        <v>崔锴</v>
      </c>
      <c r="B20" s="2889">
        <f ca="1">项目基本情况!C4</f>
        <v>2010110070</v>
      </c>
      <c r="C20" s="2891"/>
      <c r="D20" s="1797" t="s">
        <v>2702</v>
      </c>
    </row>
    <row r="21" spans="1:4">
      <c r="A21" s="2889" t="str">
        <f>项目基本情况!D4</f>
        <v>赵雯</v>
      </c>
      <c r="B21" s="2889">
        <f ca="1">项目基本情况!E4</f>
        <v>2011110090</v>
      </c>
      <c r="C21" s="2891"/>
      <c r="D21" s="1797" t="s">
        <v>2703</v>
      </c>
    </row>
    <row r="23" spans="1:4">
      <c r="A23" s="3241" t="s">
        <v>2698</v>
      </c>
      <c r="B23" s="3241"/>
      <c r="C23" s="3241"/>
      <c r="D23" s="3241"/>
    </row>
    <row r="24" spans="1:4">
      <c r="A24" s="2889" t="s">
        <v>2694</v>
      </c>
      <c r="B24" s="2889" t="s">
        <v>2699</v>
      </c>
      <c r="C24" s="2889" t="s">
        <v>2696</v>
      </c>
      <c r="D24" s="2889" t="s">
        <v>2697</v>
      </c>
    </row>
    <row r="25" spans="1:4">
      <c r="A25" s="2892" t="s">
        <v>2700</v>
      </c>
      <c r="B25" s="2889" t="s">
        <v>948</v>
      </c>
      <c r="C25" s="2891"/>
      <c r="D25" s="1797" t="s">
        <v>2703</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4">
      <c r="A15" s="3253" t="s">
        <v>53</v>
      </c>
      <c r="B15" s="3254" t="s">
        <v>842</v>
      </c>
      <c r="C15" s="3250"/>
    </row>
    <row r="16" spans="1:7" ht="14.4">
      <c r="A16" s="3253"/>
      <c r="B16" s="3251" t="s">
        <v>54</v>
      </c>
      <c r="C16" s="1170" t="s">
        <v>53</v>
      </c>
    </row>
    <row r="17" spans="1:3" ht="14.4">
      <c r="A17" s="3253"/>
      <c r="B17" s="3251"/>
      <c r="C17" s="1170" t="s">
        <v>55</v>
      </c>
    </row>
    <row r="18" spans="1:3" ht="14.4">
      <c r="A18" s="3253"/>
      <c r="B18" s="3251"/>
      <c r="C18" s="1170" t="s">
        <v>56</v>
      </c>
    </row>
    <row r="19" spans="1:3" ht="14.4">
      <c r="A19" s="3253"/>
      <c r="B19" s="3249" t="s">
        <v>57</v>
      </c>
      <c r="C19" s="3250"/>
    </row>
    <row r="20" spans="1:3" ht="14.4">
      <c r="A20" s="1171" t="s">
        <v>58</v>
      </c>
      <c r="B20" s="1172"/>
      <c r="C20" s="1173"/>
    </row>
    <row r="21" spans="1:3" ht="14.4">
      <c r="A21" s="3252" t="s">
        <v>59</v>
      </c>
      <c r="B21" s="3249" t="s">
        <v>60</v>
      </c>
      <c r="C21" s="3250"/>
    </row>
    <row r="22" spans="1:3" ht="14.4">
      <c r="A22" s="3252"/>
      <c r="B22" s="3249" t="s">
        <v>61</v>
      </c>
      <c r="C22" s="3250"/>
    </row>
    <row r="23" spans="1:3" ht="14.4">
      <c r="A23" s="3252"/>
      <c r="B23" s="3249" t="s">
        <v>62</v>
      </c>
      <c r="C23" s="3250"/>
    </row>
    <row r="24" spans="1:3" ht="14.4">
      <c r="A24" s="3252"/>
      <c r="B24" s="3255" t="s">
        <v>63</v>
      </c>
      <c r="C24" s="1174" t="s">
        <v>833</v>
      </c>
    </row>
    <row r="25" spans="1:3" ht="14.4">
      <c r="A25" s="3252"/>
      <c r="B25" s="3256"/>
      <c r="C25" s="1174" t="s">
        <v>834</v>
      </c>
    </row>
    <row r="26" spans="1:3" ht="14.4">
      <c r="A26" s="3252"/>
      <c r="B26" s="3256"/>
      <c r="C26" s="1174" t="s">
        <v>835</v>
      </c>
    </row>
    <row r="27" spans="1:3" ht="14.4">
      <c r="A27" s="3252"/>
      <c r="B27" s="3256"/>
      <c r="C27" s="1174" t="s">
        <v>836</v>
      </c>
    </row>
    <row r="28" spans="1:3" ht="14.4">
      <c r="A28" s="3252"/>
      <c r="B28" s="3256"/>
      <c r="C28" s="1174" t="s">
        <v>837</v>
      </c>
    </row>
    <row r="29" spans="1:3" ht="14.4">
      <c r="A29" s="3252"/>
      <c r="B29" s="3256"/>
      <c r="C29" s="1174" t="s">
        <v>838</v>
      </c>
    </row>
    <row r="30" spans="1:3" ht="14.4">
      <c r="A30" s="3252"/>
      <c r="B30" s="3256"/>
      <c r="C30" s="1174" t="s">
        <v>839</v>
      </c>
    </row>
    <row r="31" spans="1:3" ht="14.4">
      <c r="A31" s="3252"/>
      <c r="B31" s="3256"/>
      <c r="C31" s="1174" t="s">
        <v>840</v>
      </c>
    </row>
    <row r="32" spans="1:3" ht="14.4">
      <c r="A32" s="3252"/>
      <c r="B32" s="3256"/>
      <c r="C32" s="1174" t="s">
        <v>1643</v>
      </c>
    </row>
    <row r="33" spans="1:3" ht="14.4">
      <c r="A33" s="3252"/>
      <c r="B33" s="3246" t="s">
        <v>1649</v>
      </c>
      <c r="C33" s="1174" t="s">
        <v>1644</v>
      </c>
    </row>
    <row r="34" spans="1:3" ht="14.4">
      <c r="A34" s="3252"/>
      <c r="B34" s="3247"/>
      <c r="C34" s="1179" t="s">
        <v>1645</v>
      </c>
    </row>
    <row r="35" spans="1:3" ht="14.4">
      <c r="A35" s="3252"/>
      <c r="B35" s="3247"/>
      <c r="C35" s="1180" t="s">
        <v>1646</v>
      </c>
    </row>
    <row r="36" spans="1:3" ht="14.4">
      <c r="A36" s="3252"/>
      <c r="B36" s="3247"/>
      <c r="C36" s="1180" t="s">
        <v>1647</v>
      </c>
    </row>
    <row r="37" spans="1:3" ht="14.4">
      <c r="A37" s="3252"/>
      <c r="B37" s="3248"/>
      <c r="C37" s="1181" t="s">
        <v>1648</v>
      </c>
    </row>
    <row r="38" spans="1:3">
      <c r="A38" s="1175" t="s">
        <v>841</v>
      </c>
    </row>
    <row r="41" spans="1:3">
      <c r="A41" s="1175" t="s">
        <v>68</v>
      </c>
    </row>
    <row r="42" spans="1:3" ht="14.4">
      <c r="A42" s="1176" t="s">
        <v>849</v>
      </c>
    </row>
    <row r="43" spans="1:3" ht="14.4">
      <c r="A43" s="1177" t="s">
        <v>69</v>
      </c>
    </row>
    <row r="44" spans="1:3" ht="14.4">
      <c r="A44" s="1176" t="s">
        <v>848</v>
      </c>
    </row>
    <row r="45" spans="1:3" ht="14.4">
      <c r="A45" s="1178" t="s">
        <v>850</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1904</v>
      </c>
      <c r="B2" s="1653">
        <f ca="1">TODAY()</f>
        <v>43352</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2976</v>
      </c>
      <c r="B12" s="2340">
        <v>1120110054</v>
      </c>
      <c r="C12" s="3027">
        <v>43937</v>
      </c>
      <c r="D12" s="2340" t="s">
        <v>2976</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t="str">
        <f ca="1">IF(C22&lt;B2,"已过期",1120020033)</f>
        <v>已过期</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57" t="s">
        <v>1925</v>
      </c>
      <c r="B25" s="3257"/>
      <c r="C25" s="3257"/>
      <c r="D25" s="3257"/>
      <c r="E25" s="3257"/>
      <c r="F25" s="3257"/>
      <c r="G25" s="3257"/>
    </row>
    <row r="26" spans="1:7" ht="20.25" customHeight="1">
      <c r="A26" s="3258" t="s">
        <v>1926</v>
      </c>
      <c r="B26" s="3258"/>
      <c r="C26" s="3258"/>
      <c r="D26" s="3258" t="s">
        <v>1927</v>
      </c>
      <c r="E26" s="3258"/>
      <c r="F26" s="3258"/>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2940</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2544</v>
      </c>
      <c r="R1" s="2603" t="s">
        <v>2538</v>
      </c>
      <c r="S1" s="6" t="s">
        <v>145</v>
      </c>
      <c r="T1" s="7" t="s">
        <v>146</v>
      </c>
      <c r="U1" s="6" t="s">
        <v>147</v>
      </c>
      <c r="V1" s="6" t="s">
        <v>148</v>
      </c>
      <c r="W1" s="1002" t="s">
        <v>870</v>
      </c>
    </row>
    <row r="2" spans="1:23" ht="14.4">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2539</v>
      </c>
      <c r="S2" s="9" t="s">
        <v>75</v>
      </c>
      <c r="T2" s="9" t="s">
        <v>76</v>
      </c>
      <c r="U2" s="9" t="s">
        <v>75</v>
      </c>
      <c r="V2" s="9" t="s">
        <v>77</v>
      </c>
      <c r="W2" s="9" t="s">
        <v>871</v>
      </c>
    </row>
    <row r="3" spans="1:23" ht="14.4">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2540</v>
      </c>
      <c r="S3" s="9" t="s">
        <v>84</v>
      </c>
      <c r="T3" s="9" t="s">
        <v>85</v>
      </c>
      <c r="U3" s="9" t="s">
        <v>84</v>
      </c>
      <c r="V3" s="9" t="s">
        <v>86</v>
      </c>
      <c r="W3" s="9" t="s">
        <v>872</v>
      </c>
    </row>
    <row r="4" spans="1:23" ht="14.4">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2541</v>
      </c>
      <c r="S4" s="9" t="s">
        <v>92</v>
      </c>
      <c r="T4" s="9" t="s">
        <v>93</v>
      </c>
      <c r="U4" s="9" t="s">
        <v>92</v>
      </c>
      <c r="W4" s="9" t="s">
        <v>873</v>
      </c>
    </row>
    <row r="5" spans="1:23" ht="14.4">
      <c r="A5" s="8" t="s">
        <v>94</v>
      </c>
      <c r="B5" s="8" t="s">
        <v>152</v>
      </c>
      <c r="C5" s="1547" t="s">
        <v>1709</v>
      </c>
      <c r="F5" s="9" t="s">
        <v>95</v>
      </c>
      <c r="H5" s="9" t="s">
        <v>70</v>
      </c>
      <c r="I5" s="9" t="s">
        <v>96</v>
      </c>
      <c r="K5" s="9" t="s">
        <v>97</v>
      </c>
      <c r="L5" s="9" t="s">
        <v>97</v>
      </c>
      <c r="M5" s="9" t="s">
        <v>97</v>
      </c>
      <c r="N5" s="9" t="s">
        <v>97</v>
      </c>
      <c r="O5" s="9" t="s">
        <v>97</v>
      </c>
      <c r="P5" s="1004" t="s">
        <v>542</v>
      </c>
      <c r="Q5" s="9" t="s">
        <v>97</v>
      </c>
      <c r="R5" s="1004" t="s">
        <v>2542</v>
      </c>
      <c r="S5" s="9" t="s">
        <v>97</v>
      </c>
      <c r="T5" s="9" t="s">
        <v>98</v>
      </c>
      <c r="U5" s="9" t="s">
        <v>97</v>
      </c>
      <c r="W5" s="9" t="s">
        <v>874</v>
      </c>
    </row>
    <row r="6" spans="1:23" ht="14.4">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2543</v>
      </c>
      <c r="S6" s="9" t="s">
        <v>101</v>
      </c>
      <c r="T6" s="9"/>
      <c r="U6" s="9" t="s">
        <v>101</v>
      </c>
      <c r="W6" s="9" t="s">
        <v>875</v>
      </c>
    </row>
    <row r="7" spans="1:23" ht="14.4">
      <c r="A7" s="8" t="s">
        <v>102</v>
      </c>
      <c r="B7" s="8" t="s">
        <v>103</v>
      </c>
      <c r="C7" s="1547" t="s">
        <v>1711</v>
      </c>
      <c r="F7" s="9" t="s">
        <v>153</v>
      </c>
      <c r="H7" s="9" t="s">
        <v>104</v>
      </c>
      <c r="I7" s="9" t="s">
        <v>105</v>
      </c>
    </row>
    <row r="8" spans="1:23" ht="14.4">
      <c r="A8" s="8" t="s">
        <v>106</v>
      </c>
      <c r="B8" s="1147" t="s">
        <v>3139</v>
      </c>
      <c r="C8" s="1547" t="s">
        <v>1712</v>
      </c>
      <c r="F8" s="9" t="s">
        <v>154</v>
      </c>
      <c r="H8" s="9"/>
      <c r="I8" s="9" t="s">
        <v>107</v>
      </c>
    </row>
    <row r="9" spans="1:23" ht="14.4">
      <c r="A9" s="8" t="s">
        <v>108</v>
      </c>
      <c r="B9" s="1147" t="s">
        <v>3065</v>
      </c>
      <c r="C9" s="1547" t="s">
        <v>1713</v>
      </c>
      <c r="F9" s="9" t="s">
        <v>109</v>
      </c>
      <c r="H9" s="9"/>
    </row>
    <row r="10" spans="1:23" ht="14.4">
      <c r="A10" s="8" t="s">
        <v>110</v>
      </c>
      <c r="B10" s="1147" t="s">
        <v>3066</v>
      </c>
      <c r="C10" s="1547" t="s">
        <v>1714</v>
      </c>
      <c r="F10" s="9" t="s">
        <v>6</v>
      </c>
    </row>
    <row r="11" spans="1:23" ht="14.4">
      <c r="A11" s="8" t="s">
        <v>111</v>
      </c>
      <c r="B11" s="1147" t="s">
        <v>3067</v>
      </c>
      <c r="C11" s="1547" t="s">
        <v>1715</v>
      </c>
    </row>
    <row r="12" spans="1:23" ht="14.4">
      <c r="A12" s="8" t="s">
        <v>112</v>
      </c>
      <c r="B12" s="8" t="s">
        <v>155</v>
      </c>
      <c r="C12" s="1547" t="s">
        <v>1716</v>
      </c>
    </row>
    <row r="13" spans="1:23" ht="14.4">
      <c r="A13" s="8" t="s">
        <v>113</v>
      </c>
      <c r="B13" s="8" t="s">
        <v>156</v>
      </c>
      <c r="C13" s="1547" t="s">
        <v>1717</v>
      </c>
    </row>
    <row r="14" spans="1:23" ht="14.4">
      <c r="A14" s="8" t="s">
        <v>114</v>
      </c>
      <c r="B14" s="8" t="s">
        <v>157</v>
      </c>
      <c r="C14" s="1550" t="s">
        <v>1893</v>
      </c>
    </row>
    <row r="15" spans="1:23" ht="14.4">
      <c r="A15" s="8" t="s">
        <v>115</v>
      </c>
      <c r="B15" s="8" t="s">
        <v>1678</v>
      </c>
      <c r="C15" s="1550"/>
    </row>
    <row r="16" spans="1:23" ht="14.4">
      <c r="A16" s="8" t="s">
        <v>116</v>
      </c>
      <c r="B16" s="8" t="s">
        <v>1679</v>
      </c>
      <c r="C16" s="1550"/>
    </row>
    <row r="17" spans="1:3" ht="14.4">
      <c r="A17" s="8" t="s">
        <v>117</v>
      </c>
      <c r="B17" s="8" t="s">
        <v>1680</v>
      </c>
      <c r="C17" s="1550"/>
    </row>
    <row r="18" spans="1:3" ht="14.4">
      <c r="A18" s="8" t="s">
        <v>118</v>
      </c>
      <c r="B18" s="3132" t="s">
        <v>2953</v>
      </c>
      <c r="C18" s="1550"/>
    </row>
    <row r="19" spans="1:3" ht="14.4">
      <c r="A19" s="8" t="s">
        <v>119</v>
      </c>
      <c r="B19" s="3132" t="s">
        <v>2961</v>
      </c>
      <c r="C19" s="1550"/>
    </row>
    <row r="20" spans="1:3" ht="14.4">
      <c r="A20" s="8" t="s">
        <v>120</v>
      </c>
      <c r="B20" s="8" t="s">
        <v>1638</v>
      </c>
      <c r="C20" s="1550"/>
    </row>
    <row r="21" spans="1:3" ht="14.4">
      <c r="A21" s="8" t="s">
        <v>121</v>
      </c>
      <c r="B21" s="8" t="s">
        <v>1638</v>
      </c>
      <c r="C21" s="1550"/>
    </row>
    <row r="22" spans="1:3" ht="14.4">
      <c r="A22" s="8" t="s">
        <v>122</v>
      </c>
      <c r="B22" s="8" t="s">
        <v>1638</v>
      </c>
      <c r="C22" s="1550"/>
    </row>
    <row r="23" spans="1:3" ht="14.4">
      <c r="A23" s="8" t="s">
        <v>123</v>
      </c>
      <c r="B23" s="8" t="s">
        <v>1638</v>
      </c>
      <c r="C23" s="1550"/>
    </row>
    <row r="24" spans="1:3">
      <c r="A24" s="8" t="s">
        <v>12</v>
      </c>
      <c r="B24" s="8" t="s">
        <v>1638</v>
      </c>
      <c r="C24" s="1550"/>
    </row>
    <row r="25" spans="1:3" ht="14.4">
      <c r="A25" s="8" t="s">
        <v>124</v>
      </c>
      <c r="B25" s="8" t="s">
        <v>1638</v>
      </c>
      <c r="C25" s="1550"/>
    </row>
    <row r="26" spans="1:3" ht="14.4">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航宇置业发展有限公司拟使用湖北省鄂州市花湖开发区杨叶大道与胄山大道交叉口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59"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10日，在规划利用条件下、设定土地开发程度为红线外“七通”、宗地内场地平整，设定用途为，剩余土地使用年限为的出让国有建设用地使用权价格。</v>
      </c>
      <c r="D53" s="1764"/>
      <c r="E53" s="1764"/>
    </row>
    <row r="54" spans="1:5">
      <c r="A54" s="3259"/>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9"/>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9"/>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9"/>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案例</vt:lpstr>
      <vt:lpstr>项目基本情况</vt:lpstr>
      <vt:lpstr>Sheet1</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2018-09-09T11:38:32Z</dcterms:modified>
</cp:coreProperties>
</file>