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住宅案例"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C32" i="9"/>
  <c r="H118" i="9"/>
  <c r="M118" i="9"/>
  <c r="M119" i="9"/>
  <c r="B3" i="68"/>
  <c r="C57" i="68"/>
  <c r="D35" i="9"/>
  <c r="C35" i="9"/>
  <c r="F118" i="9"/>
  <c r="L118" i="9"/>
  <c r="L119" i="9"/>
  <c r="C34" i="9"/>
  <c r="D118" i="9"/>
  <c r="K118" i="9"/>
  <c r="K119" i="9"/>
  <c r="J27" i="21"/>
  <c r="AC27" i="21"/>
  <c r="J28" i="21"/>
  <c r="AC28" i="21"/>
  <c r="J11" i="21"/>
  <c r="AC11" i="21"/>
  <c r="V47" i="21"/>
  <c r="J33" i="21"/>
  <c r="AC33" i="21"/>
  <c r="D108" i="21"/>
  <c r="J35" i="21"/>
  <c r="AC35" i="21"/>
  <c r="V48" i="21"/>
  <c r="F35" i="21"/>
  <c r="AA35" i="21"/>
  <c r="R48" i="21"/>
  <c r="H35" i="21"/>
  <c r="AB35" i="21"/>
  <c r="T48" i="21"/>
  <c r="R49" i="21"/>
  <c r="C49" i="21"/>
  <c r="B2" i="21"/>
  <c r="C8" i="12"/>
  <c r="B3" i="21"/>
  <c r="C6" i="12"/>
  <c r="I7" i="21"/>
  <c r="G7" i="21"/>
  <c r="E7" i="21"/>
  <c r="C33" i="21"/>
  <c r="C11" i="21"/>
  <c r="D15" i="74"/>
  <c r="G15" i="74"/>
  <c r="C15" i="74"/>
  <c r="B15" i="74"/>
  <c r="E5" i="39"/>
  <c r="F15" i="39"/>
  <c r="AA15" i="39"/>
  <c r="F17" i="39"/>
  <c r="AA17" i="39"/>
  <c r="F19" i="39"/>
  <c r="AA19" i="39"/>
  <c r="F21" i="39"/>
  <c r="AA21" i="39"/>
  <c r="F23" i="39"/>
  <c r="AA23" i="39"/>
  <c r="F25" i="39"/>
  <c r="AA25" i="39"/>
  <c r="F27" i="39"/>
  <c r="AA27" i="39"/>
  <c r="F29" i="39"/>
  <c r="AA29" i="39"/>
  <c r="F31" i="39"/>
  <c r="AA31" i="39"/>
  <c r="F32" i="39"/>
  <c r="AA32" i="39"/>
  <c r="R47" i="39"/>
  <c r="H32" i="39"/>
  <c r="AB32" i="39"/>
  <c r="H15" i="39"/>
  <c r="AB15" i="39"/>
  <c r="H17" i="39"/>
  <c r="AB17" i="39"/>
  <c r="H19" i="39"/>
  <c r="AB19" i="39"/>
  <c r="H21" i="39"/>
  <c r="AB21" i="39"/>
  <c r="H23" i="39"/>
  <c r="AB23" i="39"/>
  <c r="H25" i="39"/>
  <c r="AB25" i="39"/>
  <c r="H27" i="39"/>
  <c r="AB27" i="39"/>
  <c r="H29" i="39"/>
  <c r="AB29" i="39"/>
  <c r="H31" i="39"/>
  <c r="AB31" i="39"/>
  <c r="T47" i="39"/>
  <c r="J32" i="39"/>
  <c r="AC32" i="39"/>
  <c r="J15" i="39"/>
  <c r="AC15" i="39"/>
  <c r="J17" i="39"/>
  <c r="AC17" i="39"/>
  <c r="J19" i="39"/>
  <c r="AC19" i="39"/>
  <c r="J21" i="39"/>
  <c r="AC21" i="39"/>
  <c r="J23" i="39"/>
  <c r="AC23" i="39"/>
  <c r="J25" i="39"/>
  <c r="AC25" i="39"/>
  <c r="J27" i="39"/>
  <c r="AC27" i="39"/>
  <c r="J29" i="39"/>
  <c r="AC29" i="39"/>
  <c r="J31" i="39"/>
  <c r="AC31" i="39"/>
  <c r="V47" i="39"/>
  <c r="R48" i="39"/>
  <c r="C47" i="39"/>
  <c r="C8" i="68"/>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B23" i="1"/>
  <c r="C20" i="68"/>
  <c r="G1" i="68"/>
  <c r="Q16" i="1"/>
  <c r="M6" i="1"/>
  <c r="M16" i="1"/>
  <c r="N16" i="1"/>
  <c r="B24" i="1"/>
  <c r="O6" i="1"/>
  <c r="O16" i="1"/>
  <c r="F50" i="68"/>
  <c r="P6" i="1"/>
  <c r="P16" i="1"/>
  <c r="C4" i="12"/>
  <c r="C31" i="12"/>
  <c r="C17" i="9"/>
  <c r="D17" i="9"/>
  <c r="C18" i="9"/>
  <c r="D18" i="9"/>
  <c r="I5" i="39"/>
  <c r="G5" i="39"/>
  <c r="A3" i="3"/>
  <c r="AF13" i="3"/>
  <c r="I7" i="39"/>
  <c r="G7" i="39"/>
  <c r="E7" i="39"/>
  <c r="I38" i="39"/>
  <c r="G38" i="39"/>
  <c r="E38" i="39"/>
  <c r="I46" i="39"/>
  <c r="G46" i="39"/>
  <c r="E46" i="39"/>
  <c r="F19" i="6"/>
  <c r="E19" i="6"/>
  <c r="C7" i="12"/>
  <c r="C10" i="39"/>
  <c r="C19" i="6"/>
  <c r="D3" i="4"/>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3"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P48" i="21"/>
  <c r="P49" i="21"/>
  <c r="F8" i="21"/>
  <c r="AA8" i="21"/>
  <c r="E10" i="11"/>
  <c r="E9" i="11"/>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E101" i="39"/>
  <c r="J23" i="40"/>
  <c r="AC23" i="40"/>
  <c r="F21" i="40"/>
  <c r="AA21" i="40"/>
  <c r="J21" i="40"/>
  <c r="W21" i="40"/>
  <c r="H42" i="39"/>
  <c r="AB42" i="39"/>
  <c r="J34" i="39"/>
  <c r="AC34" i="39"/>
  <c r="F109" i="39"/>
  <c r="G109" i="39"/>
  <c r="H109" i="39"/>
  <c r="I109" i="39"/>
  <c r="J109" i="39"/>
  <c r="K109" i="39"/>
  <c r="L109" i="39"/>
  <c r="M109" i="39"/>
  <c r="F101" i="39"/>
  <c r="U27" i="39"/>
  <c r="F11" i="21"/>
  <c r="S11" i="21"/>
  <c r="S40" i="21"/>
  <c r="U34" i="21"/>
  <c r="S34" i="21"/>
  <c r="C25" i="39"/>
  <c r="C27" i="39"/>
  <c r="C21" i="39"/>
  <c r="H11" i="39"/>
  <c r="S40" i="39"/>
  <c r="C15" i="39"/>
  <c r="H32" i="33"/>
  <c r="AB32" i="33"/>
  <c r="H11" i="21"/>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S27" i="39"/>
  <c r="W17" i="39"/>
  <c r="W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F27" i="69"/>
  <c r="H16" i="1"/>
  <c r="K16" i="1"/>
  <c r="AB45"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I38" i="43"/>
  <c r="F24" i="15"/>
  <c r="C24" i="15"/>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I19" i="6"/>
  <c r="M27" i="6"/>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F34" i="11"/>
  <c r="C37" i="11"/>
  <c r="C26" i="69"/>
  <c r="D22" i="69"/>
  <c r="C44" i="69"/>
  <c r="D41" i="69"/>
  <c r="C25" i="11"/>
  <c r="C26" i="11"/>
  <c r="D22" i="11"/>
  <c r="C24" i="11"/>
  <c r="C44" i="11"/>
  <c r="D41" i="11"/>
  <c r="C23" i="11"/>
  <c r="I35" i="43"/>
  <c r="E35" i="43"/>
  <c r="I36"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C38" i="67"/>
  <c r="H19" i="6"/>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R8" i="1"/>
  <c r="R22" i="6"/>
  <c r="D30" i="6"/>
  <c r="D16" i="6"/>
  <c r="A7" i="51"/>
  <c r="B7" i="72"/>
  <c r="C4" i="52"/>
  <c r="B45" i="72"/>
  <c r="A10" i="51"/>
  <c r="B9" i="72"/>
  <c r="D27" i="6"/>
  <c r="C10"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C48" i="21"/>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F63" i="67"/>
  <c r="C62" i="67"/>
  <c r="C34" i="67"/>
  <c r="J20" i="67"/>
  <c r="J20" i="15"/>
  <c r="F63" i="15"/>
  <c r="C62" i="15"/>
  <c r="C34" i="15"/>
  <c r="R16" i="1"/>
  <c r="I63" i="40"/>
  <c r="H65" i="40"/>
  <c r="C39" i="11"/>
  <c r="C43" i="11"/>
  <c r="C41" i="11"/>
  <c r="I70" i="39"/>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70"/>
  <c r="B3" i="70"/>
  <c r="D20" i="9"/>
  <c r="D102" i="9"/>
  <c r="D21" i="9"/>
  <c r="D103" i="9"/>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F10" i="39"/>
  <c r="AA10" i="39"/>
  <c r="H10" i="39"/>
  <c r="AB10" i="39"/>
  <c r="J10" i="39"/>
  <c r="AC10" i="3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G118" i="9"/>
  <c r="E118" i="9"/>
  <c r="E4" i="52"/>
  <c r="B48" i="72"/>
  <c r="H102" i="9"/>
  <c r="D7" i="53"/>
  <c r="B21" i="72"/>
  <c r="B20" i="72"/>
  <c r="I4" i="52"/>
  <c r="D53"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<sst xmlns="http://schemas.openxmlformats.org/spreadsheetml/2006/main" count="7776" uniqueCount="3180">
  <si>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</si>
  <si>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</si>
  <si>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</si>
  <si>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</si>
  <si>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</si>
  <si>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</si>
  <si>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</si>
  <si>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</si>
  <si>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</si>
  <si>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</si>
  <si>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</si>
  <si>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</si>
  <si>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</si>
  <si>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</si>
  <si>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</si>
  <si>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</si>
  <si>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</si>
  <si>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</si>
  <si>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</si>
  <si>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</si>
  <si>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</si>
  <si>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</si>
  <si>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</si>
  <si>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</si>
  <si>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</si>
  <si>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</si>
  <si>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</si>
  <si>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</si>
  <si>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</si>
  <si>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</si>
  <si>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</si>
  <si>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</si>
  <si>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</si>
  <si>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</si>
  <si>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</si>
  <si>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</si>
  <si>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</si>
  <si>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</si>
  <si>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</si>
  <si>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</si>
  <si>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</si>
  <si>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</si>
  <si>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</si>
  <si>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</si>
  <si>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</si>
  <si>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</si>
  <si>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</si>
  <si>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</si>
  <si>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</si>
  <si>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</si>
  <si>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</si>
  <si>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</si>
  <si>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</si>
  <si>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</si>
  <si>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</si>
  <si>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</si>
  <si>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</si>
  <si>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</si>
  <si>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</si>
  <si>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</si>
  <si>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</si>
  <si>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</si>
  <si>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</si>
  <si>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</si>
  <si>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</si>
  <si>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</si>
  <si>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</si>
  <si>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</si>
  <si>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</si>
  <si>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</si>
  <si>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</si>
  <si>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</si>
  <si>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</si>
  <si>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</si>
  <si>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</si>
  <si>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</si>
  <si>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</si>
  <si>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</si>
  <si>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</si>
  <si>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</si>
  <si>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</si>
  <si>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</si>
  <si>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</si>
  <si>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</si>
  <si>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</si>
  <si>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</si>
  <si>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</si>
  <si>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</si>
  <si>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</si>
  <si>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</si>
  <si>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</si>
  <si>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</si>
  <si>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</si>
  <si>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</si>
  <si>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</si>
  <si>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</si>
  <si>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</si>
  <si>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</si>
  <si>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</si>
  <si>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</si>
  <si>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</si>
  <si>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</si>
  <si>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</si>
  <si>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</si>
  <si>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</si>
  <si>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</si>
  <si>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</si>
  <si>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</si>
  <si>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</si>
  <si>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</si>
  <si>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</si>
  <si>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</si>
  <si>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</si>
  <si>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</si>
  <si>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</si>
  <si>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</si>
  <si>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</si>
  <si>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</si>
  <si>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</si>
  <si>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</si>
  <si>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</si>
  <si>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</si>
  <si>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</si>
  <si>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</si>
  <si>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</si>
  <si>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</si>
  <si>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</si>
  <si>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</si>
  <si>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</si>
  <si>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</si>
  <si>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</si>
  <si>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</si>
  <si>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</si>
  <si>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</si>
  <si>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</si>
  <si>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</si>
  <si>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</si>
  <si>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</si>
  <si>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</si>
  <si>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</si>
  <si>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</si>
  <si>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</si>
  <si>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</si>
  <si>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</si>
  <si>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</si>
  <si>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</si>
  <si>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</si>
  <si>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</si>
  <si>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</si>
  <si>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</si>
  <si>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</si>
  <si>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</si>
  <si>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</si>
  <si>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</si>
  <si>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</si>
  <si>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</si>
  <si>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</si>
  <si>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</si>
  <si>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</si>
  <si>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</si>
  <si>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</si>
  <si>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</si>
  <si>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</si>
  <si>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</si>
  <si>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</si>
  <si>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</si>
  <si>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</si>
  <si>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</si>
  <si>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</si>
  <si>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</si>
  <si>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</si>
  <si>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</si>
  <si>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</si>
  <si>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</si>
  <si>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</si>
  <si>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</si>
  <si>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</si>
  <si>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</si>
  <si>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</si>
  <si>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</si>
  <si>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</si>
  <si>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</si>
  <si>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</si>
  <si>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</si>
  <si>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</si>
  <si>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</si>
  <si>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</si>
  <si>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</si>
  <si>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</si>
  <si>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</si>
  <si>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</si>
  <si>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</si>
  <si>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</si>
  <si>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</si>
  <si>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</si>
  <si>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</si>
  <si>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</si>
  <si>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</si>
  <si>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</si>
  <si>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</si>
  <si>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</si>
  <si>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</si>
  <si>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</si>
  <si>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</si>
  <si>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</si>
  <si>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</si>
  <si>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</si>
  <si>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</si>
  <si>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</si>
  <si>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</si>
  <si>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</si>
  <si>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</si>
  <si>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</si>
  <si>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</si>
  <si>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</si>
  <si>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</si>
  <si>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</si>
  <si>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</si>
  <si>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</si>
  <si>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</si>
  <si>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</si>
  <si>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</si>
  <si>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</si>
  <si>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</si>
  <si>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</si>
  <si>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</si>
  <si>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</si>
  <si>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</si>
  <si>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</si>
  <si>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</si>
  <si>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</si>
  <si>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</si>
  <si>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</si>
  <si>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</si>
  <si>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</si>
  <si>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</si>
  <si>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</si>
  <si>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</si>
  <si>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</si>
  <si>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</si>
  <si>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</si>
  <si>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</si>
  <si>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</si>
  <si>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</si>
  <si>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</si>
  <si>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</si>
  <si>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</si>
  <si>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</si>
  <si>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</si>
  <si>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</si>
  <si>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</si>
  <si>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</si>
  <si>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</si>
  <si>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</si>
  <si>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</si>
  <si>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</si>
  <si>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</si>
  <si>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</si>
  <si>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</si>
  <si>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</si>
  <si>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</si>
  <si>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</si>
  <si>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</si>
  <si>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</si>
  <si>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</si>
  <si>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</si>
  <si>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</si>
  <si>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</si>
  <si>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</si>
  <si>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</si>
  <si>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</si>
  <si>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</si>
  <si>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</si>
  <si>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</si>
  <si>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</si>
  <si>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</si>
  <si>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</si>
  <si>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</si>
  <si>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</si>
  <si>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</si>
  <si>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</si>
  <si>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</si>
  <si>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</si>
  <si>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</si>
  <si>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</si>
  <si>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</si>
  <si>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</si>
  <si>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</si>
  <si>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</si>
  <si>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</si>
  <si>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</si>
  <si>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</si>
  <si>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</si>
  <si>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</si>
  <si>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</si>
  <si>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</si>
  <si>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</si>
  <si>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</si>
  <si>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</si>
  <si>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</si>
  <si>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</si>
  <si>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</si>
  <si>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</si>
  <si>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</si>
  <si>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</si>
  <si>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</si>
  <si>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</si>
  <si>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</si>
  <si>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</si>
  <si>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</si>
  <si>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</si>
  <si>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</si>
  <si>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</si>
  <si>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</si>
  <si>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</si>
  <si>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</si>
  <si>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</si>
  <si>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</si>
  <si>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</si>
  <si>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</si>
  <si>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</si>
  <si>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</si>
  <si>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</si>
  <si>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</si>
  <si>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</si>
  <si>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</si>
  <si>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</si>
  <si>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</si>
  <si>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</si>
  <si>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</si>
  <si>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</si>
  <si>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</si>
  <si>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</si>
  <si>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</si>
  <si>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</si>
  <si>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</si>
  <si>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</si>
  <si>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</si>
  <si>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</si>
  <si>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</si>
  <si>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</si>
  <si>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</si>
  <si>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</si>
  <si>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</si>
  <si>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</si>
  <si>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</si>
  <si>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</si>
  <si>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</si>
  <si>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</si>
  <si>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</si>
  <si>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</si>
  <si>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</si>
  <si>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</si>
  <si>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</si>
  <si>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</si>
  <si>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</si>
  <si>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</si>
  <si>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</si>
  <si>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</si>
  <si>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</si>
  <si>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</si>
  <si>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</si>
  <si>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</si>
  <si>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</si>
  <si>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</si>
  <si>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</si>
  <si>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</si>
  <si>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</si>
  <si>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</si>
  <si>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</si>
  <si>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</si>
  <si>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</si>
  <si>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</si>
  <si>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</si>
  <si>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</si>
  <si>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</si>
  <si>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</si>
  <si>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</si>
  <si>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</si>
  <si>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</si>
  <si>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</si>
  <si>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</si>
  <si>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</si>
  <si>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</si>
  <si>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</si>
  <si>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</si>
  <si>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</si>
  <si>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</si>
  <si>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</si>
  <si>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</si>
  <si>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</si>
  <si>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</si>
  <si>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</si>
  <si>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</si>
  <si>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</si>
  <si>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</si>
  <si>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</si>
  <si>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</si>
  <si>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</si>
  <si>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</si>
  <si>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</si>
  <si>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</si>
  <si>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</si>
  <si>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</si>
  <si>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</si>
  <si>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</si>
  <si>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</si>
  <si>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</si>
  <si>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</si>
  <si>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</si>
  <si>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</si>
  <si>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</si>
  <si>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</si>
  <si>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</si>
  <si>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</si>
  <si>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</si>
  <si>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</si>
  <si>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</si>
  <si>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</si>
  <si>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</si>
  <si>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</si>
  <si>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</si>
  <si>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</si>
  <si>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</si>
  <si>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</si>
  <si>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</si>
  <si>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</si>
  <si>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</si>
  <si>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</si>
  <si>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</si>
  <si>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</si>
  <si>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</si>
  <si>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</si>
  <si>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</si>
  <si>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</si>
  <si>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</si>
  <si>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</si>
  <si>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</si>
  <si>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</si>
  <si>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</si>
  <si>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</si>
  <si>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</si>
  <si>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</si>
  <si>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</si>
  <si>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</si>
  <si>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</si>
  <si>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</si>
  <si>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</si>
  <si>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</si>
  <si>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</si>
  <si>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</si>
  <si>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</si>
  <si>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</si>
  <si>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</si>
  <si>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</si>
  <si>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</si>
  <si>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</si>
  <si>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</si>
  <si>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</si>
  <si>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</si>
  <si>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</si>
  <si>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</si>
  <si>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</si>
  <si>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</si>
  <si>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</si>
  <si>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</si>
  <si>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</si>
  <si>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</si>
  <si>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</si>
  <si>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</si>
  <si>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</si>
  <si>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</si>
  <si>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</si>
  <si>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</si>
  <si>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</si>
  <si>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</si>
  <si>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</si>
  <si>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</si>
  <si>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</si>
  <si>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</si>
  <si>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</si>
  <si>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</si>
  <si>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</si>
  <si>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</si>
  <si>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</si>
  <si>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</si>
  <si>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</si>
  <si>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</si>
  <si>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</si>
  <si>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</si>
  <si>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</si>
  <si>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</si>
  <si>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</si>
  <si>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</si>
  <si>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</si>
  <si>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</si>
  <si>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</si>
  <si>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</si>
  <si>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</si>
  <si>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</si>
  <si>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</si>
  <si>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</si>
  <si>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</si>
  <si>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</si>
  <si>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</si>
  <si>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</si>
  <si>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</si>
  <si>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</si>
  <si>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</si>
  <si>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</si>
  <si>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</si>
  <si>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</si>
  <si>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</si>
  <si>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</si>
  <si>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</si>
  <si>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</si>
  <si>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</si>
  <si>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</si>
  <si>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</si>
  <si>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</si>
  <si>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</si>
  <si>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</si>
  <si>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</si>
  <si>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</si>
  <si>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</si>
  <si>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</si>
  <si>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</si>
  <si>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</si>
  <si>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</si>
  <si>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</si>
  <si>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</si>
  <si>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</si>
  <si>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</si>
  <si>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</si>
  <si>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</si>
  <si>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</si>
  <si>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</si>
  <si>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</si>
  <si>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</si>
  <si>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</si>
  <si>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</si>
  <si>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</si>
  <si>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</si>
  <si>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</si>
  <si>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</si>
  <si>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</si>
  <si>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</si>
  <si>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</si>
  <si>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</si>
  <si>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</si>
  <si>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</si>
  <si>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</si>
  <si>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</si>
  <si>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</si>
  <si>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</si>
  <si>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</si>
  <si>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</si>
  <si>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</si>
  <si>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</si>
  <si>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</si>
  <si>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</si>
  <si>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</si>
  <si>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</si>
  <si>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</si>
  <si>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</si>
  <si>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</si>
  <si>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</si>
  <si>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</si>
  <si>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</si>
  <si>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</si>
  <si>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</si>
  <si>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</si>
  <si>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</si>
  <si>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</si>
  <si>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</si>
  <si>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</si>
  <si>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</si>
  <si>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</si>
  <si>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</si>
  <si>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</si>
  <si>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</si>
  <si>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</si>
  <si>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</si>
  <si>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</si>
  <si>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</si>
  <si>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</si>
  <si>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</si>
  <si>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</si>
  <si>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</si>
  <si>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</si>
  <si>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</si>
  <si>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</si>
  <si>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</si>
  <si>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</si>
  <si>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</si>
  <si>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</si>
  <si>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</si>
  <si>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</si>
  <si>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</si>
  <si>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</si>
  <si>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</si>
  <si>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</si>
  <si>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</si>
  <si>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</si>
  <si>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</si>
  <si>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</si>
  <si>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</si>
  <si>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</si>
  <si>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</si>
  <si>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</si>
  <si>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</si>
  <si>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</si>
  <si>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</si>
  <si>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</si>
  <si>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</si>
  <si>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</si>
  <si>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</si>
  <si>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</si>
  <si>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</si>
  <si>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</si>
  <si>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</si>
  <si>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</si>
  <si>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</si>
  <si>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</si>
  <si>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</si>
  <si>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</si>
  <si>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</si>
  <si>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</si>
  <si>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</si>
  <si>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</si>
  <si>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</si>
  <si>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</si>
  <si>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</si>
  <si>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</si>
  <si>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</si>
  <si>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</si>
  <si>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</si>
  <si>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</si>
  <si>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</si>
  <si>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</si>
  <si>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</si>
  <si>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</si>
  <si>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</si>
  <si>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</si>
  <si>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</si>
  <si>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</si>
  <si>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</si>
  <si>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</si>
  <si>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</si>
  <si>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</si>
  <si>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</si>
  <si>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</si>
  <si>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</si>
  <si>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</si>
  <si>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</si>
  <si>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</si>
  <si>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</si>
  <si>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</si>
  <si>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</si>
  <si>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</si>
  <si>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</si>
  <si>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</si>
  <si>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</si>
  <si>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</si>
  <si>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</si>
  <si>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</si>
  <si>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</si>
  <si>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</si>
  <si>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</si>
  <si>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</si>
  <si>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</si>
  <si>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</si>
  <si>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</si>
  <si>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</si>
  <si>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</si>
  <si>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</si>
  <si>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</si>
  <si>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</si>
  <si>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</si>
  <si>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</si>
  <si>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</si>
  <si>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</si>
  <si>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</si>
  <si>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</si>
  <si>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</si>
  <si>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</si>
  <si>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</si>
  <si>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</si>
  <si>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</si>
  <si>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</si>
  <si>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</si>
  <si>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</si>
  <si>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</si>
  <si>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</si>
  <si>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</si>
  <si>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</si>
  <si>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</si>
  <si>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</si>
  <si>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</si>
  <si>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</si>
  <si>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</si>
  <si>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</si>
  <si>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</si>
  <si>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</si>
  <si>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</si>
  <si>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</si>
  <si>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</si>
  <si>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</si>
  <si>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</si>
  <si>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</si>
  <si>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</si>
  <si>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</si>
  <si>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</si>
  <si>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</si>
  <si>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</si>
  <si>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</si>
  <si>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</si>
  <si>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</si>
  <si>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</si>
  <si>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</si>
  <si>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</si>
  <si>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</si>
  <si>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</si>
  <si>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</si>
  <si>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</si>
  <si>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</si>
  <si>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</si>
  <si>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</si>
  <si>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</si>
  <si>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</si>
  <si>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</si>
  <si>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</si>
  <si>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</si>
  <si>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</si>
  <si>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</si>
  <si>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</si>
  <si>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</si>
  <si>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</si>
  <si>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</si>
  <si>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</si>
  <si>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</si>
  <si>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</si>
  <si>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</si>
  <si>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</si>
  <si>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</si>
  <si>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</si>
  <si>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</si>
  <si>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</si>
  <si>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</si>
  <si>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</si>
  <si>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</si>
  <si>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</si>
  <si>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</si>
  <si>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</si>
  <si>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</si>
  <si>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</si>
  <si>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</si>
  <si>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</si>
  <si>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</si>
  <si>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</si>
  <si>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</si>
  <si>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</si>
  <si>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</si>
  <si>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</si>
  <si>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</si>
  <si>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</si>
  <si>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</si>
  <si>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</si>
  <si>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</si>
  <si>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</si>
  <si>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</si>
  <si>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</si>
  <si>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</si>
  <si>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</si>
  <si>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</si>
  <si>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</si>
  <si>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</si>
  <si>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</si>
  <si>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</si>
  <si>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</si>
  <si>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</si>
  <si>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</si>
  <si>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</si>
  <si>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</si>
  <si>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</si>
  <si>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</si>
  <si>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</si>
  <si>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</si>
  <si>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</si>
  <si>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</si>
  <si>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</si>
  <si>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</si>
  <si>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</si>
  <si>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</si>
  <si>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</si>
  <si>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</si>
  <si>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</si>
  <si>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</si>
  <si>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</si>
  <si>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</si>
  <si>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</si>
  <si>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</si>
  <si>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</si>
  <si>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</si>
  <si>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</si>
  <si>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</si>
  <si>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</si>
  <si>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</si>
  <si>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</si>
  <si>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</si>
  <si>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</si>
  <si>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</si>
  <si>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</si>
  <si>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</si>
  <si>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</si>
  <si>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</si>
  <si>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</si>
  <si>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</si>
  <si>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</si>
  <si>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</si>
  <si>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</si>
  <si>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</si>
  <si>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</si>
  <si>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</si>
  <si>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</si>
  <si>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</si>
  <si>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</si>
  <si>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</si>
  <si>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</si>
  <si>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</si>
  <si>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</si>
  <si>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</si>
  <si>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</si>
  <si>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</si>
  <si>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</si>
  <si>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</si>
  <si>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</si>
  <si>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</si>
  <si>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</si>
  <si>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</si>
  <si>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</si>
  <si>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</si>
  <si>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</si>
  <si>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</si>
  <si>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</si>
  <si>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</si>
  <si>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</si>
  <si>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</si>
  <si>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</si>
  <si>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</si>
  <si>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</si>
  <si>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</si>
  <si>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</si>
  <si>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</si>
  <si>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</si>
  <si>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</si>
  <si>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</si>
  <si>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</si>
  <si>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</si>
  <si>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</si>
  <si>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</si>
  <si>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</si>
  <si>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</si>
  <si>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</si>
  <si>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</si>
  <si>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</si>
  <si>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</si>
  <si>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</si>
  <si>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</si>
  <si>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</si>
  <si>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</si>
  <si>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</si>
  <si>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</si>
  <si>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</si>
  <si>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</si>
  <si>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</si>
  <si>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</si>
  <si>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</si>
  <si>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</si>
  <si>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</si>
  <si>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</si>
  <si>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</si>
  <si>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</si>
  <si>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</si>
  <si>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</si>
  <si>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</si>
  <si>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</si>
  <si>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</si>
  <si>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</si>
  <si>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</si>
  <si>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</si>
  <si>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</si>
  <si>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</si>
  <si>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</si>
  <si>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</si>
  <si>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</si>
  <si>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</si>
  <si>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</si>
  <si>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</si>
  <si>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</si>
  <si>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</si>
  <si>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</si>
  <si>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</si>
  <si>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</si>
  <si>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</si>
  <si>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</si>
  <si>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</si>
  <si>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</si>
  <si>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</si>
  <si>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</si>
  <si>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</si>
  <si>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</si>
  <si>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</si>
  <si>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</si>
  <si>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</si>
  <si>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</si>
  <si>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</si>
  <si>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</si>
  <si>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</si>
  <si>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</si>
  <si>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</si>
  <si>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</si>
  <si>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</si>
  <si>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</si>
  <si>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</si>
  <si>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</si>
  <si>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</si>
  <si>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</si>
  <si>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</si>
  <si>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</si>
  <si>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</si>
  <si>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</si>
  <si>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</si>
  <si>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</si>
  <si>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</si>
  <si>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</si>
  <si>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</si>
  <si>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</si>
  <si>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</si>
  <si>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</si>
  <si>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</si>
  <si>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</si>
  <si>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</si>
  <si>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</si>
  <si>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</si>
  <si>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</si>
  <si>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</si>
  <si>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</si>
  <si>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</si>
  <si>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</si>
  <si>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</si>
  <si>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</si>
  <si>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</si>
  <si>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</si>
  <si>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</si>
  <si>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</si>
  <si>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</si>
  <si>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</si>
  <si>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</si>
  <si>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</si>
  <si>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</si>
  <si>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</si>
  <si>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</si>
  <si>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</si>
  <si>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</si>
  <si>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</si>
  <si>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</si>
  <si>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</si>
  <si>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</si>
  <si>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</si>
  <si>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</si>
  <si>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</si>
  <si>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</si>
  <si>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</si>
  <si>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</si>
  <si>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</si>
  <si>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</si>
  <si>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</si>
  <si>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</si>
  <si>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</si>
  <si>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</si>
  <si>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</si>
  <si>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</si>
  <si>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</si>
  <si>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</si>
  <si>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</si>
  <si>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</si>
  <si>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</si>
  <si>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</si>
  <si>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</si>
  <si>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</si>
  <si>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</si>
  <si>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</si>
  <si>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</si>
  <si>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</si>
  <si>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</si>
  <si>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</si>
  <si>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</si>
  <si>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</si>
  <si>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</si>
  <si>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</si>
  <si>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</si>
  <si>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</si>
  <si>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</si>
  <si>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</si>
  <si>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</si>
  <si>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</si>
  <si>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</si>
  <si>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</si>
  <si>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</si>
  <si>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</si>
  <si>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</si>
  <si>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</si>
  <si>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</si>
  <si>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</si>
  <si>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</si>
  <si>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</si>
  <si>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</si>
  <si>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</si>
  <si>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</si>
  <si>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</si>
  <si>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</si>
  <si>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</si>
  <si>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</si>
  <si>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</si>
  <si>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</si>
  <si>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</si>
  <si>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</si>
  <si>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</si>
  <si>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</si>
  <si>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</si>
  <si>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</si>
  <si>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</si>
  <si>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</si>
  <si>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</si>
  <si>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</si>
  <si>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</si>
  <si>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</si>
  <si>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</si>
  <si>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</si>
  <si>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</si>
  <si>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</si>
  <si>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</si>
  <si>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</si>
  <si>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</si>
  <si>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</si>
  <si>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</si>
  <si>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</si>
  <si>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</si>
  <si>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</si>
  <si>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</si>
  <si>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</si>
  <si>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</si>
  <si>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</si>
  <si>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</si>
  <si>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</si>
  <si>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</si>
  <si>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</si>
  <si>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</si>
  <si>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</si>
  <si>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</si>
  <si>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</si>
  <si>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</si>
  <si>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</si>
  <si>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</si>
  <si>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</si>
  <si>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</si>
  <si>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</si>
  <si>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</si>
  <si>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</si>
  <si>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</si>
  <si>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</si>
  <si>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</si>
  <si>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</si>
  <si>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</si>
  <si>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</si>
  <si>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</si>
  <si>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</si>
  <si>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</si>
  <si>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</si>
  <si>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</si>
  <si>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</si>
  <si>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</si>
  <si>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</si>
  <si>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</si>
  <si>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</si>
  <si>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</si>
  <si>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</si>
  <si>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</si>
  <si>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</si>
  <si>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</si>
  <si>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</si>
  <si>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</si>
  <si>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</si>
  <si>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</si>
  <si>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</si>
  <si>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</si>
  <si>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</si>
  <si>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</si>
  <si>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</si>
  <si>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</si>
  <si>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</si>
  <si>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</si>
  <si>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</si>
  <si>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</si>
  <si>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</si>
  <si>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</si>
  <si>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</si>
  <si>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</si>
  <si>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</si>
  <si>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</si>
  <si>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</si>
  <si>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</si>
  <si>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</si>
  <si>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</si>
  <si>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</si>
  <si>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</si>
  <si>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</si>
  <si>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</si>
  <si>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</si>
  <si>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</si>
  <si>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</si>
  <si>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</si>
  <si>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</si>
  <si>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</si>
  <si>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</si>
  <si>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</si>
  <si>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</si>
  <si>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</si>
  <si>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</si>
  <si>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</si>
  <si>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</si>
  <si>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</si>
  <si>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</si>
  <si>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</si>
  <si>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</si>
  <si>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</si>
  <si>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</si>
  <si>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</si>
  <si>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</si>
  <si>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</si>
  <si>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</si>
  <si>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</si>
  <si>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</si>
  <si>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</si>
  <si>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</si>
  <si>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</si>
  <si>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</si>
  <si>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</si>
  <si>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</si>
  <si>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</si>
  <si>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</si>
  <si>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</si>
  <si>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</si>
  <si>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</si>
  <si>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</si>
  <si>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</si>
  <si>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</si>
  <si>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</si>
  <si>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</si>
  <si>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</si>
  <si>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</si>
  <si>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</si>
  <si>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</si>
  <si>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</si>
  <si>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</si>
  <si>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</si>
  <si>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</si>
  <si>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</si>
  <si>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</si>
  <si>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</si>
  <si>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</si>
  <si>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</si>
  <si>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</si>
  <si>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</si>
  <si>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</si>
  <si>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</si>
  <si>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</si>
  <si>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</si>
  <si>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</si>
  <si>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</si>
  <si>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</si>
  <si>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</si>
  <si>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</si>
  <si>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</si>
  <si>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</si>
  <si>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</si>
  <si>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</si>
  <si>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</si>
  <si>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</si>
  <si>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</si>
  <si>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</si>
  <si>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</si>
  <si>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</si>
  <si>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</si>
  <si>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</si>
  <si>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</si>
  <si>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</si>
  <si>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</si>
  <si>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</si>
  <si>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</si>
  <si>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</si>
  <si>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</si>
  <si>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</si>
  <si>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</si>
  <si>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</si>
  <si>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</si>
  <si>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</si>
  <si>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</si>
  <si>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</si>
  <si>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</si>
  <si>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</si>
  <si>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</si>
  <si>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</si>
  <si>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</si>
  <si>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</si>
  <si>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</si>
  <si>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</si>
  <si>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</si>
  <si>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</si>
  <si>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</si>
  <si>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</si>
  <si>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</si>
  <si>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</si>
  <si>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</si>
  <si>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</si>
  <si>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</si>
  <si>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</si>
  <si>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</si>
  <si>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</si>
  <si>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</si>
  <si>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</si>
  <si>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</si>
  <si>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</si>
  <si>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</si>
  <si>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</si>
  <si>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</si>
  <si>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</si>
  <si>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</si>
  <si>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</si>
  <si>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</si>
  <si>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</si>
  <si>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</si>
  <si>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</si>
  <si>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</si>
  <si>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</si>
  <si>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</si>
  <si>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</si>
  <si>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</si>
  <si>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</si>
  <si>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</si>
  <si>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</si>
  <si>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</si>
  <si>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</si>
  <si>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</si>
  <si>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</si>
  <si>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</si>
  <si>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</si>
  <si>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</si>
  <si>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</si>
  <si>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</si>
  <si>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</si>
  <si>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</si>
  <si>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</si>
  <si>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</si>
  <si>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</si>
  <si>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</si>
  <si>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</si>
  <si>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</si>
  <si>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</si>
  <si>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</si>
  <si>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</si>
  <si>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</si>
  <si>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</si>
  <si>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</si>
  <si>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</si>
  <si>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</si>
  <si>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</si>
  <si>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</si>
  <si>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</si>
  <si>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</si>
  <si>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</si>
  <si>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</si>
  <si>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</si>
  <si>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</si>
  <si>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</si>
  <si>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</si>
  <si>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</si>
  <si>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</si>
  <si>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</si>
  <si>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</si>
  <si>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</si>
  <si>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</si>
  <si>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</si>
  <si>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</si>
  <si>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</si>
  <si>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</si>
  <si>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</si>
  <si>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</si>
  <si>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</si>
  <si>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</si>
  <si>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</si>
  <si>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</si>
  <si>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</si>
  <si>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</si>
  <si>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</si>
  <si>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</si>
  <si>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</si>
  <si>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</si>
  <si>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</si>
  <si>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</si>
  <si>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</si>
  <si>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</si>
  <si>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</si>
  <si>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</si>
  <si>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</si>
  <si>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</si>
  <si>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</si>
  <si>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</si>
  <si>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</si>
  <si>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</si>
  <si>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</si>
  <si>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</si>
  <si>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</si>
  <si>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</si>
  <si>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</si>
  <si>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</si>
  <si>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</si>
  <si>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</si>
  <si>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</si>
  <si>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</si>
  <si>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</si>
  <si>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</si>
  <si>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</si>
  <si>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</si>
  <si>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</si>
  <si>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</si>
  <si>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</si>
  <si>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</si>
  <si>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</si>
  <si>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</si>
  <si>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</si>
  <si>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</si>
  <si>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</si>
  <si>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</si>
  <si>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</si>
  <si>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</si>
  <si>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</si>
  <si>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</si>
  <si>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</si>
  <si>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</si>
  <si>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</si>
  <si>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</si>
  <si>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</si>
  <si>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</si>
  <si>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</si>
  <si>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</si>
  <si>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</si>
  <si>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</si>
  <si>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</si>
  <si>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</si>
  <si>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</si>
  <si>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</si>
  <si>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</si>
  <si>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</si>
  <si>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</si>
  <si>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</si>
  <si>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</si>
  <si>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</si>
  <si>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</si>
  <si>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</si>
  <si>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</si>
  <si>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</si>
  <si>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</si>
  <si>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</si>
  <si>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</si>
  <si>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</si>
  <si>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</si>
  <si>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</si>
  <si>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</si>
  <si>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</si>
  <si>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</si>
  <si>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</si>
  <si>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</si>
  <si>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</si>
  <si>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</si>
  <si>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</si>
  <si>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</si>
  <si>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</si>
  <si>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</si>
  <si>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</si>
  <si>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</si>
  <si>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</si>
  <si>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</si>
  <si>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</si>
  <si>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</si>
  <si>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</si>
  <si>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</si>
  <si>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</si>
  <si>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</si>
  <si>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</si>
  <si>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</si>
  <si>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</si>
  <si>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</si>
  <si>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</si>
  <si>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</si>
  <si>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</si>
  <si>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</si>
  <si>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</si>
  <si>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</si>
  <si>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</si>
  <si>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</si>
  <si>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</si>
  <si>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</si>
  <si>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</si>
  <si>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</si>
  <si>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</si>
  <si>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</si>
  <si>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</si>
  <si>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</si>
  <si>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</si>
  <si>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</si>
  <si>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</si>
  <si>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</si>
  <si>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</si>
  <si>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</si>
  <si>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</si>
  <si>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</si>
  <si>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</si>
  <si>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</si>
  <si>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</si>
  <si>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</si>
  <si>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</si>
  <si>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</si>
  <si>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</si>
  <si>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</si>
  <si>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</si>
  <si>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</si>
  <si>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</si>
  <si>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</si>
  <si>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</si>
  <si>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</si>
  <si>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</si>
  <si>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</si>
  <si>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</si>
  <si>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</si>
  <si>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</si>
  <si>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</si>
  <si>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</si>
  <si>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</si>
  <si>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</si>
  <si>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</si>
  <si>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</si>
  <si>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</si>
  <si>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</si>
  <si>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</si>
  <si>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</si>
  <si>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</si>
  <si>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</si>
  <si>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</si>
  <si>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</si>
  <si>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</si>
  <si>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</si>
  <si>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</si>
  <si>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</si>
  <si>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</si>
  <si>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</si>
  <si>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</si>
  <si>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</si>
  <si>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</si>
  <si>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</si>
  <si>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</si>
  <si>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</si>
  <si>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</si>
  <si>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</si>
  <si>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</si>
  <si>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</si>
  <si>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</si>
  <si>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</si>
  <si>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</si>
  <si>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</si>
  <si>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</si>
  <si>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</si>
  <si>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</si>
  <si>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</si>
  <si>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</si>
  <si>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</si>
  <si>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</si>
  <si>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</si>
  <si>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</si>
  <si>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</si>
  <si>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</si>
  <si>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</si>
  <si>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</si>
  <si>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</si>
  <si>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</si>
  <si>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</si>
  <si>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</si>
  <si>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</si>
  <si>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</si>
  <si>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</si>
  <si>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</si>
  <si>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</si>
  <si>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</si>
  <si>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</si>
  <si>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</si>
  <si>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</si>
  <si>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</si>
  <si>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</si>
  <si>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</si>
  <si>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</si>
  <si>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</si>
  <si>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</si>
  <si>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</si>
  <si>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</si>
  <si>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</si>
  <si>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</si>
  <si>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</si>
  <si>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</si>
  <si>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</si>
  <si>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</si>
  <si>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</si>
  <si>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</si>
  <si>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</si>
  <si>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</si>
  <si>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</si>
  <si>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</si>
  <si>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</si>
  <si>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</si>
  <si>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</si>
  <si>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</si>
  <si>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</si>
  <si>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</si>
  <si>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</si>
  <si>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</si>
  <si>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</si>
  <si>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</si>
  <si>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</si>
  <si>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</si>
  <si>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</si>
  <si>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</si>
  <si>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</si>
  <si>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</si>
  <si>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</si>
  <si>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</si>
  <si>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</si>
  <si>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</si>
  <si>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</si>
  <si>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</si>
  <si>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</si>
  <si>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</si>
  <si>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</si>
  <si>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</si>
  <si>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</si>
  <si>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</si>
  <si>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</si>
  <si>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</si>
  <si>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</si>
  <si>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</si>
  <si>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</si>
  <si>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</si>
  <si>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</si>
  <si>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</si>
  <si>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</si>
  <si>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</si>
  <si>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</si>
  <si>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</si>
  <si>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</si>
  <si>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</si>
  <si>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</si>
  <si>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</si>
  <si>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</si>
  <si>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</si>
  <si>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</si>
  <si>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</si>
  <si>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</si>
  <si>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</si>
  <si>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</si>
  <si>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</si>
  <si>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</si>
  <si>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</si>
  <si>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</si>
  <si>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</si>
  <si>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</si>
  <si>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</si>
  <si>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</si>
  <si>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</si>
  <si>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</si>
  <si>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</si>
  <si>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</si>
  <si>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</si>
  <si>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</si>
  <si>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</si>
  <si>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</si>
  <si>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</si>
  <si>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</si>
  <si>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</si>
  <si>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</si>
  <si>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</si>
  <si>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</si>
  <si>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</si>
  <si>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</si>
  <si>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</si>
  <si>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</si>
  <si>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</si>
  <si>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</si>
  <si>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</si>
  <si>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</si>
  <si>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</si>
  <si>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</si>
  <si>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</si>
  <si>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</si>
  <si>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</si>
  <si>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</si>
  <si>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</si>
  <si>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</si>
  <si>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</si>
  <si>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</si>
  <si>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</si>
  <si>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</si>
  <si>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</si>
  <si>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</si>
  <si>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</si>
  <si>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</si>
  <si>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</si>
  <si>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</si>
  <si>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</si>
  <si>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</si>
  <si>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</si>
  <si>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</si>
  <si>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</si>
  <si>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</si>
  <si>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</si>
  <si>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</si>
  <si>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</si>
  <si>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</si>
  <si>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</si>
  <si>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</si>
  <si>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</si>
  <si>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</si>
  <si>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</si>
  <si>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</si>
  <si>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</si>
  <si>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</si>
  <si>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</si>
  <si>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</si>
  <si>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</si>
  <si>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</si>
  <si>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</si>
  <si>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</si>
  <si>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</si>
  <si>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</si>
  <si>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</si>
  <si>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</si>
  <si>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</si>
  <si>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</si>
  <si>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</si>
  <si>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</si>
  <si>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</si>
  <si>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</si>
  <si>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</si>
  <si>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</si>
  <si>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</si>
  <si>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</si>
  <si>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</si>
  <si>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</si>
  <si>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</si>
  <si>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</si>
  <si>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</si>
  <si>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</si>
  <si>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</si>
  <si>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</si>
  <si>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</si>
  <si>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</si>
  <si>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</si>
  <si>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</si>
  <si>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</si>
  <si>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</si>
  <si>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</si>
  <si>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</si>
  <si>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</si>
  <si>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</si>
  <si>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</si>
  <si>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</si>
  <si>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</si>
  <si>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</si>
  <si>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</si>
  <si>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</si>
  <si>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</si>
  <si>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</si>
  <si>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</si>
  <si>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</si>
  <si>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</si>
  <si>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</si>
  <si>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</si>
  <si>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</si>
  <si>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</si>
  <si>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</si>
  <si>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</si>
  <si>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</si>
  <si>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</si>
  <si>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</si>
  <si>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</si>
  <si>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</si>
  <si>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</si>
  <si>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</si>
  <si>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</si>
  <si>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</si>
  <si>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</si>
  <si>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</si>
  <si>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</si>
  <si>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</si>
  <si>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</si>
  <si>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</si>
  <si>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</si>
  <si>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</si>
  <si>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</si>
  <si>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</si>
  <si>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</si>
  <si>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</si>
  <si>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</si>
  <si>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</si>
  <si>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</si>
  <si>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</si>
  <si>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</si>
  <si>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</si>
  <si>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</si>
  <si>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</si>
  <si>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</si>
  <si>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</si>
  <si>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</si>
  <si>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</si>
  <si>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</si>
  <si>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</si>
  <si>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</si>
  <si>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</si>
  <si>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</si>
  <si>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</si>
  <si>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</si>
  <si>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</si>
  <si>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</si>
  <si>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</si>
  <si>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</si>
  <si>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</si>
  <si>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</si>
  <si>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</si>
  <si>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</si>
  <si>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</si>
  <si>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</si>
  <si>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</si>
  <si>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</si>
  <si>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</si>
  <si>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</si>
  <si>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</si>
  <si>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</si>
  <si>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</si>
  <si>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</si>
  <si>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</si>
  <si>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</si>
  <si>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</si>
  <si>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</si>
  <si>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</si>
  <si>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</si>
  <si>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</si>
  <si>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</si>
  <si>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</si>
  <si>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</si>
  <si>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</si>
  <si>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</si>
  <si>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</si>
  <si>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</si>
  <si>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</si>
  <si>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</si>
  <si>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</si>
  <si>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</si>
  <si>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</si>
  <si>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</si>
  <si>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</si>
  <si>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</si>
  <si>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</si>
  <si>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</si>
  <si>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</si>
  <si>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</si>
  <si>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</si>
  <si>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</si>
  <si>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</si>
  <si>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</si>
  <si>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</si>
  <si>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</si>
  <si>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</si>
  <si>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</si>
  <si>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</si>
  <si>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</si>
  <si>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</si>
  <si>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</si>
  <si>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</si>
  <si>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</si>
  <si>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</si>
  <si>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</si>
  <si>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</si>
  <si>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</si>
  <si>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</si>
  <si>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</si>
  <si>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</si>
  <si>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</si>
  <si>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</si>
  <si>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</si>
  <si>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</si>
  <si>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</si>
  <si>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</si>
  <si>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</si>
  <si>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</si>
  <si>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</si>
  <si>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</si>
  <si>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</si>
  <si>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</si>
  <si>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</si>
  <si>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</si>
  <si>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</si>
  <si>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</si>
  <si>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</si>
  <si>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</si>
  <si>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</si>
  <si>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</si>
  <si>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</si>
  <si>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</si>
  <si>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</si>
  <si>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</si>
  <si>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</si>
  <si>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</si>
  <si>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</si>
  <si>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</si>
  <si>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</si>
  <si>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</si>
  <si>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</si>
  <si>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</si>
  <si>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</si>
  <si>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</si>
  <si>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</si>
  <si>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</si>
  <si>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</si>
  <si>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</si>
  <si>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</si>
  <si>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</si>
  <si>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</si>
  <si>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</si>
  <si>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</si>
  <si>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</si>
  <si>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</si>
  <si>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</si>
  <si>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</si>
  <si>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</si>
  <si>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</si>
  <si>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</si>
  <si>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</si>
  <si>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</si>
  <si>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</si>
  <si>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</si>
  <si>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</si>
  <si>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</si>
  <si>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</si>
  <si>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</si>
  <si>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</si>
  <si>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</si>
  <si>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</si>
  <si>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</si>
  <si>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</si>
  <si>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</si>
  <si>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</si>
  <si>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</si>
  <si>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</si>
  <si>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</si>
  <si>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</si>
  <si>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</si>
  <si>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</si>
  <si>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</si>
  <si>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</si>
  <si>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</si>
  <si>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</si>
  <si>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</si>
  <si>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</si>
  <si>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</si>
  <si>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</si>
  <si>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</si>
  <si>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</si>
  <si>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</si>
  <si>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</si>
  <si>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</si>
  <si>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</si>
  <si>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</si>
  <si>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</si>
  <si>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</si>
  <si>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</si>
  <si>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</si>
  <si>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</si>
  <si>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</si>
  <si>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</si>
  <si>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</si>
  <si>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</si>
  <si>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</si>
  <si>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</si>
  <si>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</si>
  <si>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</si>
  <si>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</si>
  <si>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</si>
  <si>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</si>
  <si>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</si>
  <si>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</si>
  <si>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</si>
  <si>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</si>
  <si>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</si>
  <si>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</si>
  <si>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</si>
  <si>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</si>
  <si>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</si>
  <si>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</si>
  <si>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</si>
  <si>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</si>
  <si>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</si>
  <si>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</si>
  <si>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</si>
  <si>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</si>
  <si>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</si>
  <si>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</si>
  <si>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</si>
  <si>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</si>
  <si>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</si>
  <si>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</si>
  <si>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</si>
  <si>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</si>
  <si>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</si>
  <si>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</si>
  <si>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</si>
  <si>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</si>
  <si>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</si>
  <si>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</si>
  <si>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</si>
  <si>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</si>
  <si>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</si>
  <si>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</si>
  <si>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</si>
  <si>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</si>
  <si>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</si>
  <si>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</si>
  <si>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</si>
  <si>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</si>
  <si>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</si>
  <si>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</si>
  <si>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</si>
  <si>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</si>
  <si>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</si>
  <si>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</si>
  <si>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</si>
  <si>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</si>
  <si>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</si>
  <si>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</si>
  <si>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</si>
  <si>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</si>
  <si>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</si>
  <si>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</si>
  <si>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</si>
  <si>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</si>
  <si>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</si>
  <si>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</si>
  <si>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</si>
  <si>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</si>
  <si>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</si>
  <si>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</si>
  <si>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</si>
  <si>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</si>
  <si>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</si>
  <si>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</si>
  <si>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</si>
  <si>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</si>
  <si>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</si>
  <si>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</si>
  <si>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</si>
  <si>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</si>
  <si>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</si>
  <si>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</si>
  <si>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</si>
  <si>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</si>
  <si>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</si>
  <si>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</si>
  <si>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</si>
  <si>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</si>
  <si>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</si>
  <si>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</si>
  <si>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</si>
  <si>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</si>
  <si>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</si>
  <si>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</si>
  <si>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</si>
  <si>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</si>
  <si>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</si>
  <si>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</si>
  <si>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</si>
  <si>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</si>
  <si>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</si>
  <si>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</si>
  <si>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</si>
  <si>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</si>
  <si>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</si>
  <si>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</si>
  <si>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</si>
  <si>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</si>
  <si>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</si>
  <si>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</si>
  <si>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</si>
  <si>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</si>
  <si>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</si>
  <si>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</si>
  <si>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</si>
  <si>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</si>
  <si>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</si>
  <si>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</si>
  <si>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</si>
  <si>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</si>
  <si>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</si>
  <si>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</si>
  <si>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</si>
  <si>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</si>
  <si>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</si>
  <si>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</si>
  <si>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</si>
  <si>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</si>
  <si>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</si>
  <si>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</si>
  <si>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</si>
  <si>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</si>
  <si>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</si>
  <si>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</si>
  <si>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</si>
  <si>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</si>
  <si>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</si>
  <si>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</si>
  <si>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</si>
  <si>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</si>
  <si>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</si>
  <si>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</si>
  <si>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</si>
  <si>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</si>
  <si>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</si>
  <si>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</si>
  <si>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</si>
  <si>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</si>
  <si>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</si>
  <si>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</si>
  <si>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</si>
  <si>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</si>
  <si>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</si>
  <si>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</si>
  <si>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</si>
  <si>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</si>
  <si>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</si>
  <si>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</si>
  <si>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</si>
  <si>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</si>
  <si>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</si>
  <si>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</si>
  <si>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</si>
  <si>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</si>
  <si>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</si>
  <si>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</si>
  <si>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</si>
  <si>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</si>
  <si>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</si>
  <si>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</si>
  <si>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</si>
  <si>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</si>
  <si>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</si>
  <si>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</si>
  <si>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</si>
  <si>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</si>
  <si>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</si>
  <si>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</si>
  <si>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</si>
  <si>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</si>
  <si>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</si>
  <si>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</si>
  <si>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</si>
  <si>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</si>
  <si>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</si>
  <si>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</si>
  <si>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</si>
  <si>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</si>
  <si>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</si>
  <si>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</si>
  <si>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</si>
  <si>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</si>
  <si>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</si>
  <si>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</si>
  <si>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</si>
  <si>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</si>
  <si>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</si>
  <si>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</si>
  <si>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</si>
  <si>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</si>
  <si>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</si>
  <si>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</si>
  <si>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</si>
  <si>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</si>
  <si>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</si>
  <si>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</si>
  <si>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</si>
  <si>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</si>
  <si>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</si>
  <si>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</si>
  <si>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</si>
  <si>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</si>
  <si>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</si>
  <si>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</si>
  <si>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</si>
  <si>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</si>
  <si>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</si>
  <si>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</si>
  <si>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</si>
  <si>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</si>
  <si>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</si>
  <si>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</si>
  <si>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</si>
  <si>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</si>
  <si>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</si>
  <si>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</si>
  <si>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</si>
  <si>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</si>
  <si>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</si>
  <si>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</si>
  <si>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</si>
  <si>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</si>
  <si>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</si>
  <si>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</si>
  <si>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</si>
  <si>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</si>
  <si>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</si>
  <si>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</si>
  <si>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</si>
  <si>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</si>
  <si>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</si>
  <si>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</si>
  <si>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</si>
  <si>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</si>
  <si>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</si>
  <si>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</si>
  <si>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</si>
  <si>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</si>
  <si>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</si>
  <si>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</si>
  <si>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</si>
  <si>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</si>
  <si>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</si>
  <si>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</si>
  <si>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</si>
  <si>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</si>
  <si>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</si>
  <si>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</si>
  <si>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</si>
  <si>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</si>
  <si>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</si>
  <si>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</si>
  <si>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</si>
  <si>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</si>
  <si>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</si>
  <si>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</si>
  <si>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</si>
  <si>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</si>
  <si>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</si>
  <si>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</si>
  <si>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</si>
  <si>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</si>
  <si>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</si>
  <si>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</si>
  <si>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</si>
  <si>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</si>
  <si>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</si>
  <si>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</si>
  <si>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</si>
  <si>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</si>
  <si>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</si>
  <si>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</si>
  <si>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</si>
  <si>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</si>
  <si>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</si>
  <si>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</si>
  <si>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</si>
  <si>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</si>
  <si>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</si>
  <si>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</si>
  <si>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</si>
  <si>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</si>
  <si>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</si>
  <si>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</si>
  <si>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</si>
  <si>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</si>
  <si>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</si>
  <si>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</si>
  <si>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</si>
  <si>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</si>
  <si>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</si>
  <si>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</si>
  <si>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</si>
  <si>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</si>
  <si>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</si>
  <si>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</si>
  <si>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</si>
  <si>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</si>
  <si>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</si>
  <si>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</si>
  <si>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</si>
  <si>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</si>
  <si>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</si>
  <si>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</si>
  <si>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</si>
  <si>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</si>
  <si>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</si>
  <si>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</si>
  <si>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</si>
  <si>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</si>
  <si>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</si>
  <si>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</si>
  <si>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</si>
  <si>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</si>
  <si>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</si>
  <si>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</si>
  <si>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</si>
  <si>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</si>
  <si>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</si>
  <si>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</si>
  <si>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</si>
  <si>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</si>
  <si>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</si>
  <si>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</si>
  <si>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</si>
  <si>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</si>
  <si>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</si>
  <si>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</si>
  <si>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</si>
  <si>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</si>
  <si>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</si>
  <si>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</si>
  <si>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</si>
  <si>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</si>
  <si>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</si>
  <si>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</si>
  <si>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</si>
  <si>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</si>
  <si>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</si>
  <si>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</si>
  <si>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</si>
  <si>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</si>
  <si>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</si>
  <si>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</si>
  <si>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</si>
  <si>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</si>
  <si>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</si>
  <si>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</si>
  <si>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</si>
  <si>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</si>
  <si>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</si>
  <si>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</si>
  <si>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</si>
  <si>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</si>
  <si>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</si>
  <si>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</si>
  <si>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</si>
  <si>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</si>
  <si>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</si>
  <si>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</si>
  <si>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</si>
  <si>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</si>
  <si>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</si>
  <si>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</si>
  <si>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</si>
  <si>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</si>
  <si>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</si>
  <si>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</si>
  <si>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</si>
  <si>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</si>
  <si>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</si>
  <si>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</si>
  <si>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</si>
  <si>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</si>
  <si>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</si>
  <si>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</si>
  <si>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</si>
  <si>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</si>
  <si>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</si>
  <si>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</si>
  <si>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</si>
  <si>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</si>
  <si>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</si>
  <si>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</si>
  <si>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</si>
  <si>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</si>
  <si>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</si>
  <si>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</si>
  <si>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</si>
  <si>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</si>
  <si>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</si>
  <si>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</si>
  <si>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</si>
  <si>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</si>
  <si>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</si>
  <si>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</si>
  <si>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</si>
  <si>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</si>
  <si>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</si>
  <si>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</si>
  <si>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</si>
  <si>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</si>
  <si>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</si>
  <si>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</si>
  <si>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</si>
  <si>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</si>
  <si>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</si>
  <si>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</si>
  <si>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</si>
  <si>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</si>
  <si>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</si>
  <si>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</si>
  <si>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</si>
  <si>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</si>
  <si>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</si>
  <si>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</si>
  <si>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</si>
  <si>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</si>
  <si>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</si>
  <si>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</si>
  <si>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</si>
  <si>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</si>
  <si>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</si>
  <si>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</si>
  <si>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</si>
  <si>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</si>
  <si>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</si>
  <si>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</si>
  <si>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</si>
  <si>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</si>
  <si>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</si>
  <si>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</si>
  <si>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</si>
  <si>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</si>
  <si>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</si>
  <si>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</si>
  <si>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</si>
  <si>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</si>
  <si>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</si>
  <si>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</si>
  <si>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</si>
  <si>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</si>
  <si>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</si>
  <si>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</si>
  <si>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</si>
  <si>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</si>
  <si>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</si>
  <si>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</si>
  <si>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</si>
  <si>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</si>
  <si>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</si>
  <si>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</si>
  <si>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</si>
  <si>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</si>
  <si>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</si>
  <si>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</si>
  <si>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</si>
  <si>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</si>
  <si>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</si>
  <si>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</si>
  <si>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</si>
  <si>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</si>
  <si>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</si>
  <si>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</si>
  <si>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</si>
  <si>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</si>
  <si>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</si>
  <si>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</si>
  <si>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</si>
  <si>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</si>
  <si>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</si>
  <si>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</si>
  <si>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</si>
  <si>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</si>
  <si>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</si>
  <si>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</si>
  <si>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</si>
  <si>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</si>
  <si>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</si>
  <si>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</si>
  <si>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</si>
  <si>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</si>
  <si>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</si>
  <si>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</si>
  <si>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</si>
  <si>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</si>
  <si>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</si>
  <si>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</si>
  <si>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</si>
  <si>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</si>
  <si>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</si>
  <si>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</si>
  <si>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</si>
  <si>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</si>
  <si>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</si>
  <si>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</si>
  <si>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</si>
  <si>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</si>
  <si>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</si>
  <si>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</si>
  <si>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</si>
  <si>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</si>
  <si>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</si>
  <si>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</si>
  <si>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</si>
  <si>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</si>
  <si>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</si>
  <si>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</si>
  <si>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</si>
  <si>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</si>
  <si>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</si>
  <si>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</si>
  <si>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</si>
  <si>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</si>
  <si>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</si>
  <si>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</si>
  <si>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</si>
  <si>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</si>
  <si>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</si>
  <si>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</si>
  <si>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</si>
  <si>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</si>
  <si>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</si>
  <si>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</si>
  <si>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</si>
  <si>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</si>
  <si>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</si>
  <si>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</si>
  <si>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</si>
  <si>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</si>
  <si>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</si>
  <si>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</si>
  <si>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</si>
  <si>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</si>
  <si>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</si>
  <si>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</si>
  <si>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</si>
  <si>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</si>
  <si>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</si>
  <si>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</si>
  <si>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</si>
  <si>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</si>
  <si>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</si>
  <si>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</si>
  <si>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</si>
  <si>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</si>
  <si>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</si>
  <si>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</si>
  <si>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</si>
  <si>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</si>
  <si>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</si>
  <si>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</si>
  <si>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</si>
  <si>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</si>
  <si>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</si>
  <si>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</si>
  <si>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</si>
  <si>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</si>
  <si>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</si>
  <si>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</si>
  <si>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</si>
  <si>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</si>
  <si>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</si>
  <si>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</si>
  <si>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</si>
  <si>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</si>
  <si>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</si>
  <si>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</si>
  <si>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</si>
  <si>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</si>
  <si>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</si>
  <si>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</si>
  <si>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</si>
  <si>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</si>
  <si>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</si>
  <si>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</si>
  <si>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</si>
  <si>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</si>
  <si>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</si>
  <si>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</si>
  <si>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</si>
  <si>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</si>
  <si>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</si>
  <si>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</si>
  <si>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</si>
  <si>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</si>
  <si>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</si>
  <si>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</si>
  <si>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</si>
  <si>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</si>
  <si>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</si>
  <si>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</si>
  <si>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</si>
  <si>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</si>
  <si>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</si>
  <si>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</si>
  <si>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</si>
  <si>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</si>
  <si>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</si>
  <si>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</si>
  <si>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</si>
  <si>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</si>
  <si>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</si>
  <si>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</si>
  <si>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</si>
  <si>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</si>
  <si>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</si>
  <si>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</si>
  <si>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</si>
  <si>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</si>
  <si>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</si>
  <si>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</si>
  <si>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</si>
  <si>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</si>
  <si>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</si>
  <si>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</si>
  <si>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</si>
  <si>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</si>
  <si>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</si>
  <si>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</si>
  <si>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</si>
  <si>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</si>
  <si>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</si>
  <si>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</si>
  <si>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</si>
  <si>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</si>
  <si>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</si>
  <si>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</si>
  <si>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</si>
  <si>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</si>
  <si>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</si>
  <si>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</si>
  <si>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</si>
  <si>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</si>
  <si>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</si>
  <si>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</si>
  <si>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</si>
  <si>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</si>
  <si>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</si>
  <si>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</si>
  <si>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</si>
  <si>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</si>
  <si>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</si>
  <si>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</si>
  <si>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</si>
  <si>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</si>
  <si>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</si>
  <si>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</si>
  <si>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</si>
  <si>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</si>
  <si>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</si>
  <si>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</si>
  <si>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</si>
  <si>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</si>
  <si>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</si>
  <si>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</si>
  <si>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</si>
  <si>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</si>
  <si>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</si>
  <si>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</si>
  <si>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</si>
  <si>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</si>
  <si>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</si>
  <si>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</si>
  <si>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</si>
  <si>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</si>
  <si>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</si>
  <si>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</si>
  <si>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</si>
  <si>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</si>
  <si>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</si>
  <si>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</si>
  <si>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</si>
  <si>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</si>
  <si>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</si>
  <si>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</si>
  <si>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</si>
  <si>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</si>
  <si>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</si>
  <si>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</si>
  <si>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</si>
  <si>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</si>
  <si>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</si>
  <si>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</si>
  <si>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</si>
  <si>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</si>
  <si>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</si>
  <si>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</si>
  <si>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</si>
  <si>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</si>
  <si>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</si>
  <si>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</si>
  <si>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</si>
  <si>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</si>
  <si>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</si>
  <si>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</si>
  <si>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</si>
  <si>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</si>
  <si>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</si>
  <si>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</si>
  <si>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</si>
  <si>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</si>
  <si>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</si>
  <si>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</si>
  <si>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</si>
  <si>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</si>
  <si>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</si>
  <si>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</si>
  <si>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</si>
  <si>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</si>
  <si>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</si>
  <si>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</si>
  <si>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</si>
  <si>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</si>
  <si>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</si>
  <si>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</si>
  <si>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</si>
  <si>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</si>
  <si>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</si>
  <si>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</si>
  <si>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</si>
  <si>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</si>
  <si>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</si>
  <si>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</si>
  <si>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</si>
  <si>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</si>
  <si>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</si>
  <si>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</si>
  <si>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</si>
  <si>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</si>
  <si>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</si>
  <si>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</si>
  <si>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</si>
  <si>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</si>
  <si>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</si>
  <si>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</si>
  <si>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</si>
  <si>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</si>
  <si>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</si>
  <si>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</si>
  <si>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</si>
  <si>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</si>
  <si>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</si>
  <si>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</si>
  <si>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</si>
  <si>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</si>
  <si>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</si>
  <si>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</si>
  <si>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</si>
  <si>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</si>
  <si>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</si>
  <si>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</si>
  <si>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</si>
  <si>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</si>
  <si>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</si>
  <si>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</si>
  <si>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</si>
  <si>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</si>
  <si>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</si>
  <si>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</si>
  <si>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</si>
  <si>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</si>
  <si>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</si>
  <si>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</si>
  <si>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</si>
  <si>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</si>
  <si>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</si>
  <si>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</si>
  <si>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</si>
  <si>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</si>
  <si>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</si>
  <si>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</si>
  <si>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</si>
  <si>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</si>
  <si>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</si>
  <si>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</si>
  <si>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</si>
  <si>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</si>
  <si>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</si>
  <si>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</si>
  <si>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</si>
  <si>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</si>
  <si>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</si>
  <si>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</si>
  <si>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</si>
  <si>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</si>
  <si>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</si>
  <si>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</si>
  <si>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</si>
  <si>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</si>
  <si>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</si>
  <si>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</si>
  <si>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</si>
  <si>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</si>
  <si>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</si>
  <si>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</si>
  <si>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</si>
  <si>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</si>
  <si>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</si>
  <si>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</si>
  <si>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</si>
  <si>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</si>
  <si>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</si>
  <si>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</si>
  <si>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</si>
  <si>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</si>
  <si>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</si>
  <si>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</si>
  <si>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</si>
  <si>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</si>
  <si>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</si>
  <si>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</si>
  <si>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</si>
  <si>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</si>
  <si>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</si>
  <si>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</si>
  <si>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</si>
  <si>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</si>
  <si>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</si>
  <si>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</si>
  <si>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</si>
  <si>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</si>
  <si>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</si>
  <si>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</si>
  <si>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</si>
  <si>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</si>
  <si>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</si>
  <si>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</si>
  <si>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</si>
  <si>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</si>
  <si>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</si>
  <si>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</si>
  <si>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</si>
  <si>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</si>
  <si>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</si>
  <si>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</si>
  <si>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</si>
  <si>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</si>
  <si>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</si>
  <si>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</si>
  <si>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</si>
  <si>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</si>
  <si>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</si>
  <si>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</si>
  <si>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</si>
  <si>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</si>
  <si>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</si>
  <si>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</si>
  <si>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</si>
  <si>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</si>
  <si>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</si>
  <si>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</si>
  <si>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</si>
  <si>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</si>
  <si>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</si>
  <si>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</si>
  <si>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</si>
  <si>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</si>
  <si>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</si>
  <si>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</si>
  <si>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</si>
  <si>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</si>
  <si>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</si>
  <si>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</si>
  <si>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</si>
  <si>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</si>
  <si>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</si>
  <si>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</si>
  <si>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</si>
  <si>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</si>
  <si>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</si>
  <si>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</si>
  <si>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</si>
  <si>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</si>
  <si>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</si>
  <si>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</si>
  <si>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</si>
  <si>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</si>
  <si>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</si>
  <si>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</si>
  <si>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</si>
  <si>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</si>
  <si>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</si>
  <si>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</si>
  <si>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</si>
  <si>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</si>
  <si>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</si>
  <si>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</si>
  <si>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</si>
  <si>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</si>
  <si>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</si>
  <si>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</si>
  <si>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</si>
  <si>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</si>
  <si>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</si>
  <si>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</si>
  <si>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</si>
  <si>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</si>
  <si>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</si>
  <si>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</si>
  <si>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</si>
  <si>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</si>
  <si>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</si>
  <si>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</si>
  <si>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</si>
  <si>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</si>
  <si>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</si>
  <si>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</si>
  <si>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</si>
  <si>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</si>
  <si>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</si>
  <si>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</si>
  <si>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</si>
  <si>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</si>
  <si>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</si>
  <si>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</si>
  <si>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</si>
  <si>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</si>
  <si>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</si>
  <si>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</si>
  <si>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</si>
  <si>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</si>
  <si>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</si>
  <si>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</si>
  <si>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</si>
  <si>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</si>
  <si>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</si>
  <si>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</si>
  <si>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</si>
  <si>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</si>
  <si>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</si>
  <si>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</si>
  <si>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</si>
  <si>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</si>
  <si>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</si>
  <si>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</si>
  <si>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</si>
  <si>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</si>
  <si>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</si>
  <si>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</si>
  <si>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</si>
  <si>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</si>
  <si>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</si>
  <si>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</si>
  <si>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</si>
  <si>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</si>
  <si>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</si>
  <si>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</si>
  <si>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</si>
  <si>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</si>
  <si>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</si>
  <si>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</si>
  <si>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</si>
  <si>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</si>
  <si>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</si>
  <si>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</si>
  <si>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</si>
  <si>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</si>
  <si>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</si>
  <si>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</si>
  <si>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</si>
  <si>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</si>
  <si>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</si>
  <si>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</si>
  <si>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</si>
  <si>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</si>
  <si>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</si>
  <si>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</si>
  <si>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</si>
  <si>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</si>
  <si>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</si>
  <si>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</si>
  <si>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</si>
  <si>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</si>
  <si>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</si>
  <si>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</si>
  <si>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</si>
  <si>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</si>
  <si>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</si>
  <si>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</si>
  <si>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</si>
  <si>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</si>
  <si>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</si>
  <si>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</si>
  <si>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</si>
  <si>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</si>
  <si>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</si>
  <si>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</si>
  <si>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</si>
  <si>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</si>
  <si>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</si>
  <si>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</si>
  <si>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</si>
  <si>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</si>
  <si>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</si>
  <si>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</si>
  <si>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</si>
  <si>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</si>
  <si>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</si>
  <si>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</si>
  <si>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</si>
  <si>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</si>
  <si>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</si>
  <si>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</si>
  <si>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</si>
  <si>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</si>
  <si>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</si>
  <si>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</si>
  <si>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</si>
  <si>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</si>
  <si>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</si>
  <si>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</si>
  <si>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</si>
  <si>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</si>
  <si>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</si>
  <si>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</si>
  <si>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</si>
  <si>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</si>
  <si>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</si>
  <si>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</si>
  <si>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</si>
  <si>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</si>
  <si>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</si>
  <si>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</si>
  <si>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</si>
  <si>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</si>
  <si>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</si>
  <si>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</si>
  <si>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</si>
  <si>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</si>
  <si>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</si>
  <si>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</si>
  <si>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</si>
  <si>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</si>
  <si>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</si>
  <si>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</si>
  <si>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</si>
  <si>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</si>
  <si>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</si>
  <si>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</si>
  <si>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</si>
  <si>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</si>
  <si>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</si>
  <si>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</si>
  <si>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</si>
  <si>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</si>
  <si>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</si>
  <si>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</si>
  <si>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</si>
  <si>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</si>
  <si>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</si>
  <si>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</si>
  <si>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</si>
  <si>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</si>
  <si>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</si>
  <si>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</si>
  <si>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</si>
  <si>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</si>
  <si>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</si>
  <si>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</si>
  <si>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</si>
  <si>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</si>
  <si>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</si>
  <si>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</si>
  <si>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</si>
  <si>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</si>
  <si>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</si>
  <si>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</si>
  <si>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</si>
  <si>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</si>
  <si>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</si>
  <si>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</si>
  <si>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</si>
  <si>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</si>
  <si>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</si>
  <si>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</si>
  <si>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</si>
  <si>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</si>
  <si>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</si>
  <si>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</si>
  <si>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</si>
  <si>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</si>
  <si>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</si>
  <si>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</si>
  <si>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</si>
  <si>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</si>
  <si>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</si>
  <si>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</si>
  <si>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</si>
  <si>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</si>
  <si>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</si>
  <si>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</si>
  <si>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</si>
  <si>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</si>
  <si>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</si>
  <si>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</si>
  <si>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</si>
  <si>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</si>
  <si>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</si>
  <si>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其他：</t>
  </si>
  <si>
    <t>出让</t>
  </si>
  <si>
    <t>河北省廊坊市</t>
    <phoneticPr fontId="6" type="noConversion"/>
  </si>
  <si>
    <t>香河县</t>
  </si>
  <si>
    <t>香河县</t>
    <phoneticPr fontId="6" type="noConversion"/>
  </si>
  <si>
    <t>居住项目</t>
  </si>
  <si>
    <t>无</t>
  </si>
  <si>
    <t>在建</t>
  </si>
  <si>
    <t>通路</t>
  </si>
  <si>
    <t>通电</t>
  </si>
  <si>
    <t>通讯</t>
  </si>
  <si>
    <t>通上水</t>
  </si>
  <si>
    <t>通下水</t>
  </si>
  <si>
    <t>通热</t>
  </si>
  <si>
    <t>燃气</t>
  </si>
  <si>
    <t>崔锴</t>
  </si>
  <si>
    <t>郑燚</t>
  </si>
  <si>
    <t>地上</t>
  </si>
  <si>
    <t>高层住宅用房</t>
  </si>
  <si>
    <t>高层住宅用房</t>
    <phoneticPr fontId="16" type="noConversion"/>
  </si>
  <si>
    <t>住宅</t>
  </si>
  <si>
    <t>是</t>
  </si>
  <si>
    <t>主干道</t>
  </si>
  <si>
    <t>主干道</t>
    <phoneticPr fontId="31" type="noConversion"/>
  </si>
  <si>
    <t>——</t>
    <phoneticPr fontId="31" type="noConversion"/>
  </si>
  <si>
    <t>较规则</t>
  </si>
  <si>
    <t>较规则</t>
    <phoneticPr fontId="31" type="noConversion"/>
  </si>
  <si>
    <t>较好</t>
  </si>
  <si>
    <t>较好</t>
    <phoneticPr fontId="31" type="noConversion"/>
  </si>
  <si>
    <t>七通</t>
  </si>
  <si>
    <t>七通</t>
    <phoneticPr fontId="31" type="noConversion"/>
  </si>
  <si>
    <t>住宅</t>
    <phoneticPr fontId="3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</si>
  <si>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</si>
  <si>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</si>
  <si>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</si>
  <si>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</si>
  <si>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单面临街</t>
  </si>
  <si>
    <t>较一致</t>
  </si>
  <si>
    <t>较一致</t>
    <phoneticPr fontId="25" type="noConversion"/>
  </si>
  <si>
    <t>70</t>
    <phoneticPr fontId="31" type="noConversion"/>
  </si>
  <si>
    <t>办公集聚程度</t>
  </si>
  <si>
    <t>部分缴纳</t>
  </si>
  <si>
    <t>项目全部</t>
  </si>
  <si>
    <t>成本法</t>
  </si>
  <si>
    <t>假设开发法</t>
  </si>
  <si>
    <t>地块名称</t>
  </si>
  <si>
    <t>城市</t>
  </si>
  <si>
    <t>用地性质</t>
  </si>
  <si>
    <t>区县</t>
  </si>
  <si>
    <t>建设用地面积(㎡)</t>
  </si>
  <si>
    <t>容积率</t>
  </si>
  <si>
    <t>成交日期</t>
  </si>
  <si>
    <t>成交每亩价(万元/亩)</t>
  </si>
  <si>
    <t>成交楼面价(元/㎡)</t>
  </si>
  <si>
    <t>廊坊市</t>
  </si>
  <si>
    <t>住宅用地</t>
  </si>
  <si>
    <t>＞1.3且≤2</t>
  </si>
  <si>
    <t>2018-04-26</t>
  </si>
  <si>
    <t>规划富北道南侧,规划辛屯西路西侧</t>
  </si>
  <si>
    <t>规划辛屯西路东侧,规划富北道南侧</t>
  </si>
  <si>
    <t>＞1.3且≤1.8</t>
  </si>
  <si>
    <t>规划辛屯西路西侧,规划富北道南侧</t>
  </si>
  <si>
    <t>规划辛屯西路东侧,蒋南路北侧</t>
  </si>
  <si>
    <t>＞1.6且≤2.5</t>
  </si>
  <si>
    <t>规划百户南道南侧,规划辛屯西路西侧</t>
  </si>
  <si>
    <t>＞1.3且≤2.5</t>
  </si>
  <si>
    <t>2017-09-02</t>
  </si>
  <si>
    <t>大香线西侧、纬二路南侧</t>
  </si>
  <si>
    <t>＞1.3,≤2.5</t>
  </si>
  <si>
    <t>2017-01-03</t>
  </si>
  <si>
    <t>规划二路东侧、富北路北侧</t>
  </si>
  <si>
    <t>绣水街南侧、规划E5路西侧</t>
  </si>
  <si>
    <t>＞1.3,≤2</t>
  </si>
  <si>
    <t>规划永清路东侧、规划N3路南侧</t>
  </si>
  <si>
    <t>绣水街北侧、五一路西侧</t>
  </si>
  <si>
    <t>2016-12-23</t>
  </si>
  <si>
    <t>永泰路东侧</t>
  </si>
  <si>
    <t>＞1.6且≤2.8</t>
  </si>
  <si>
    <t>新华大街北侧、康平路东侧</t>
  </si>
  <si>
    <t>新开大街南侧、五一渠东侧</t>
  </si>
  <si>
    <t>＞1.3且≤2.86</t>
  </si>
  <si>
    <t>永泰路东侧、宏润家园南侧</t>
  </si>
  <si>
    <t>府前街南侧、永泰路西侧</t>
  </si>
  <si>
    <t>＞1.6且≤3</t>
  </si>
  <si>
    <t>府前街北侧、交通局北侧、联通西侧</t>
  </si>
  <si>
    <t>＞1.3且≤2.8</t>
  </si>
  <si>
    <t>中兴后街北侧、建安路西侧</t>
  </si>
  <si>
    <t>2016-07-08</t>
  </si>
  <si>
    <t>规划蒋北路北侧、大香线东侧</t>
  </si>
  <si>
    <t>五一路东侧、规划N3路北侧</t>
  </si>
  <si>
    <t>规划N3路南侧、永清路西侧</t>
  </si>
  <si>
    <t>＞1.3,≤3.1</t>
  </si>
  <si>
    <t>大香线东侧、蒋北路北侧</t>
  </si>
  <si>
    <t>北环路南侧、安抚路东侧</t>
  </si>
  <si>
    <t>大于1.3并且小于或等于2.5</t>
  </si>
  <si>
    <t>2016-03-12</t>
  </si>
  <si>
    <t>绣水街北侧、永明路东侧</t>
  </si>
  <si>
    <t>大于1.3并且小于或等于4.55</t>
  </si>
  <si>
    <t>淑阳大街北侧、规划E5路东侧</t>
  </si>
  <si>
    <t>大于1.3并且小于或等于3</t>
  </si>
  <si>
    <t>汇文路西侧、规划S2路北侧</t>
  </si>
  <si>
    <t>大于1.3并且小于或等于2.86</t>
  </si>
  <si>
    <t>规划二路东侧、蒋北路南侧</t>
  </si>
  <si>
    <t>平安大街南侧、安阳路东侧、延福路西侧</t>
  </si>
  <si>
    <t>新华大街南侧、规划E5路东侧</t>
  </si>
  <si>
    <t>新华大街北侧、永清路西侧</t>
  </si>
  <si>
    <t>大于1.3并且小于或等于2</t>
  </si>
  <si>
    <t>新开大街北侧、兴济路西侧</t>
  </si>
  <si>
    <t>大于1.3并且小于或等于4.34</t>
  </si>
  <si>
    <t>规划S2路北侧、规划E4路东侧</t>
  </si>
  <si>
    <t>2016-01-29</t>
  </si>
  <si>
    <t>规划纬一路北侧</t>
  </si>
  <si>
    <t>大香县西侧,规划蒋南路北侧</t>
    <phoneticPr fontId="143" type="noConversion"/>
  </si>
  <si>
    <t>新华大街北侧、永明路西侧</t>
    <phoneticPr fontId="143" type="noConversion"/>
  </si>
  <si>
    <t>大香线西侧、规划纬二路南侧</t>
    <phoneticPr fontId="143" type="noConversion"/>
  </si>
  <si>
    <t>规划辛屯西路东侧,梁家务干渠北侧</t>
    <phoneticPr fontId="143" type="noConversion"/>
  </si>
  <si>
    <t>规划富北道南侧,规划百户西路东侧</t>
    <phoneticPr fontId="143" type="noConversion"/>
  </si>
  <si>
    <t>A</t>
    <phoneticPr fontId="143" type="noConversion"/>
  </si>
  <si>
    <t>B</t>
    <phoneticPr fontId="143" type="noConversion"/>
  </si>
  <si>
    <t>C</t>
    <phoneticPr fontId="143" type="noConversion"/>
  </si>
  <si>
    <r>
      <rPr>
        <b/>
        <sz val="11"/>
        <rFont val="宋体"/>
        <family val="3"/>
        <charset val="134"/>
      </rPr>
      <t>估价对象住宅</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</si>
  <si>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已包含在土地取得成本中</t>
  </si>
  <si>
    <t>已部分缴纳</t>
  </si>
  <si>
    <t>否</t>
  </si>
  <si>
    <t>估价对象位于五一路西侧，周边商业氛围成熟度一般，周边有云天尚品广场等项目，人流量一般，商业繁华度一般</t>
    <phoneticPr fontId="25" type="noConversion"/>
  </si>
  <si>
    <t>估价对象周边居住用地比例较好、居住小区规模和社区发展完善程度较好，周边有师范小区、公元壹号等住宅项目，综合评价居住社区成熟度较好</t>
  </si>
  <si>
    <t>估价对象周边居住用地比例较好、居住小区规模和社区发展完善程度较好，周边有师范小区、公元壹号等住宅项目，综合评价居住社区成熟度较好</t>
    <phoneticPr fontId="41" type="noConversion"/>
  </si>
  <si>
    <t>估价对象周边道路状况较好、公共交通通达情况较好、停车便捷程度较好，周边有香河203、/20路等公交线路，综合评价交通便捷度较好</t>
  </si>
  <si>
    <t>估价对象周边道路状况较好、公共交通通达情况较好、停车便捷程度较好，周边有香河203、/20路等公交线路，综合评价交通便捷度较好</t>
    <phoneticPr fontId="41" type="noConversion"/>
  </si>
  <si>
    <t>区域自然环境较好，人文环境较好，周边有廊坊广播电视大学(香河县分校)、五一公园等；综合评价环境状况较好</t>
  </si>
  <si>
    <t>区域自然环境较好，人文环境较好，周边有廊坊广播电视大学(香河县分校)、五一公园等；综合评价环境状况较好</t>
    <phoneticPr fontId="41" type="noConversion"/>
  </si>
  <si>
    <t>主干道-五一路</t>
    <phoneticPr fontId="25" type="noConversion"/>
  </si>
  <si>
    <t xml:space="preserve"> </t>
    <phoneticPr fontId="25" type="noConversion"/>
  </si>
  <si>
    <t>五一路</t>
    <phoneticPr fontId="31" type="noConversion"/>
  </si>
  <si>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31" type="noConversion"/>
  </si>
  <si>
    <r>
      <rPr>
        <sz val="11"/>
        <rFont val="宋体"/>
        <family val="3"/>
        <charset val="134"/>
      </rPr>
      <t>区域自然环境较好，人文环境较好，</t>
    </r>
    <r>
      <rPr>
        <sz val="11"/>
        <rFont val="宋体"/>
        <family val="3"/>
        <charset val="134"/>
      </rPr>
      <t>综合评价环境状况较好</t>
    </r>
    <phoneticPr fontId="31" type="noConversion"/>
  </si>
  <si>
    <t>次干道</t>
  </si>
  <si>
    <t>次干道</t>
    <phoneticPr fontId="31" type="noConversion"/>
  </si>
  <si>
    <t>蒋南路</t>
    <phoneticPr fontId="31" type="noConversion"/>
  </si>
  <si>
    <t>富北道</t>
    <phoneticPr fontId="31" type="noConversion"/>
  </si>
  <si>
    <t>民康街南侧,永安路东侧</t>
    <phoneticPr fontId="143" type="noConversion"/>
  </si>
  <si>
    <t>规划蒋南路北侧,规划辛屯西路西侧</t>
    <phoneticPr fontId="143" type="noConversion"/>
  </si>
  <si>
    <t>一般</t>
  </si>
  <si>
    <t>周边商业氛围成熟度一般，人流量一般，商业繁华度一般</t>
    <phoneticPr fontId="31" type="noConversion"/>
  </si>
  <si>
    <t>估价对象周边居住用地比例一般、居住小区规模和社区发展完善程度一般，综合评价居住社区成熟度一般</t>
    <phoneticPr fontId="31" type="noConversion"/>
  </si>
  <si>
    <t>估价对象所在区域公共配套设施齐备情况一般</t>
    <phoneticPr fontId="31" type="noConversion"/>
  </si>
  <si>
    <t>京汉铂寓</t>
    <phoneticPr fontId="3" type="noConversion"/>
  </si>
  <si>
    <t>住宅</t>
    <phoneticPr fontId="25" type="noConversion"/>
  </si>
  <si>
    <t>60-70（含）</t>
  </si>
  <si>
    <t>——</t>
    <phoneticPr fontId="25" type="noConversion"/>
  </si>
  <si>
    <t>高层板楼</t>
  </si>
  <si>
    <t>高层板楼</t>
    <phoneticPr fontId="25" type="noConversion"/>
  </si>
  <si>
    <t>钢混</t>
  </si>
  <si>
    <t>钢混</t>
    <phoneticPr fontId="25" type="noConversion"/>
  </si>
  <si>
    <t>一般</t>
    <phoneticPr fontId="25" type="noConversion"/>
  </si>
  <si>
    <t>精装修</t>
  </si>
  <si>
    <t>精装修</t>
    <phoneticPr fontId="25" type="noConversion"/>
  </si>
  <si>
    <t>专业物业管理</t>
  </si>
  <si>
    <t>专业物业管理</t>
    <phoneticPr fontId="25" type="noConversion"/>
  </si>
  <si>
    <t>七通</t>
    <phoneticPr fontId="25" type="noConversion"/>
  </si>
  <si>
    <t>毛坯</t>
  </si>
  <si>
    <t>毛坯</t>
    <phoneticPr fontId="25" type="noConversion"/>
  </si>
  <si>
    <t>正常</t>
  </si>
  <si>
    <t>卢浮盛典</t>
    <phoneticPr fontId="3" type="noConversion"/>
  </si>
  <si>
    <t>青城</t>
    <phoneticPr fontId="3" type="noConversion"/>
  </si>
  <si>
    <t>临街道路</t>
    <phoneticPr fontId="25" type="noConversion"/>
  </si>
  <si>
    <t>主干道</t>
    <phoneticPr fontId="25" type="noConversion"/>
  </si>
  <si>
    <t>五一路</t>
    <phoneticPr fontId="25" type="noConversion"/>
  </si>
  <si>
    <t>新华大街</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</si>
  <si>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</si>
  <si>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九锦御府</t>
    <phoneticPr fontId="3" type="noConversion"/>
  </si>
  <si>
    <t>较好</t>
    <phoneticPr fontId="25"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</si>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</sst>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pplyAlignment="1"/>
    <xf numFmtId="0" fontId="99" fillId="5" borderId="0" xfId="0" applyFont="1" applyFill="1">
      <alignment vertical="center"/>
    </xf>
    <xf numFmtId="0" fontId="99" fillId="5" borderId="0" xfId="0" applyFont="1" applyFill="1" applyAlignment="1"/>
    <xf numFmtId="0" fontId="0" fillId="5" borderId="0" xfId="0" applyFill="1" applyAlignment="1"/>
    <xf numFmtId="0" fontId="0" fillId="5"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68711</xdr:rowOff>
    </xdr:from>
    <xdr:to>
      <xdr:col>8</xdr:col>
      <xdr:colOff>514350</xdr:colOff>
      <xdr:row>21</xdr:row>
      <xdr:rowOff>47624</xdr:rowOff>
    </xdr:to>
    <xdr:pic>
      <xdr:nvPicPr>
        <xdr:cNvPr id="2" name="图片 1" descr="C:\Documents and Settings\Administrator\Application Data\Tencent\Users\2416965547\QQ\WinTemp\RichOle\{9O5~[XA{%ZOM(@UX$_JPP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0161"/>
          <a:ext cx="6000750" cy="3407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76200</xdr:colOff>
      <xdr:row>2</xdr:row>
      <xdr:rowOff>25156</xdr:rowOff>
    </xdr:from>
    <xdr:to>
      <xdr:col>18</xdr:col>
      <xdr:colOff>533400</xdr:colOff>
      <xdr:row>21</xdr:row>
      <xdr:rowOff>123826</xdr:rowOff>
    </xdr:to>
    <xdr:pic>
      <xdr:nvPicPr>
        <xdr:cNvPr id="3" name="图片 2" descr="C:\Documents and Settings\Administrator\Application Data\Tencent\Users\2416965547\QQ\WinTemp\RichOle\Y4IJIT{3@WZ76NS6J04K0_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0" y="368056"/>
          <a:ext cx="6629400" cy="335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20140;&#27721;&#38082;&#23507;10&#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业用房"/>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979.83</v>
          </cell>
          <cell r="E3">
            <v>3588.7700000000004</v>
          </cell>
        </row>
      </sheetData>
      <sheetData sheetId="14"/>
      <sheetData sheetId="15"/>
      <sheetData sheetId="16"/>
      <sheetData sheetId="17">
        <row r="19">
          <cell r="G19">
            <v>1173</v>
          </cell>
        </row>
        <row r="118">
          <cell r="D118">
            <v>836</v>
          </cell>
          <cell r="F118">
            <v>337</v>
          </cell>
          <cell r="H118">
            <v>1173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河北省廊坊市香河县出让国有建设用地使用权及在建建筑物房地产抵押价值预评估</v>
      </c>
    </row>
    <row r="3" spans="1:2" s="1595" customFormat="1">
      <c r="A3" s="1593" t="s">
        <v>1217</v>
      </c>
      <c r="B3" s="1594">
        <f>'预评函-封皮'!B40</f>
        <v>0</v>
      </c>
    </row>
    <row r="4" spans="1:2" s="1595" customFormat="1">
      <c r="A4" s="1593" t="s">
        <v>1218</v>
      </c>
      <c r="B4" s="1594" t="str">
        <f ca="1">'预评函-封皮'!B46</f>
        <v>崔锴（注册号：1120100036)、郑燚（注册号：1120070131)</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受贵公司委托，我公司对河北省廊坊市香河县出让国有建设用地使用权及在建建筑物房地产抵押价值进行了预评估。</v>
      </c>
    </row>
    <row r="7" spans="1:2" s="1595" customFormat="1">
      <c r="A7" s="1593" t="s">
        <v>1260</v>
      </c>
      <c r="B7" s="1594" t="str">
        <f>'预评函-1'!A7</f>
        <v>估价对象为河北省廊坊市香河县出让国有建设用地使用权及在建建筑物房地产，为所有。根据《国有土地使用证》[]，估价对象（分摊）出让国有建设用地使用权面积为7296.02平方米，建筑面积为19689.99平方米。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河北省廊坊市香河县出让国有建设用地使用权及在建建筑物房地产,为开发建设的居住项目，该项目尚在开发建设中。根据《国有土地使用证》[]，估价对象（分摊）出让国有建设用地使用权面积为7296.02平方米，规划建筑面积为19689.99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2018年11月16日（评估专业人员实地查勘之日）</v>
      </c>
    </row>
    <row r="13" spans="1:2" s="1595" customFormat="1">
      <c r="A13" s="1593" t="s">
        <v>1223</v>
      </c>
      <c r="B13" s="1594" t="str">
        <f>'预评函-1'!A18</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14490</v>
      </c>
    </row>
    <row r="21" spans="1:2" s="1595" customFormat="1">
      <c r="A21" s="1593" t="s">
        <v>1231</v>
      </c>
      <c r="B21" s="1594">
        <f ca="1">'预评函-2'!D7</f>
        <v>7359</v>
      </c>
    </row>
    <row r="22" spans="1:2" s="1595" customFormat="1">
      <c r="A22" s="1593" t="s">
        <v>1232</v>
      </c>
      <c r="B22" s="1594" t="str">
        <f ca="1">'预评函-2'!D6</f>
        <v>壹亿肆仟肆佰玖拾万元整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14490</v>
      </c>
    </row>
    <row r="31" spans="1:2" s="1595" customFormat="1">
      <c r="A31" s="1593" t="s">
        <v>1270</v>
      </c>
      <c r="B31" s="1594">
        <f ca="1">'预评函-2'!D15</f>
        <v>7359</v>
      </c>
    </row>
    <row r="32" spans="1:2" s="1595" customFormat="1">
      <c r="A32" s="1593" t="s">
        <v>1237</v>
      </c>
      <c r="B32" s="1594" t="str">
        <f ca="1">'预评函-2'!D14</f>
        <v>壹亿肆仟肆佰玖拾万元整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河北省廊坊市香河县出让国有建设用地使用权及在建建筑物房地产</v>
      </c>
    </row>
    <row r="42" spans="1:2" s="1595" customFormat="1">
      <c r="A42" s="1593" t="s">
        <v>1284</v>
      </c>
      <c r="B42" s="1594" t="str">
        <f>'预评函-3'!B2</f>
        <v>建筑面积</v>
      </c>
    </row>
    <row r="43" spans="1:2" s="1595" customFormat="1">
      <c r="A43" s="1593" t="s">
        <v>1285</v>
      </c>
      <c r="B43" s="1594">
        <f>'预评函-3'!B4</f>
        <v>19689.989999999998</v>
      </c>
    </row>
    <row r="44" spans="1:2" s="1595" customFormat="1">
      <c r="A44" s="1593" t="s">
        <v>1269</v>
      </c>
      <c r="B44" s="1594" t="str">
        <f>'预评函-3'!C2</f>
        <v>(分摊)土地面积</v>
      </c>
    </row>
    <row r="45" spans="1:2" s="1595" customFormat="1">
      <c r="A45" s="1593" t="s">
        <v>1241</v>
      </c>
      <c r="B45" s="1594">
        <f>'预评函-3'!C4</f>
        <v>7296.02</v>
      </c>
    </row>
    <row r="46" spans="1:2" s="1595" customFormat="1">
      <c r="A46" s="1593" t="s">
        <v>1267</v>
      </c>
      <c r="B46" s="1594" t="str">
        <f>'预评函-3'!D2</f>
        <v>出让国有建设用地使用权价值</v>
      </c>
    </row>
    <row r="47" spans="1:2" s="1595" customFormat="1">
      <c r="A47" s="1593" t="s">
        <v>1242</v>
      </c>
      <c r="B47" s="1594">
        <f ca="1">'预评函-3'!D4</f>
        <v>9621</v>
      </c>
    </row>
    <row r="48" spans="1:2" s="1595" customFormat="1">
      <c r="A48" s="1593" t="s">
        <v>1243</v>
      </c>
      <c r="B48" s="1594">
        <f ca="1">'预评函-3'!E4</f>
        <v>4886</v>
      </c>
    </row>
    <row r="49" spans="1:2" s="1595" customFormat="1">
      <c r="A49" s="1593" t="s">
        <v>1244</v>
      </c>
      <c r="B49" s="1594" t="str">
        <f ca="1">'预评函-3'!D5</f>
        <v>玖仟陆佰贰拾壹万元整</v>
      </c>
    </row>
    <row r="50" spans="1:2" s="1595" customFormat="1">
      <c r="A50" s="1593" t="s">
        <v>1268</v>
      </c>
      <c r="B50" s="1594" t="str">
        <f>'预评函-3'!F2</f>
        <v>在建建筑物价值</v>
      </c>
    </row>
    <row r="51" spans="1:2" s="1595" customFormat="1">
      <c r="A51" s="1593" t="s">
        <v>1245</v>
      </c>
      <c r="B51" s="1594">
        <f ca="1">'预评函-3'!F4</f>
        <v>4869</v>
      </c>
    </row>
    <row r="52" spans="1:2" s="1595" customFormat="1">
      <c r="A52" s="1593" t="s">
        <v>1246</v>
      </c>
      <c r="B52" s="1594">
        <f ca="1">'预评函-3'!G4</f>
        <v>2473</v>
      </c>
    </row>
    <row r="53" spans="1:2" s="1595" customFormat="1">
      <c r="A53" s="1593" t="s">
        <v>1274</v>
      </c>
      <c r="B53" s="1594" t="str">
        <f ca="1">'预评函-3'!F5</f>
        <v>肆仟捌佰陆拾玖万元整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崔锴</v>
      </c>
    </row>
    <row r="71" spans="1:2">
      <c r="A71" s="1593" t="s">
        <v>1257</v>
      </c>
      <c r="B71" s="1594">
        <f ca="1">'预评函-4'!B4</f>
        <v>1120100036</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7" sqref="X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3026</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00"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4" t="s">
        <v>863</v>
      </c>
      <c r="C54" s="2021" t="s">
        <v>1277</v>
      </c>
    </row>
    <row r="55" spans="1:4">
      <c r="A55" s="3000"/>
      <c r="B55" s="2024" t="s">
        <v>864</v>
      </c>
      <c r="C55" s="2021" t="s">
        <v>1278</v>
      </c>
    </row>
    <row r="56" spans="1:4">
      <c r="A56" s="3000"/>
      <c r="B56" s="2024" t="s">
        <v>865</v>
      </c>
      <c r="C56" s="2021" t="s">
        <v>1282</v>
      </c>
    </row>
    <row r="57" spans="1:4">
      <c r="A57" s="3000"/>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4" customWidth="1"/>
    <col min="2" max="2" width="11.125" style="2034" customWidth="1"/>
    <col min="3" max="3" width="13.5" style="2034" customWidth="1"/>
    <col min="4" max="4" width="12.125" style="2034" customWidth="1"/>
    <col min="5"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1739</v>
      </c>
      <c r="B1" s="3001" t="str">
        <f>IF(B10="北京市","北京市",C10)&amp;F10&amp;IF(结果表!G1="在建","出让国有建设用地使用权及在建建筑物",IF(结果表!G1="土地","出让国有建设用地使用权",))&amp;B9&amp;"预评估"</f>
        <v>河北省廊坊市香河县出让国有建设用地使用权及在建建筑物房地产抵押价值预评估</v>
      </c>
      <c r="C1" s="3002"/>
      <c r="D1" s="3002"/>
      <c r="E1" s="3002"/>
      <c r="F1" s="3002"/>
      <c r="G1" s="3002"/>
      <c r="H1" s="3002"/>
      <c r="I1" s="300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河北省廊坊市香河县出让国有建设用地使用权及在建建筑物房地产抵押价值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河北省廊坊市香河县出让国有建设用地使用权及在建建筑物房地产</v>
      </c>
    </row>
    <row r="3" spans="1:19" ht="18" customHeight="1">
      <c r="A3" s="2037" t="s">
        <v>1741</v>
      </c>
      <c r="B3" s="2038">
        <v>43420</v>
      </c>
      <c r="C3" s="2039" t="s">
        <v>1742</v>
      </c>
      <c r="D3" s="2038">
        <f>B3</f>
        <v>43420</v>
      </c>
      <c r="E3" s="2028"/>
      <c r="F3" s="2028"/>
      <c r="G3" s="2028"/>
      <c r="H3" s="2028"/>
      <c r="I3" s="2028"/>
      <c r="J3" s="2028"/>
      <c r="K3" s="2029"/>
      <c r="L3" s="2030"/>
      <c r="M3" s="2030"/>
      <c r="N3" s="2031"/>
      <c r="O3" s="2032"/>
      <c r="P3" s="2031"/>
      <c r="Q3" s="2031"/>
      <c r="R3" s="2031"/>
      <c r="S3" s="2033"/>
    </row>
    <row r="4" spans="1:19" ht="18" customHeight="1" thickBot="1">
      <c r="A4" s="2040" t="s">
        <v>1743</v>
      </c>
      <c r="B4" s="2041" t="s">
        <v>3022</v>
      </c>
      <c r="C4" s="1040">
        <f ca="1">SUMIF(注册房地产估价师,B4,估价师及机构信息!B3:B24)</f>
        <v>1120100036</v>
      </c>
      <c r="D4" s="2041" t="s">
        <v>3023</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崔锴（注册号：1120100036)、郑燚（注册号：1120070131)</v>
      </c>
      <c r="L4" s="2030"/>
      <c r="M4" s="2030"/>
      <c r="N4" s="2031"/>
      <c r="O4" s="2032"/>
      <c r="P4" s="2031"/>
      <c r="Q4" s="2031"/>
      <c r="R4" s="2031"/>
      <c r="S4" s="2033"/>
    </row>
    <row r="5" spans="1:19" ht="18" customHeight="1" thickTop="1">
      <c r="A5" s="2046" t="s">
        <v>1744</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c r="C7" s="2052"/>
      <c r="D7" s="2053"/>
      <c r="E7" s="2036"/>
      <c r="F7" s="2044"/>
      <c r="G7" s="2044"/>
      <c r="H7" s="2044"/>
      <c r="I7" s="2044"/>
      <c r="J7" s="2044"/>
      <c r="K7" s="2056"/>
      <c r="L7" s="2030"/>
      <c r="M7" s="2030"/>
      <c r="N7" s="2031"/>
      <c r="O7" s="2032"/>
      <c r="P7" s="2031"/>
      <c r="Q7" s="2031"/>
      <c r="R7" s="2031"/>
    </row>
    <row r="8" spans="1:19" ht="18" customHeight="1">
      <c r="A8" s="2050" t="s">
        <v>1747</v>
      </c>
      <c r="B8" s="2057" t="s">
        <v>3005</v>
      </c>
      <c r="C8" s="2058"/>
      <c r="D8" s="3004" t="s">
        <v>1748</v>
      </c>
      <c r="E8" s="2059" t="s">
        <v>3006</v>
      </c>
      <c r="F8" s="2060"/>
      <c r="G8" s="2028"/>
      <c r="H8" s="2028"/>
      <c r="I8" s="2028"/>
      <c r="J8" s="2044"/>
      <c r="K8" s="2045"/>
      <c r="L8" s="2030"/>
      <c r="M8" s="2030"/>
      <c r="N8" s="2031"/>
      <c r="O8" s="2032"/>
      <c r="P8" s="2031"/>
      <c r="Q8" s="2031"/>
      <c r="R8" s="2031"/>
    </row>
    <row r="9" spans="1:19" ht="18" customHeight="1" thickBot="1">
      <c r="A9" s="2042" t="s">
        <v>1749</v>
      </c>
      <c r="B9" s="2061" t="s">
        <v>3006</v>
      </c>
      <c r="C9" s="2062"/>
      <c r="D9" s="3005"/>
      <c r="E9" s="2061"/>
      <c r="F9" s="2063"/>
      <c r="G9" s="2064"/>
      <c r="H9" s="2064"/>
      <c r="I9" s="2064"/>
      <c r="J9" s="2044"/>
      <c r="K9" s="2056"/>
      <c r="L9" s="2030"/>
      <c r="M9" s="2030"/>
      <c r="N9" s="2031"/>
      <c r="O9" s="2032"/>
      <c r="P9" s="2031"/>
      <c r="Q9" s="2031"/>
      <c r="R9" s="2031"/>
    </row>
    <row r="10" spans="1:19" ht="18" customHeight="1" thickTop="1">
      <c r="A10" s="2065" t="s">
        <v>1750</v>
      </c>
      <c r="B10" s="2066" t="s">
        <v>3007</v>
      </c>
      <c r="C10" s="2942" t="s">
        <v>3009</v>
      </c>
      <c r="D10" s="2049"/>
      <c r="E10" s="2067" t="s">
        <v>1751</v>
      </c>
      <c r="F10" s="2943" t="s">
        <v>3011</v>
      </c>
      <c r="G10" s="2068"/>
      <c r="H10" s="2069"/>
      <c r="I10" s="2049"/>
      <c r="J10" s="2044"/>
      <c r="K10" s="2056"/>
      <c r="L10" s="2030"/>
      <c r="M10" s="2030"/>
      <c r="N10" s="2031"/>
      <c r="O10" s="2032"/>
      <c r="P10" s="2031"/>
      <c r="Q10" s="2031"/>
      <c r="R10" s="2031"/>
    </row>
    <row r="11" spans="1:19" ht="18" customHeight="1">
      <c r="A11" s="2070" t="s">
        <v>1752</v>
      </c>
      <c r="B11" s="2071"/>
      <c r="C11" s="2072"/>
      <c r="D11" s="2073"/>
      <c r="E11" s="2044"/>
      <c r="F11" s="2044"/>
      <c r="G11" s="2044"/>
      <c r="H11" s="2044"/>
      <c r="I11" s="2044"/>
      <c r="J11" s="2044"/>
      <c r="K11" s="2056"/>
      <c r="L11" s="2030"/>
      <c r="M11" s="2030"/>
      <c r="N11" s="2031"/>
      <c r="O11" s="2032"/>
      <c r="P11" s="2031"/>
      <c r="Q11" s="2031"/>
      <c r="R11" s="2031"/>
    </row>
    <row r="12" spans="1:19" ht="18" customHeight="1">
      <c r="A12" s="2074" t="s">
        <v>1753</v>
      </c>
      <c r="B12" s="2071" t="s">
        <v>3008</v>
      </c>
      <c r="C12" s="2075" t="s">
        <v>1754</v>
      </c>
      <c r="D12" s="2076" t="s">
        <v>1755</v>
      </c>
      <c r="E12" s="2076" t="s">
        <v>1756</v>
      </c>
      <c r="F12" s="2076" t="s">
        <v>1757</v>
      </c>
      <c r="G12" s="2076" t="s">
        <v>1758</v>
      </c>
      <c r="H12" s="2076" t="s">
        <v>1759</v>
      </c>
      <c r="I12" s="2076" t="s">
        <v>1760</v>
      </c>
      <c r="J12" s="2044"/>
      <c r="K12" s="2056"/>
      <c r="L12" s="2030"/>
      <c r="M12" s="2030"/>
      <c r="N12" s="2031"/>
      <c r="O12" s="2032"/>
      <c r="P12" s="2031"/>
      <c r="Q12" s="2031"/>
      <c r="R12" s="2031"/>
    </row>
    <row r="13" spans="1:19" ht="18" customHeight="1">
      <c r="A13" s="2077"/>
      <c r="B13" s="2078"/>
      <c r="C13" s="2079" t="s">
        <v>1761</v>
      </c>
      <c r="D13" s="2080">
        <v>67198</v>
      </c>
      <c r="E13" s="2080"/>
      <c r="F13" s="2080"/>
      <c r="G13" s="2080"/>
      <c r="H13" s="2080"/>
      <c r="I13" s="1050"/>
      <c r="J13" s="2044"/>
      <c r="K13" s="2056"/>
      <c r="L13" s="2030"/>
      <c r="M13" s="2030"/>
      <c r="N13" s="2031"/>
      <c r="O13" s="2032"/>
      <c r="P13" s="2031"/>
      <c r="Q13" s="2031"/>
      <c r="R13" s="2031"/>
    </row>
    <row r="14" spans="1:19" ht="18" customHeight="1">
      <c r="A14" s="2077"/>
      <c r="B14" s="2078"/>
      <c r="C14" s="2079" t="s">
        <v>1762</v>
      </c>
      <c r="D14" s="1053">
        <v>70</v>
      </c>
      <c r="E14" s="1053"/>
      <c r="F14" s="1053"/>
      <c r="G14" s="1053"/>
      <c r="H14" s="1053"/>
      <c r="I14" s="1053"/>
      <c r="J14" s="2044"/>
      <c r="K14" s="2081"/>
      <c r="L14" s="2030"/>
      <c r="M14" s="2030"/>
      <c r="N14" s="2031"/>
      <c r="O14" s="2032"/>
      <c r="P14" s="2031"/>
      <c r="Q14" s="2031"/>
      <c r="R14" s="2031"/>
    </row>
    <row r="15" spans="1:19" ht="18" customHeight="1">
      <c r="A15" s="2065"/>
      <c r="B15" s="2082"/>
      <c r="C15" s="2079" t="s">
        <v>1763</v>
      </c>
      <c r="D15" s="1052">
        <f>IF(B12="出让",IF(D13="","",ROUNDDOWN(MIN((D13-$D$3)/365,D14),2)),D14)</f>
        <v>65.14</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3"/>
      <c r="L15" s="2084"/>
      <c r="M15" s="2084"/>
      <c r="N15" s="2085"/>
      <c r="O15" s="2084"/>
      <c r="P15" s="2085"/>
      <c r="Q15" s="2031"/>
      <c r="R15" s="2031"/>
    </row>
    <row r="16" spans="1:19" ht="30.75" customHeight="1">
      <c r="A16" s="2067" t="s">
        <v>1764</v>
      </c>
      <c r="B16" s="3011"/>
      <c r="C16" s="3012"/>
      <c r="D16" s="3013"/>
      <c r="E16" s="2086" t="s">
        <v>1765</v>
      </c>
      <c r="F16" s="3014"/>
      <c r="G16" s="3015"/>
      <c r="H16" s="3015"/>
      <c r="I16" s="3016"/>
      <c r="J16" s="2031"/>
      <c r="K16" s="2083"/>
      <c r="L16" s="2084"/>
      <c r="M16" s="2084"/>
      <c r="N16" s="2085"/>
      <c r="O16" s="2084"/>
      <c r="P16" s="2085"/>
      <c r="Q16" s="2031"/>
      <c r="R16" s="2031"/>
    </row>
    <row r="17" spans="1:22" ht="18" customHeight="1">
      <c r="A17" s="2087" t="s">
        <v>1766</v>
      </c>
      <c r="B17" s="2037" t="s">
        <v>1767</v>
      </c>
      <c r="C17" s="1057">
        <f>'数据-汇总表'!E3</f>
        <v>19689.989999999998</v>
      </c>
      <c r="D17" s="2088" t="s">
        <v>1768</v>
      </c>
      <c r="E17" s="3017" t="s">
        <v>1769</v>
      </c>
      <c r="F17" s="3018"/>
      <c r="G17" s="3018"/>
      <c r="H17" s="3018"/>
      <c r="I17" s="3019"/>
      <c r="J17" s="2031"/>
      <c r="K17" s="2089"/>
      <c r="L17" s="2084"/>
      <c r="M17" s="2084"/>
      <c r="N17" s="2085"/>
      <c r="O17" s="2084"/>
      <c r="P17" s="2085"/>
      <c r="Q17" s="2031"/>
      <c r="R17" s="2031"/>
      <c r="S17" s="2031"/>
      <c r="T17" s="2031"/>
      <c r="U17" s="2031"/>
      <c r="V17" s="2031"/>
    </row>
    <row r="18" spans="1:22" ht="36" customHeight="1" thickBot="1">
      <c r="A18" s="2090" t="s">
        <v>1770</v>
      </c>
      <c r="B18" s="2040" t="s">
        <v>1771</v>
      </c>
      <c r="C18" s="1447">
        <f>'数据-汇总表'!D3</f>
        <v>7296.02</v>
      </c>
      <c r="D18" s="2091" t="s">
        <v>1768</v>
      </c>
      <c r="E18" s="3020" t="s">
        <v>1772</v>
      </c>
      <c r="F18" s="3021"/>
      <c r="G18" s="3021"/>
      <c r="H18" s="3021"/>
      <c r="I18" s="3022"/>
      <c r="J18" s="2031"/>
      <c r="K18" s="2089"/>
      <c r="L18" s="2084"/>
      <c r="M18" s="2084"/>
      <c r="N18" s="2085"/>
      <c r="O18" s="2084"/>
      <c r="P18" s="2085"/>
      <c r="Q18" s="2031"/>
      <c r="R18" s="2031"/>
      <c r="S18" s="2031"/>
      <c r="T18" s="2031"/>
      <c r="U18" s="2031"/>
      <c r="V18" s="2031"/>
    </row>
    <row r="19" spans="1:22" ht="37.5" customHeight="1" thickTop="1" thickBot="1">
      <c r="A19" s="373" t="s">
        <v>1773</v>
      </c>
      <c r="B19" s="352" t="s">
        <v>1774</v>
      </c>
      <c r="C19" s="2092"/>
      <c r="D19" s="2093" t="s">
        <v>1775</v>
      </c>
      <c r="E19" s="2094"/>
      <c r="F19" s="2095" t="str">
        <f>IF(AND(C19="是",E19="否"),"是否提供他项权证或相关说明","")</f>
        <v/>
      </c>
      <c r="G19" s="2096"/>
      <c r="H19" s="2044"/>
      <c r="I19" s="2044"/>
      <c r="J19" s="2044"/>
      <c r="K19" s="2056"/>
      <c r="L19" s="2030"/>
      <c r="M19" s="2030"/>
      <c r="N19" s="2085"/>
      <c r="O19" s="2084"/>
      <c r="P19" s="2085"/>
      <c r="Q19" s="2031"/>
      <c r="R19" s="2031"/>
      <c r="S19" s="2031"/>
      <c r="T19" s="2031"/>
      <c r="U19" s="2031"/>
      <c r="V19" s="2031"/>
    </row>
    <row r="20" spans="1:22" ht="18" customHeight="1">
      <c r="A20" s="2097" t="s">
        <v>1776</v>
      </c>
      <c r="B20" s="3007" t="s">
        <v>1777</v>
      </c>
      <c r="C20" s="3008"/>
      <c r="D20" s="3009" t="s">
        <v>1778</v>
      </c>
      <c r="E20" s="3010"/>
      <c r="F20" s="2098" t="s">
        <v>1779</v>
      </c>
      <c r="G20" s="2044"/>
      <c r="H20" s="2044"/>
      <c r="I20" s="2044"/>
      <c r="J20" s="2044"/>
      <c r="K20" s="3006" t="s">
        <v>1780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1781</v>
      </c>
      <c r="C21" s="2100" t="s">
        <v>1782</v>
      </c>
      <c r="D21" s="2101" t="s">
        <v>1783</v>
      </c>
      <c r="E21" s="2102" t="s">
        <v>1782</v>
      </c>
      <c r="F21" s="2103"/>
      <c r="G21" s="2044"/>
      <c r="H21" s="2044"/>
      <c r="I21" s="2044"/>
      <c r="J21" s="2044"/>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1784</v>
      </c>
      <c r="C22" s="2100" t="s">
        <v>1785</v>
      </c>
      <c r="D22" s="2028"/>
      <c r="E22" s="2028"/>
      <c r="F22" s="2105"/>
      <c r="G22" s="2044"/>
      <c r="H22" s="2044"/>
      <c r="I22" s="2044"/>
      <c r="J22" s="2044"/>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1786</v>
      </c>
      <c r="B23" s="183" t="s">
        <v>1787</v>
      </c>
      <c r="C23" s="2107"/>
      <c r="D23" s="2108" t="s">
        <v>1787</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1788</v>
      </c>
      <c r="C24" s="2112"/>
      <c r="D24" s="2106" t="s">
        <v>1788</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1789</v>
      </c>
      <c r="C25" s="2112"/>
      <c r="D25" s="2106" t="s">
        <v>1789</v>
      </c>
      <c r="E25" s="2113"/>
      <c r="F25" s="2105"/>
      <c r="G25" s="2044"/>
      <c r="H25" s="2044"/>
      <c r="I25" s="2044"/>
      <c r="J25" s="2044"/>
      <c r="K25" s="2056"/>
      <c r="L25" s="2030"/>
      <c r="M25" s="2030"/>
      <c r="N25" s="2085"/>
      <c r="O25" s="2084"/>
      <c r="P25" s="2085"/>
      <c r="Q25" s="2031"/>
      <c r="R25" s="2031"/>
      <c r="S25" s="2031"/>
      <c r="T25" s="2031"/>
      <c r="U25" s="2031"/>
      <c r="V25" s="2031"/>
    </row>
    <row r="26" spans="1:22" ht="18" customHeight="1" thickBot="1">
      <c r="A26" s="2114"/>
      <c r="B26" s="2115" t="s">
        <v>1790</v>
      </c>
      <c r="C26" s="2116"/>
      <c r="D26" s="2117" t="s">
        <v>1791</v>
      </c>
      <c r="E26" s="2118"/>
      <c r="F26" s="2119"/>
      <c r="G26" s="2064"/>
      <c r="H26" s="2064"/>
      <c r="I26" s="2064"/>
      <c r="J26" s="2044"/>
      <c r="K26" s="2056"/>
      <c r="L26" s="2030"/>
      <c r="M26" s="2030"/>
      <c r="N26" s="2085"/>
      <c r="O26" s="2084"/>
      <c r="P26" s="2085"/>
      <c r="Q26" s="2031"/>
      <c r="R26" s="2031"/>
      <c r="S26" s="2031"/>
      <c r="T26" s="2031"/>
      <c r="U26" s="2031"/>
      <c r="V26" s="2031"/>
    </row>
    <row r="27" spans="1:22" ht="18" customHeight="1" thickTop="1">
      <c r="A27" s="3024" t="s">
        <v>1792</v>
      </c>
      <c r="B27" s="2065" t="s">
        <v>1793</v>
      </c>
      <c r="C27" s="2120" t="s">
        <v>3012</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24"/>
      <c r="B28" s="2037" t="s">
        <v>1794</v>
      </c>
      <c r="C28" s="2122" t="s">
        <v>3013</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24"/>
      <c r="B29" s="2037" t="s">
        <v>1795</v>
      </c>
      <c r="C29" s="2125" t="s">
        <v>3130</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25"/>
      <c r="B30" s="2037" t="s">
        <v>1796</v>
      </c>
      <c r="C30" s="3026"/>
      <c r="D30" s="3027"/>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28" t="s">
        <v>1797</v>
      </c>
      <c r="B31" s="2127" t="s">
        <v>3014</v>
      </c>
      <c r="C31" s="2128" t="str">
        <f>IF(B31="现房","成新及维护状况正常否",IF(B31="在建","工程状态是否正常",IF(B31="土地","是否闲置","-")))</f>
        <v>工程状态是否正常</v>
      </c>
      <c r="D31" s="2129"/>
      <c r="E31" s="2130"/>
      <c r="F31" s="2044"/>
      <c r="G31" s="2044"/>
      <c r="H31" s="2044"/>
      <c r="I31" s="2044"/>
      <c r="J31" s="2044"/>
      <c r="K31" s="2054"/>
      <c r="L31" s="2030"/>
      <c r="M31" s="2030"/>
      <c r="N31" s="2031"/>
      <c r="O31" s="2032"/>
      <c r="P31" s="2031"/>
      <c r="Q31" s="2031"/>
      <c r="R31" s="2031"/>
      <c r="S31" s="2031"/>
      <c r="T31" s="2031"/>
      <c r="U31" s="2031"/>
      <c r="V31" s="2031"/>
    </row>
    <row r="32" spans="1:22" ht="18" customHeight="1">
      <c r="A32" s="3029"/>
      <c r="B32" s="2127"/>
      <c r="C32" s="2128" t="str">
        <f>IF(B32="现房","成新及维护状况是否正常",IF(B32="在建","工程状态是否正常",IF(B32="土地","是否闲置","-")))</f>
        <v>-</v>
      </c>
      <c r="D32" s="2129"/>
      <c r="E32" s="2130"/>
      <c r="F32" s="2044"/>
      <c r="G32" s="2044"/>
      <c r="H32" s="2044"/>
      <c r="I32" s="2044"/>
      <c r="J32" s="2044"/>
      <c r="K32" s="2056"/>
      <c r="L32" s="2030"/>
      <c r="M32" s="2030"/>
      <c r="N32" s="2031"/>
      <c r="O32" s="2032"/>
      <c r="P32" s="2031"/>
      <c r="Q32" s="2031"/>
      <c r="R32" s="2031"/>
      <c r="S32" s="2031"/>
      <c r="T32" s="2031"/>
      <c r="U32" s="2031"/>
      <c r="V32" s="2031"/>
    </row>
    <row r="33" spans="1:22" ht="18" customHeight="1">
      <c r="A33" s="3029"/>
      <c r="B33" s="2131"/>
      <c r="C33" s="2070" t="str">
        <f>IF(B33="现房","成新及维护状况是否正常",IF(B33="在建","工程状态是否正常",IF(B33="土地","是否闲置","-")))</f>
        <v>-</v>
      </c>
      <c r="D33" s="2132"/>
      <c r="E33" s="2133"/>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1798</v>
      </c>
      <c r="B34" s="2134" t="s">
        <v>3015</v>
      </c>
      <c r="C34" s="2134" t="s">
        <v>3016</v>
      </c>
      <c r="D34" s="2134" t="s">
        <v>3017</v>
      </c>
      <c r="E34" s="2134" t="s">
        <v>3018</v>
      </c>
      <c r="F34" s="2134" t="s">
        <v>3019</v>
      </c>
      <c r="G34" s="2134" t="s">
        <v>3020</v>
      </c>
      <c r="H34" s="2134" t="s">
        <v>3021</v>
      </c>
      <c r="I34" s="2044"/>
      <c r="J34" s="2044"/>
      <c r="K34" s="1797">
        <f>COUNTIF(B34:H34,"——")</f>
        <v>0</v>
      </c>
      <c r="L34" s="2075" t="s">
        <v>1799</v>
      </c>
      <c r="M34" s="2075" t="s">
        <v>1800</v>
      </c>
      <c r="N34" s="2075" t="s">
        <v>1801</v>
      </c>
      <c r="O34" s="2075" t="s">
        <v>1802</v>
      </c>
      <c r="P34" s="2075" t="s">
        <v>1803</v>
      </c>
      <c r="Q34" s="2075" t="s">
        <v>1804</v>
      </c>
      <c r="R34" s="2075" t="s">
        <v>1805</v>
      </c>
      <c r="S34" s="3023" t="s">
        <v>1806</v>
      </c>
      <c r="T34" s="2135" t="str">
        <f>NUMBERSTRING(7-K34,1)&amp;"通"</f>
        <v>七通</v>
      </c>
      <c r="U34" s="2031"/>
      <c r="V34" s="2031"/>
    </row>
    <row r="35" spans="1:22" ht="18" customHeight="1">
      <c r="A35" s="2136"/>
      <c r="B35" s="3030" t="s">
        <v>1807</v>
      </c>
      <c r="C35" s="3030"/>
      <c r="D35" s="3030"/>
      <c r="E35" s="3030"/>
      <c r="F35" s="2137" t="str">
        <f>C10</f>
        <v>河北省廊坊市</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3"/>
      <c r="T35" s="48" t="str">
        <f>IF(T34="一通",L35,IF(T34="二通",M35,IF(T34="三通",N35,IF(T34="四通",O35,IF(T34="五通",P35,IF(T34="六通",Q35,R35))))))</f>
        <v>通路、通电、通讯、通上水、通下水、通热、燃气</v>
      </c>
      <c r="U35" s="2031"/>
      <c r="V35" s="2031"/>
    </row>
    <row r="36" spans="1:22" ht="18" customHeight="1">
      <c r="A36" s="2138"/>
      <c r="B36" s="2137" t="s">
        <v>1808</v>
      </c>
      <c r="C36" s="2137" t="s">
        <v>1809</v>
      </c>
      <c r="D36" s="2137" t="s">
        <v>1810</v>
      </c>
      <c r="E36" s="2137" t="s">
        <v>1811</v>
      </c>
      <c r="F36" s="2139"/>
      <c r="G36" s="2044"/>
      <c r="H36" s="2044"/>
      <c r="I36" s="2044"/>
      <c r="J36" s="2044"/>
      <c r="K36" s="2056"/>
      <c r="L36" s="2030"/>
      <c r="M36" s="2030"/>
      <c r="N36" s="2031"/>
      <c r="O36" s="2032"/>
      <c r="P36" s="2031"/>
      <c r="Q36" s="2031"/>
      <c r="R36" s="2031"/>
      <c r="S36" s="2031"/>
      <c r="T36" s="2031"/>
      <c r="U36" s="2031"/>
      <c r="V36" s="2031"/>
    </row>
    <row r="37" spans="1:22" ht="18" customHeight="1">
      <c r="A37" s="2140" t="s">
        <v>1812</v>
      </c>
      <c r="B37" s="2141"/>
      <c r="C37" s="2141"/>
      <c r="D37" s="2141"/>
      <c r="E37" s="2141"/>
      <c r="F37" s="2139"/>
      <c r="G37" s="2044"/>
      <c r="H37" s="2044"/>
      <c r="I37" s="2044"/>
      <c r="J37" s="2044"/>
      <c r="K37" s="2056"/>
      <c r="L37" s="2030"/>
      <c r="M37" s="2030"/>
      <c r="N37" s="2031"/>
      <c r="O37" s="2032"/>
      <c r="P37" s="2031"/>
      <c r="Q37" s="2031"/>
      <c r="R37" s="2031"/>
      <c r="S37" s="2031"/>
      <c r="T37" s="2031"/>
      <c r="U37" s="2031"/>
      <c r="V37" s="2031"/>
    </row>
    <row r="38" spans="1:22" ht="18" customHeight="1" thickBot="1">
      <c r="A38" s="2142" t="s">
        <v>1813</v>
      </c>
      <c r="B38" s="2143"/>
      <c r="C38" s="2143"/>
      <c r="D38" s="2143"/>
      <c r="E38" s="2143"/>
      <c r="F38" s="2144"/>
      <c r="G38" s="2064"/>
      <c r="H38" s="2064"/>
      <c r="I38" s="2064"/>
      <c r="J38" s="2044"/>
      <c r="K38" s="2056"/>
      <c r="L38" s="2030"/>
      <c r="M38" s="2030"/>
      <c r="N38" s="2031"/>
      <c r="O38" s="2032"/>
      <c r="P38" s="2031"/>
      <c r="Q38" s="2031"/>
      <c r="R38" s="2031"/>
      <c r="S38" s="2031"/>
      <c r="T38" s="2031"/>
      <c r="U38" s="2031"/>
      <c r="V38" s="2031"/>
    </row>
    <row r="39" spans="1:22" s="2149" customFormat="1" ht="18" customHeight="1" thickTop="1" thickBot="1">
      <c r="A39" s="2145" t="s">
        <v>1814</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1815</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1816</v>
      </c>
      <c r="B42" s="1797" t="s">
        <v>1817</v>
      </c>
      <c r="C42" s="1797" t="s">
        <v>1818</v>
      </c>
      <c r="D42" s="1797" t="s">
        <v>1819</v>
      </c>
      <c r="E42" s="1797" t="s">
        <v>1820</v>
      </c>
      <c r="F42" s="1797" t="s">
        <v>1821</v>
      </c>
      <c r="G42" s="1797" t="s">
        <v>1822</v>
      </c>
      <c r="H42" s="1797" t="s">
        <v>1823</v>
      </c>
      <c r="I42" s="1797" t="s">
        <v>1824</v>
      </c>
      <c r="J42" s="2153" t="s">
        <v>1825</v>
      </c>
      <c r="K42" s="2076" t="s">
        <v>1826</v>
      </c>
      <c r="L42" s="2076" t="s">
        <v>1827</v>
      </c>
      <c r="M42" s="2076" t="s">
        <v>1828</v>
      </c>
      <c r="N42" s="1797" t="s">
        <v>1829</v>
      </c>
      <c r="O42" s="1797" t="s">
        <v>1830</v>
      </c>
      <c r="P42" s="1797" t="s">
        <v>1831</v>
      </c>
      <c r="Q42" s="2075" t="s">
        <v>1832</v>
      </c>
      <c r="R42" s="2075" t="s">
        <v>1833</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2" sqref="D32"/>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1834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1835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1836</v>
      </c>
      <c r="B2" s="11" t="s">
        <v>1837</v>
      </c>
      <c r="C2" s="11" t="s">
        <v>1838</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1839</v>
      </c>
      <c r="AZ2" s="1273" t="s">
        <v>1840</v>
      </c>
      <c r="BA2" s="11" t="s">
        <v>1841</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(I13+AD13)/2.5</f>
        <v>7296.0160000000005</v>
      </c>
      <c r="B3" s="14">
        <f>IF(C3="否",G5-AT5,G5)</f>
        <v>19689.989999999998</v>
      </c>
      <c r="C3" s="2169" t="s">
        <v>1842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1843</v>
      </c>
      <c r="B5" s="1805"/>
      <c r="C5" s="1805"/>
      <c r="D5" s="1808"/>
      <c r="E5" s="16" t="s">
        <v>1</v>
      </c>
      <c r="F5" s="16">
        <f>SUM(F13:F587)</f>
        <v>0</v>
      </c>
      <c r="G5" s="16">
        <f>SUM(G13:G587)</f>
        <v>19689.989999999998</v>
      </c>
      <c r="H5" s="16">
        <f t="shared" ref="H5:AT5" si="0">SUM(H13:H656)</f>
        <v>17457.14</v>
      </c>
      <c r="I5" s="16">
        <f t="shared" si="0"/>
        <v>17457.14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2232.85</v>
      </c>
      <c r="AD5" s="16">
        <f t="shared" si="0"/>
        <v>782.9</v>
      </c>
      <c r="AE5" s="16">
        <f t="shared" si="0"/>
        <v>0</v>
      </c>
      <c r="AF5" s="16">
        <f t="shared" si="0"/>
        <v>1377.72</v>
      </c>
      <c r="AG5" s="16">
        <f t="shared" si="0"/>
        <v>0</v>
      </c>
      <c r="AH5" s="16">
        <f t="shared" si="0"/>
        <v>0</v>
      </c>
      <c r="AI5" s="16">
        <f t="shared" si="0"/>
        <v>0</v>
      </c>
      <c r="AJ5" s="16">
        <f t="shared" si="0"/>
        <v>0</v>
      </c>
      <c r="AK5" s="16">
        <f t="shared" si="0"/>
        <v>0</v>
      </c>
      <c r="AL5" s="16">
        <f t="shared" si="0"/>
        <v>0</v>
      </c>
      <c r="AM5" s="16">
        <f t="shared" si="0"/>
        <v>0</v>
      </c>
      <c r="AN5" s="16">
        <f t="shared" si="0"/>
        <v>72.23</v>
      </c>
      <c r="AO5" s="16">
        <f t="shared" si="0"/>
        <v>0</v>
      </c>
      <c r="AP5" s="16">
        <f t="shared" si="0"/>
        <v>0</v>
      </c>
      <c r="AQ5" s="16">
        <f t="shared" si="0"/>
        <v>0</v>
      </c>
      <c r="AR5" s="16">
        <f t="shared" si="0"/>
        <v>0</v>
      </c>
      <c r="AS5" s="16">
        <f t="shared" si="0"/>
        <v>0</v>
      </c>
      <c r="AT5" s="16">
        <f t="shared" si="0"/>
        <v>0</v>
      </c>
      <c r="AU5" s="1804"/>
      <c r="AV5" s="15" t="s">
        <v>1843</v>
      </c>
      <c r="AW5" s="1805"/>
      <c r="AX5" s="1805"/>
      <c r="AY5" s="17" t="s">
        <v>3</v>
      </c>
      <c r="AZ5" s="18">
        <f t="shared" ref="AZ5:BT5" si="1">SUM(AZ13:AZ656)</f>
        <v>19689.989999999998</v>
      </c>
      <c r="BA5" s="18">
        <f t="shared" si="1"/>
        <v>17457.14</v>
      </c>
      <c r="BB5" s="18">
        <f t="shared" si="1"/>
        <v>17457.14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2232.85</v>
      </c>
      <c r="BM5" s="18">
        <f t="shared" si="1"/>
        <v>782.9</v>
      </c>
      <c r="BN5" s="18">
        <f t="shared" si="1"/>
        <v>1377.72</v>
      </c>
      <c r="BO5" s="18">
        <f t="shared" si="1"/>
        <v>0</v>
      </c>
      <c r="BP5" s="18">
        <f t="shared" si="1"/>
        <v>0</v>
      </c>
      <c r="BQ5" s="18">
        <f t="shared" si="1"/>
        <v>0</v>
      </c>
      <c r="BR5" s="18">
        <f t="shared" si="1"/>
        <v>72.23</v>
      </c>
      <c r="BS5" s="18">
        <f t="shared" si="1"/>
        <v>0</v>
      </c>
      <c r="BT5" s="19">
        <f t="shared" si="1"/>
        <v>0</v>
      </c>
    </row>
    <row r="6" spans="1:72" s="2178" customFormat="1" ht="12.75">
      <c r="A6" s="15" t="s">
        <v>1844</v>
      </c>
      <c r="B6" s="2175"/>
      <c r="C6" s="2175"/>
      <c r="D6" s="2176"/>
      <c r="E6" s="16">
        <f>H6+AC6+AT6</f>
        <v>7296.0199999999995</v>
      </c>
      <c r="F6" s="16" t="s">
        <v>1</v>
      </c>
      <c r="G6" s="16" t="s">
        <v>2</v>
      </c>
      <c r="H6" s="20">
        <f>SUMIF(I$12:AB$12,"总值",I6:AB6)</f>
        <v>6468.65</v>
      </c>
      <c r="I6" s="16">
        <f t="shared" ref="I6:AB6" si="2">ROUND($A$3*I5/$B$3,2)</f>
        <v>6468.65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827.37</v>
      </c>
      <c r="AD6" s="16">
        <f t="shared" ref="AD6:AS6" si="3">ROUND($A$3*AD5/$B$3,2)</f>
        <v>290.10000000000002</v>
      </c>
      <c r="AE6" s="16">
        <f t="shared" si="3"/>
        <v>0</v>
      </c>
      <c r="AF6" s="16">
        <f t="shared" si="3"/>
        <v>510.51</v>
      </c>
      <c r="AG6" s="16">
        <f t="shared" si="3"/>
        <v>0</v>
      </c>
      <c r="AH6" s="16">
        <f t="shared" si="3"/>
        <v>0</v>
      </c>
      <c r="AI6" s="16">
        <f t="shared" si="3"/>
        <v>0</v>
      </c>
      <c r="AJ6" s="16">
        <f t="shared" si="3"/>
        <v>0</v>
      </c>
      <c r="AK6" s="16">
        <f t="shared" si="3"/>
        <v>0</v>
      </c>
      <c r="AL6" s="16">
        <f t="shared" si="3"/>
        <v>0</v>
      </c>
      <c r="AM6" s="16">
        <f t="shared" si="3"/>
        <v>0</v>
      </c>
      <c r="AN6" s="16">
        <f t="shared" si="3"/>
        <v>26.76</v>
      </c>
      <c r="AO6" s="16">
        <f t="shared" si="3"/>
        <v>0</v>
      </c>
      <c r="AP6" s="16">
        <f t="shared" si="3"/>
        <v>0</v>
      </c>
      <c r="AQ6" s="16">
        <f t="shared" si="3"/>
        <v>0</v>
      </c>
      <c r="AR6" s="16">
        <f t="shared" si="3"/>
        <v>0</v>
      </c>
      <c r="AS6" s="16">
        <f t="shared" si="3"/>
        <v>0</v>
      </c>
      <c r="AT6" s="20">
        <f>IF(C3="是",ROUND($A$3*AT5/$B$3,2),0)</f>
        <v>0</v>
      </c>
      <c r="AU6" s="2177"/>
      <c r="AV6" s="15" t="s">
        <v>1844</v>
      </c>
      <c r="AW6" s="2175"/>
      <c r="AX6" s="2175"/>
      <c r="AY6" s="21">
        <f>IF(AY3&gt;0,AY3,ROUND($A$3*AZ5/$B$3,2))</f>
        <v>7296.02</v>
      </c>
      <c r="AZ6" s="16" t="s">
        <v>3</v>
      </c>
      <c r="BA6" s="16">
        <f>ROUND($AY$6*BA5/$AZ$5,2)</f>
        <v>6468.65</v>
      </c>
      <c r="BB6" s="16">
        <f>ROUND($AY$6*BB5/$AZ$5,2)</f>
        <v>6468.65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827.37</v>
      </c>
      <c r="BM6" s="16">
        <f t="shared" si="5"/>
        <v>290.10000000000002</v>
      </c>
      <c r="BN6" s="16">
        <f t="shared" si="5"/>
        <v>510.51</v>
      </c>
      <c r="BO6" s="16">
        <f t="shared" si="5"/>
        <v>0</v>
      </c>
      <c r="BP6" s="16">
        <f t="shared" si="5"/>
        <v>0</v>
      </c>
      <c r="BQ6" s="16">
        <f t="shared" si="5"/>
        <v>0</v>
      </c>
      <c r="BR6" s="16">
        <f t="shared" si="5"/>
        <v>26.76</v>
      </c>
      <c r="BS6" s="16">
        <f t="shared" si="5"/>
        <v>0</v>
      </c>
      <c r="BT6" s="22">
        <f t="shared" si="5"/>
        <v>0</v>
      </c>
    </row>
    <row r="7" spans="1:72" s="2168" customFormat="1" ht="24.75">
      <c r="A7" s="2110" t="s">
        <v>1845</v>
      </c>
      <c r="B7" s="2110" t="s">
        <v>1846</v>
      </c>
      <c r="C7" s="2110" t="s">
        <v>1847</v>
      </c>
      <c r="D7" s="2110" t="s">
        <v>1848</v>
      </c>
      <c r="E7" s="2110" t="s">
        <v>1849</v>
      </c>
      <c r="F7" s="2110" t="s">
        <v>1850</v>
      </c>
      <c r="G7" s="2179" t="s">
        <v>1851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1852</v>
      </c>
      <c r="AV7" s="23" t="s">
        <v>1853</v>
      </c>
      <c r="AW7" s="2167" t="s">
        <v>1854</v>
      </c>
      <c r="AX7" s="23" t="s">
        <v>1847</v>
      </c>
      <c r="AY7" s="1805" t="s">
        <v>1855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1856</v>
      </c>
      <c r="H8" s="2185" t="s">
        <v>1857</v>
      </c>
      <c r="I8" s="2186"/>
      <c r="J8" s="1820"/>
      <c r="K8" s="1820"/>
      <c r="L8" s="1820"/>
      <c r="M8" s="1820"/>
      <c r="N8" s="1820"/>
      <c r="O8" s="1820"/>
      <c r="P8" s="1820"/>
      <c r="Q8" s="1820"/>
      <c r="R8" s="1820"/>
      <c r="S8" s="1820"/>
      <c r="T8" s="1820"/>
      <c r="U8" s="1820"/>
      <c r="V8" s="2187"/>
      <c r="W8" s="1820"/>
      <c r="X8" s="1820"/>
      <c r="Y8" s="1820"/>
      <c r="Z8" s="1820"/>
      <c r="AA8" s="2187"/>
      <c r="AB8" s="2188"/>
      <c r="AC8" s="984" t="s">
        <v>1858</v>
      </c>
      <c r="AD8" s="2189"/>
      <c r="AE8" s="2181"/>
      <c r="AF8" s="1820"/>
      <c r="AG8" s="1820"/>
      <c r="AH8" s="1820"/>
      <c r="AI8" s="1820"/>
      <c r="AJ8" s="1820"/>
      <c r="AK8" s="1820"/>
      <c r="AL8" s="1820"/>
      <c r="AM8" s="1820"/>
      <c r="AN8" s="1820"/>
      <c r="AO8" s="1820"/>
      <c r="AP8" s="1820"/>
      <c r="AQ8" s="1820"/>
      <c r="AR8" s="1820"/>
      <c r="AS8" s="1820"/>
      <c r="AT8" s="1295" t="s">
        <v>1859</v>
      </c>
      <c r="AU8" s="2183" t="s">
        <v>1860</v>
      </c>
      <c r="AV8" s="1295"/>
      <c r="AW8" s="2166"/>
      <c r="AX8" s="1295"/>
      <c r="AY8" s="2167" t="s">
        <v>1861</v>
      </c>
      <c r="AZ8" s="1819" t="s">
        <v>1862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5"/>
      <c r="H9" s="2191" t="s">
        <v>1863</v>
      </c>
      <c r="I9" s="2192" t="s">
        <v>3024</v>
      </c>
      <c r="J9" s="984"/>
      <c r="K9" s="2192"/>
      <c r="L9" s="984"/>
      <c r="M9" s="2192"/>
      <c r="N9" s="984"/>
      <c r="O9" s="2192"/>
      <c r="P9" s="984"/>
      <c r="Q9" s="2192"/>
      <c r="R9" s="984"/>
      <c r="S9" s="2192"/>
      <c r="T9" s="984"/>
      <c r="U9" s="2192"/>
      <c r="V9" s="984"/>
      <c r="W9" s="2192"/>
      <c r="X9" s="2193"/>
      <c r="Y9" s="2192"/>
      <c r="Z9" s="984"/>
      <c r="AA9" s="2192"/>
      <c r="AB9" s="984"/>
      <c r="AC9" s="2184" t="s">
        <v>1863</v>
      </c>
      <c r="AD9" s="15" t="s">
        <v>1864</v>
      </c>
      <c r="AE9" s="1301"/>
      <c r="AF9" s="15" t="s">
        <v>1865</v>
      </c>
      <c r="AG9" s="1301"/>
      <c r="AH9" s="15" t="s">
        <v>1864</v>
      </c>
      <c r="AI9" s="1301"/>
      <c r="AJ9" s="15" t="s">
        <v>1865</v>
      </c>
      <c r="AK9" s="1301"/>
      <c r="AL9" s="15" t="s">
        <v>1864</v>
      </c>
      <c r="AM9" s="1301"/>
      <c r="AN9" s="15" t="s">
        <v>1865</v>
      </c>
      <c r="AO9" s="1301"/>
      <c r="AP9" s="15" t="s">
        <v>1864</v>
      </c>
      <c r="AQ9" s="1301"/>
      <c r="AR9" s="15" t="s">
        <v>1865</v>
      </c>
      <c r="AS9" s="2194"/>
      <c r="AT9" s="2183"/>
      <c r="AU9" s="2183" t="s">
        <v>1866</v>
      </c>
      <c r="AV9" s="1295"/>
      <c r="AW9" s="2166"/>
      <c r="AX9" s="1295"/>
      <c r="AY9" s="28"/>
      <c r="AZ9" s="28" t="s">
        <v>1856</v>
      </c>
      <c r="BA9" s="2195" t="s">
        <v>1867</v>
      </c>
      <c r="BB9" s="2196"/>
      <c r="BC9" s="1341"/>
      <c r="BD9" s="1341"/>
      <c r="BE9" s="1341"/>
      <c r="BF9" s="1341"/>
      <c r="BG9" s="1341"/>
      <c r="BH9" s="1341"/>
      <c r="BI9" s="1341"/>
      <c r="BJ9" s="1341"/>
      <c r="BK9" s="2197"/>
      <c r="BL9" s="15" t="s">
        <v>1868</v>
      </c>
      <c r="BM9" s="1820"/>
      <c r="BN9" s="2186"/>
      <c r="BO9" s="1820"/>
      <c r="BP9" s="1820"/>
      <c r="BQ9" s="1820"/>
      <c r="BR9" s="1820"/>
      <c r="BS9" s="1820"/>
      <c r="BT9" s="26"/>
    </row>
    <row r="10" spans="1:72" s="2190" customFormat="1" ht="12.75">
      <c r="A10" s="2183"/>
      <c r="B10" s="2183"/>
      <c r="C10" s="2183"/>
      <c r="D10" s="2183"/>
      <c r="E10" s="2183"/>
      <c r="F10" s="2183"/>
      <c r="G10" s="1295"/>
      <c r="H10" s="28"/>
      <c r="I10" s="2192" t="s">
        <v>3027</v>
      </c>
      <c r="J10" s="984"/>
      <c r="K10" s="2198"/>
      <c r="L10" s="984"/>
      <c r="M10" s="2198"/>
      <c r="N10" s="984"/>
      <c r="O10" s="2198"/>
      <c r="P10" s="984"/>
      <c r="Q10" s="2198"/>
      <c r="R10" s="984"/>
      <c r="S10" s="2198"/>
      <c r="T10" s="984"/>
      <c r="U10" s="2198"/>
      <c r="V10" s="984"/>
      <c r="W10" s="2198"/>
      <c r="X10" s="984"/>
      <c r="Y10" s="2198"/>
      <c r="Z10" s="984"/>
      <c r="AA10" s="2198"/>
      <c r="AB10" s="984"/>
      <c r="AC10" s="1295"/>
      <c r="AD10" s="15" t="s">
        <v>1869</v>
      </c>
      <c r="AE10" s="2199"/>
      <c r="AF10" s="15" t="s">
        <v>1869</v>
      </c>
      <c r="AG10" s="2199"/>
      <c r="AH10" s="15" t="s">
        <v>1870</v>
      </c>
      <c r="AI10" s="2199"/>
      <c r="AJ10" s="15" t="s">
        <v>1870</v>
      </c>
      <c r="AK10" s="2199"/>
      <c r="AL10" s="15" t="s">
        <v>1871</v>
      </c>
      <c r="AM10" s="1301"/>
      <c r="AN10" s="15" t="s">
        <v>1871</v>
      </c>
      <c r="AO10" s="1301"/>
      <c r="AP10" s="15" t="s">
        <v>1872</v>
      </c>
      <c r="AQ10" s="1301"/>
      <c r="AR10" s="15" t="s">
        <v>1872</v>
      </c>
      <c r="AS10" s="1301"/>
      <c r="AT10" s="2183"/>
      <c r="AU10" s="2183"/>
      <c r="AV10" s="1295"/>
      <c r="AW10" s="2166"/>
      <c r="AX10" s="1295"/>
      <c r="AY10" s="28"/>
      <c r="AZ10" s="28"/>
      <c r="BA10" s="2200" t="s">
        <v>1863</v>
      </c>
      <c r="BB10" s="2201" t="str">
        <f>I9</f>
        <v>地上</v>
      </c>
      <c r="BC10" s="29">
        <f>K9</f>
        <v>0</v>
      </c>
      <c r="BD10" s="29">
        <f>M9</f>
        <v>0</v>
      </c>
      <c r="BE10" s="29">
        <f>O9</f>
        <v>0</v>
      </c>
      <c r="BF10" s="29">
        <f>Q9</f>
        <v>0</v>
      </c>
      <c r="BG10" s="29">
        <f>S9</f>
        <v>0</v>
      </c>
      <c r="BH10" s="29">
        <f>U9</f>
        <v>0</v>
      </c>
      <c r="BI10" s="29">
        <f>W9</f>
        <v>0</v>
      </c>
      <c r="BJ10" s="29">
        <f>Y9</f>
        <v>0</v>
      </c>
      <c r="BK10" s="29">
        <f>AA9</f>
        <v>0</v>
      </c>
      <c r="BL10" s="25" t="s">
        <v>1863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5"/>
      <c r="H11" s="2200"/>
      <c r="I11" s="2203" t="s">
        <v>3025</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1873</v>
      </c>
      <c r="AE11" s="1821"/>
      <c r="AF11" s="2205" t="s">
        <v>1873</v>
      </c>
      <c r="AG11" s="1821"/>
      <c r="AH11" s="2205" t="s">
        <v>1874</v>
      </c>
      <c r="AI11" s="2206"/>
      <c r="AJ11" s="2205" t="s">
        <v>1874</v>
      </c>
      <c r="AK11" s="1821"/>
      <c r="AL11" s="1819"/>
      <c r="AM11" s="1821"/>
      <c r="AN11" s="1819"/>
      <c r="AO11" s="1821"/>
      <c r="AP11" s="1819"/>
      <c r="AQ11" s="1821"/>
      <c r="AR11" s="1819"/>
      <c r="AS11" s="1821"/>
      <c r="AT11" s="2166"/>
      <c r="AU11" s="2183"/>
      <c r="AV11" s="1295"/>
      <c r="AW11" s="2166"/>
      <c r="AX11" s="1295"/>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1875</v>
      </c>
      <c r="J12" s="11" t="s">
        <v>1876</v>
      </c>
      <c r="K12" s="11" t="s">
        <v>1875</v>
      </c>
      <c r="L12" s="11" t="s">
        <v>1876</v>
      </c>
      <c r="M12" s="11" t="s">
        <v>1875</v>
      </c>
      <c r="N12" s="11" t="s">
        <v>1876</v>
      </c>
      <c r="O12" s="11" t="s">
        <v>1875</v>
      </c>
      <c r="P12" s="11" t="s">
        <v>1876</v>
      </c>
      <c r="Q12" s="11" t="s">
        <v>1875</v>
      </c>
      <c r="R12" s="11" t="s">
        <v>1876</v>
      </c>
      <c r="S12" s="11" t="s">
        <v>1875</v>
      </c>
      <c r="T12" s="11" t="s">
        <v>1876</v>
      </c>
      <c r="U12" s="11" t="s">
        <v>1875</v>
      </c>
      <c r="V12" s="1804" t="s">
        <v>1876</v>
      </c>
      <c r="W12" s="11" t="s">
        <v>1875</v>
      </c>
      <c r="X12" s="11" t="s">
        <v>1876</v>
      </c>
      <c r="Y12" s="11" t="s">
        <v>1875</v>
      </c>
      <c r="Z12" s="11" t="s">
        <v>1876</v>
      </c>
      <c r="AA12" s="11" t="s">
        <v>1875</v>
      </c>
      <c r="AB12" s="11" t="s">
        <v>1876</v>
      </c>
      <c r="AC12" s="2210"/>
      <c r="AD12" s="1808" t="s">
        <v>1875</v>
      </c>
      <c r="AE12" s="11" t="s">
        <v>1876</v>
      </c>
      <c r="AF12" s="11" t="s">
        <v>1875</v>
      </c>
      <c r="AG12" s="11" t="s">
        <v>1876</v>
      </c>
      <c r="AH12" s="11" t="s">
        <v>1875</v>
      </c>
      <c r="AI12" s="11" t="s">
        <v>1876</v>
      </c>
      <c r="AJ12" s="11" t="s">
        <v>1875</v>
      </c>
      <c r="AK12" s="11" t="s">
        <v>1876</v>
      </c>
      <c r="AL12" s="11" t="s">
        <v>1875</v>
      </c>
      <c r="AM12" s="11" t="s">
        <v>1876</v>
      </c>
      <c r="AN12" s="11" t="s">
        <v>1875</v>
      </c>
      <c r="AO12" s="11" t="s">
        <v>1876</v>
      </c>
      <c r="AP12" s="11" t="s">
        <v>1875</v>
      </c>
      <c r="AQ12" s="11" t="s">
        <v>1876</v>
      </c>
      <c r="AR12" s="30" t="s">
        <v>1875</v>
      </c>
      <c r="AS12" s="2208" t="s">
        <v>1876</v>
      </c>
      <c r="AT12" s="2211"/>
      <c r="AU12" s="2208"/>
      <c r="AV12" s="31"/>
      <c r="AW12" s="2167"/>
      <c r="AX12" s="31"/>
      <c r="AY12" s="2212"/>
      <c r="AZ12" s="28"/>
      <c r="BA12" s="2200"/>
      <c r="BB12" s="24" t="str">
        <f>I11</f>
        <v>高层住宅用房</v>
      </c>
      <c r="BC12" s="2213">
        <f>K11</f>
        <v>0</v>
      </c>
      <c r="BD12" s="2213">
        <f>M11</f>
        <v>0</v>
      </c>
      <c r="BE12" s="2188">
        <f>O11</f>
        <v>0</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3028</v>
      </c>
      <c r="E13" s="16">
        <f>IF($C$3="是",ROUND($A$3*G13/$B$3,2),ROUND($A$3*(G13-AT13)/$B$3,2))</f>
        <v>7296.02</v>
      </c>
      <c r="F13" s="32"/>
      <c r="G13" s="33">
        <f>H13+AC13+AT13</f>
        <v>19689.989999999998</v>
      </c>
      <c r="H13" s="20">
        <f>SUMIF(I$12:AB$12,"总值",I13:AB13)</f>
        <v>17457.14</v>
      </c>
      <c r="I13" s="2215">
        <v>17457.14</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2232.85</v>
      </c>
      <c r="AD13" s="2216">
        <v>782.9</v>
      </c>
      <c r="AE13" s="2216"/>
      <c r="AF13" s="2216">
        <f>338.22+1039.5</f>
        <v>1377.72</v>
      </c>
      <c r="AG13" s="2216"/>
      <c r="AH13" s="2216"/>
      <c r="AI13" s="2216"/>
      <c r="AJ13" s="2216"/>
      <c r="AK13" s="2216"/>
      <c r="AL13" s="2216"/>
      <c r="AM13" s="2216"/>
      <c r="AN13" s="2216">
        <v>72.23</v>
      </c>
      <c r="AO13" s="2216"/>
      <c r="AP13" s="2216"/>
      <c r="AQ13" s="2216"/>
      <c r="AR13" s="2216"/>
      <c r="AS13" s="2216"/>
      <c r="AT13" s="2217"/>
      <c r="AU13" s="2218"/>
      <c r="AV13" s="11">
        <f t="shared" ref="AV13:AX17" si="6">A13</f>
        <v>0</v>
      </c>
      <c r="AW13" s="11">
        <f t="shared" si="6"/>
        <v>0</v>
      </c>
      <c r="AX13" s="11">
        <f t="shared" si="6"/>
        <v>0</v>
      </c>
      <c r="AY13" s="1808">
        <f>ROUND($AY$6*AZ13/$AZ$5,2)</f>
        <v>7296.02</v>
      </c>
      <c r="AZ13" s="16">
        <f>BA13+BL13</f>
        <v>19689.989999999998</v>
      </c>
      <c r="BA13" s="16">
        <f>SUM(BB13:BK13)</f>
        <v>17457.14</v>
      </c>
      <c r="BB13" s="16">
        <f>IF($D13="是",I13-J13,0)</f>
        <v>17457.14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2232.85</v>
      </c>
      <c r="BM13" s="16">
        <f>IF($D13="是",AD13-AE13,0)</f>
        <v>782.9</v>
      </c>
      <c r="BN13" s="16">
        <f>IF($D13="是",AF13-AG13,0)</f>
        <v>1377.72</v>
      </c>
      <c r="BO13" s="16">
        <f>IF($D13="是",AH13-AI13,0)</f>
        <v>0</v>
      </c>
      <c r="BP13" s="16">
        <f>IF($D13="是",AJ13-AK13,0)</f>
        <v>0</v>
      </c>
      <c r="BQ13" s="16">
        <f>IF($D13="是",AL13-AM13,0)</f>
        <v>0</v>
      </c>
      <c r="BR13" s="16">
        <f>IF($D13="是",AN13-AO13,0)</f>
        <v>72.23</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1902</v>
      </c>
      <c r="B1" s="1395"/>
      <c r="C1" s="1395"/>
      <c r="D1" s="1395"/>
      <c r="E1" s="1395"/>
      <c r="F1" s="1395"/>
      <c r="G1" s="1395"/>
      <c r="H1" s="1395"/>
      <c r="I1" s="1395"/>
      <c r="J1" s="1395"/>
      <c r="K1" s="1395"/>
      <c r="L1" s="1395"/>
      <c r="M1" s="1395"/>
      <c r="N1" s="1395"/>
      <c r="O1" s="1395"/>
      <c r="P1" s="1395"/>
    </row>
    <row r="2" spans="1:16" ht="15">
      <c r="A2" s="3042" t="s">
        <v>1903</v>
      </c>
      <c r="B2" s="3042"/>
      <c r="C2" s="3042"/>
      <c r="D2" s="970" t="s">
        <v>1879</v>
      </c>
      <c r="E2" s="2228" t="s">
        <v>1880</v>
      </c>
      <c r="F2" s="1395"/>
      <c r="G2" s="2229"/>
      <c r="H2" s="2230"/>
      <c r="I2" s="2231" t="s">
        <v>1904</v>
      </c>
      <c r="J2" s="1395"/>
      <c r="K2" s="1395"/>
      <c r="L2" s="1395"/>
      <c r="M2" s="1395"/>
      <c r="N2" s="1430"/>
      <c r="O2" s="1395"/>
      <c r="P2" s="1395"/>
    </row>
    <row r="3" spans="1:16" ht="15.75" thickBot="1">
      <c r="A3" s="3043" t="s">
        <v>1877</v>
      </c>
      <c r="B3" s="3043"/>
      <c r="C3" s="3043"/>
      <c r="D3" s="46">
        <f>'数据-基础表'!AY6</f>
        <v>7296.02</v>
      </c>
      <c r="E3" s="46">
        <f>'数据-基础表'!AZ5</f>
        <v>19689.989999999998</v>
      </c>
      <c r="F3" s="1395"/>
      <c r="G3" s="1402"/>
      <c r="H3" s="1250" t="s">
        <v>1878</v>
      </c>
      <c r="I3" s="55">
        <f>ROUND('数据-基础表'!B3/'数据-基础表'!A3,2)</f>
        <v>2.7</v>
      </c>
      <c r="J3" s="1395"/>
      <c r="K3" s="1395"/>
      <c r="L3" s="1395"/>
      <c r="M3" s="1395"/>
      <c r="N3" s="1430"/>
      <c r="O3" s="1395"/>
      <c r="P3" s="1395"/>
    </row>
    <row r="4" spans="1:16" ht="15">
      <c r="A4" s="3044"/>
      <c r="B4" s="3045"/>
      <c r="C4" s="3046"/>
      <c r="D4" s="2232" t="s">
        <v>1879</v>
      </c>
      <c r="E4" s="2233" t="s">
        <v>1880</v>
      </c>
      <c r="F4" s="1395"/>
      <c r="G4" s="2234" t="s">
        <v>1905</v>
      </c>
      <c r="H4" s="1250" t="s">
        <v>1885</v>
      </c>
      <c r="I4" s="55">
        <f>ROUND(SUMIF('数据-基础表'!I9:AS9,"地上",'数据-基础表'!I5:AS5)/'数据-基础表'!A3,2)</f>
        <v>2.5</v>
      </c>
      <c r="J4" s="1395"/>
      <c r="K4" s="1395"/>
      <c r="L4" s="1395"/>
      <c r="M4" s="1395"/>
      <c r="N4" s="1430"/>
      <c r="O4" s="1395"/>
      <c r="P4" s="1395"/>
    </row>
    <row r="5" spans="1:16">
      <c r="A5" s="47" t="s">
        <v>1881</v>
      </c>
      <c r="B5" s="3047" t="s">
        <v>1882</v>
      </c>
      <c r="C5" s="3047"/>
      <c r="D5" s="48">
        <f>ROUND($D$3*E5/$E$3,2)</f>
        <v>6468.65</v>
      </c>
      <c r="E5" s="49">
        <f>SUMIF('数据-基础表'!$11:$11,"住宅",'数据-基础表'!$5:$5)</f>
        <v>17457.14</v>
      </c>
      <c r="F5" s="1395"/>
      <c r="G5" s="1402"/>
      <c r="H5" s="1250" t="s">
        <v>1878</v>
      </c>
      <c r="I5" s="55">
        <f>ROUND(E31/D31,2)</f>
        <v>2.7</v>
      </c>
      <c r="J5" s="1395"/>
      <c r="K5" s="1395"/>
      <c r="L5" s="1395"/>
      <c r="M5" s="1395"/>
      <c r="N5" s="1395"/>
      <c r="O5" s="1395"/>
      <c r="P5" s="1395"/>
    </row>
    <row r="6" spans="1:16" ht="15" thickBot="1">
      <c r="A6" s="2235"/>
      <c r="B6" s="3047" t="s">
        <v>1883</v>
      </c>
      <c r="C6" s="3047"/>
      <c r="D6" s="48">
        <f>ROUND($D$3*E6/$E$3,2)</f>
        <v>827.37</v>
      </c>
      <c r="E6" s="49">
        <f>E3-E5</f>
        <v>2232.8499999999985</v>
      </c>
      <c r="F6" s="1395"/>
      <c r="G6" s="2236" t="s">
        <v>1884</v>
      </c>
      <c r="H6" s="1402" t="s">
        <v>1885</v>
      </c>
      <c r="I6" s="942">
        <f>ROUND(F31/D31,2)</f>
        <v>2.5</v>
      </c>
      <c r="J6" s="1395"/>
      <c r="K6" s="1395"/>
      <c r="L6" s="1395"/>
      <c r="M6" s="1395"/>
      <c r="N6" s="1395"/>
      <c r="O6" s="1395"/>
      <c r="P6" s="1395"/>
    </row>
    <row r="7" spans="1:16" ht="15">
      <c r="A7" s="3039"/>
      <c r="B7" s="3040"/>
      <c r="C7" s="3041"/>
      <c r="D7" s="2232" t="s">
        <v>1879</v>
      </c>
      <c r="E7" s="2237" t="s">
        <v>1886</v>
      </c>
      <c r="F7" s="1395"/>
      <c r="G7" s="2229" t="s">
        <v>1887</v>
      </c>
      <c r="H7" s="64"/>
      <c r="I7" s="420"/>
      <c r="J7" s="1395"/>
      <c r="K7" s="1395"/>
      <c r="L7" s="1395"/>
      <c r="M7" s="1395"/>
      <c r="N7" s="1395"/>
      <c r="O7" s="1395"/>
      <c r="P7" s="1395"/>
    </row>
    <row r="8" spans="1:16">
      <c r="A8" s="47" t="s">
        <v>1888</v>
      </c>
      <c r="B8" s="50" t="s">
        <v>1889</v>
      </c>
      <c r="C8" s="48" t="s">
        <v>1890</v>
      </c>
      <c r="D8" s="48">
        <f t="shared" ref="D8:D15" si="0">ROUND($D$3*E8/$E$3,2)</f>
        <v>6468.65</v>
      </c>
      <c r="E8" s="51">
        <f>SUMIF('数据-基础表'!BB10:BK10,"地上",'数据-基础表'!BB5:BK5)</f>
        <v>17457.14</v>
      </c>
      <c r="F8" s="1395"/>
      <c r="G8" s="2238"/>
      <c r="H8" s="2238"/>
      <c r="I8" s="1395"/>
      <c r="J8" s="1395"/>
      <c r="K8" s="1395"/>
      <c r="L8" s="1395"/>
      <c r="M8" s="1395"/>
      <c r="N8" s="1395"/>
      <c r="O8" s="1395"/>
      <c r="P8" s="1395"/>
    </row>
    <row r="9" spans="1:16">
      <c r="A9" s="2239"/>
      <c r="B9" s="2240"/>
      <c r="C9" s="48" t="s">
        <v>1891</v>
      </c>
      <c r="D9" s="48">
        <f t="shared" si="0"/>
        <v>0</v>
      </c>
      <c r="E9" s="52">
        <v>0</v>
      </c>
      <c r="F9" s="1395"/>
      <c r="G9" s="2238"/>
      <c r="H9" s="2238"/>
      <c r="I9" s="1395"/>
      <c r="J9" s="1395"/>
      <c r="K9" s="1395"/>
      <c r="L9" s="1395"/>
      <c r="M9" s="1395"/>
      <c r="N9" s="1395"/>
      <c r="O9" s="1395"/>
      <c r="P9" s="1395"/>
    </row>
    <row r="10" spans="1:16">
      <c r="A10" s="2239"/>
      <c r="B10" s="2240"/>
      <c r="C10" s="48" t="s">
        <v>1900</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1892</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1893</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1894</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1906</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1901</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1895</v>
      </c>
      <c r="D16" s="50">
        <f>SUM(D8:D15)</f>
        <v>6468.65</v>
      </c>
      <c r="E16" s="53">
        <f>SUM(E8:E15)</f>
        <v>17457.14</v>
      </c>
      <c r="F16" s="1395"/>
      <c r="G16" s="2238"/>
      <c r="H16" s="2241" t="s">
        <v>1907</v>
      </c>
      <c r="I16" s="2242"/>
      <c r="J16" s="1395"/>
      <c r="K16" s="3036" t="s">
        <v>1907</v>
      </c>
      <c r="L16" s="3037"/>
      <c r="M16" s="3037"/>
      <c r="N16" s="3037"/>
      <c r="O16" s="3037"/>
      <c r="P16" s="3038"/>
    </row>
    <row r="17" spans="1:19" ht="15">
      <c r="A17" s="2243" t="s">
        <v>1908</v>
      </c>
      <c r="B17" s="2244" t="s">
        <v>1909</v>
      </c>
      <c r="C17" s="2245" t="s">
        <v>1910</v>
      </c>
      <c r="D17" s="2246" t="s">
        <v>1898</v>
      </c>
      <c r="E17" s="2247" t="s">
        <v>1899</v>
      </c>
      <c r="F17" s="2248"/>
      <c r="G17" s="2249"/>
      <c r="H17" s="2250" t="s">
        <v>1911</v>
      </c>
      <c r="I17" s="2251" t="s">
        <v>1896</v>
      </c>
      <c r="J17" s="1395"/>
      <c r="K17" s="3033" t="s">
        <v>1912</v>
      </c>
      <c r="L17" s="3034"/>
      <c r="M17" s="3035"/>
      <c r="N17" s="3033" t="s">
        <v>1913</v>
      </c>
      <c r="O17" s="3034"/>
      <c r="P17" s="3035"/>
      <c r="R17" s="2229" t="s">
        <v>1914</v>
      </c>
      <c r="S17" s="64"/>
    </row>
    <row r="18" spans="1:19" ht="15">
      <c r="A18" s="2239"/>
      <c r="B18" s="2252"/>
      <c r="C18" s="2253"/>
      <c r="D18" s="2254"/>
      <c r="E18" s="2255" t="s">
        <v>1915</v>
      </c>
      <c r="F18" s="2256" t="s">
        <v>1916</v>
      </c>
      <c r="G18" s="2257" t="s">
        <v>1917</v>
      </c>
      <c r="H18" s="1265" t="s">
        <v>1918</v>
      </c>
      <c r="I18" s="2258" t="s">
        <v>1919</v>
      </c>
      <c r="J18" s="1395"/>
      <c r="K18" s="1265" t="s">
        <v>1920</v>
      </c>
      <c r="L18" s="2259" t="s">
        <v>1921</v>
      </c>
      <c r="M18" s="1049" t="s">
        <v>1922</v>
      </c>
      <c r="N18" s="1265" t="s">
        <v>1920</v>
      </c>
      <c r="O18" s="2259" t="s">
        <v>1921</v>
      </c>
      <c r="P18" s="1049" t="s">
        <v>1922</v>
      </c>
      <c r="R18" s="1250" t="s">
        <v>1923</v>
      </c>
      <c r="S18" s="1250" t="s">
        <v>1924</v>
      </c>
    </row>
    <row r="19" spans="1:19">
      <c r="A19" s="2260"/>
      <c r="B19" s="50" t="s">
        <v>1897</v>
      </c>
      <c r="C19" s="2261" t="str">
        <f>定义!A3</f>
        <v>高层住宅用房</v>
      </c>
      <c r="D19" s="48">
        <f>ROUND($D$3*E19/$E$3,2)</f>
        <v>6468.65</v>
      </c>
      <c r="E19" s="56">
        <f t="shared" ref="E19:E26" si="1">SUM(F19:G19)</f>
        <v>17457.14</v>
      </c>
      <c r="F19" s="57">
        <f>'数据-基础表'!I13</f>
        <v>17457.14</v>
      </c>
      <c r="G19" s="58"/>
      <c r="H19" s="723">
        <f>ROUND($D$3*I19/$E$3,2)</f>
        <v>827.37</v>
      </c>
      <c r="I19" s="51">
        <f t="shared" ref="I19:I26" si="2">IF($I$17="自定义",P19,M19)</f>
        <v>2232.85</v>
      </c>
      <c r="J19" s="1395"/>
      <c r="K19" s="1394">
        <f t="shared" ref="K19:K26" si="3">ROUND(E$28*E19/E$27,2)</f>
        <v>72.23</v>
      </c>
      <c r="L19" s="1250">
        <f t="shared" ref="L19:L26" si="4">ROUND(IF(COUNTIF(C19,"*住宅*")&gt;0,E$29*E19/E$32,0),2)</f>
        <v>2160.62</v>
      </c>
      <c r="M19" s="1406">
        <f>K19+L19</f>
        <v>2232.85</v>
      </c>
      <c r="N19" s="2262"/>
      <c r="O19" s="2263"/>
      <c r="P19" s="1406">
        <f>N19+O19</f>
        <v>0</v>
      </c>
      <c r="R19" s="1250">
        <f t="shared" ref="R19:S26" si="5">D19+H19</f>
        <v>7296.0199999999995</v>
      </c>
      <c r="S19" s="1251">
        <f t="shared" si="5"/>
        <v>19689.989999999998</v>
      </c>
    </row>
    <row r="20" spans="1:19">
      <c r="A20" s="2264"/>
      <c r="B20" s="50" t="s">
        <v>1925</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1925</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1925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1925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1925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1925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1925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1926</v>
      </c>
      <c r="D27" s="1396">
        <f>SUM(D19:D26)</f>
        <v>6468.65</v>
      </c>
      <c r="E27" s="1397">
        <f>IF(SUM(E19:E26)='数据-基础表'!BA5,SUM(E19:E26),IF(F27="地上面积有误","面积有误","地下面积有误"))</f>
        <v>17457.14</v>
      </c>
      <c r="F27" s="1396">
        <f>IF(SUM(F19:F26)=E8,SUM(F19:F26),"地上面积有误")</f>
        <v>17457.14</v>
      </c>
      <c r="G27" s="1398">
        <f>SUM(G19:G26)</f>
        <v>0</v>
      </c>
      <c r="H27" s="1399">
        <f>SUM(H19:H26)</f>
        <v>827.37</v>
      </c>
      <c r="I27" s="1400">
        <f>SUM(I19:I26)</f>
        <v>2232.85</v>
      </c>
      <c r="J27" s="1395"/>
      <c r="K27" s="1403">
        <f>SUM(K19:K26)</f>
        <v>72.23</v>
      </c>
      <c r="L27" s="1404">
        <f>SUM(L19:L26)</f>
        <v>2160.62</v>
      </c>
      <c r="M27" s="1407">
        <f>SUM(M19:M26)</f>
        <v>2232.85</v>
      </c>
      <c r="N27" s="1403">
        <f t="shared" ref="N27:O27" si="10">SUM(N19:N26)</f>
        <v>0</v>
      </c>
      <c r="O27" s="1404">
        <f t="shared" si="10"/>
        <v>0</v>
      </c>
      <c r="P27" s="1405">
        <f>SUM(P19:P26)</f>
        <v>0</v>
      </c>
      <c r="R27" s="1252">
        <f>IF(SUM(R19:R26)=$D$3,SUM(R19:R26),SUM(R19:R26)&amp;"误差"&amp;ROUND(SUM(R19:R26)-$D$3,2))</f>
        <v>7296.0199999999995</v>
      </c>
      <c r="S27" s="1250">
        <f>IF(SUM(S19:S26)=$E$3,SUM(S19:S26),SUM(S19:S26)&amp;"误差"&amp;ROUND(SUM(S19:S26)-E3,2))</f>
        <v>19689.989999999998</v>
      </c>
    </row>
    <row r="28" spans="1:19">
      <c r="A28" s="2264"/>
      <c r="B28" s="50" t="s">
        <v>1927</v>
      </c>
      <c r="C28" s="1262" t="s">
        <v>1928</v>
      </c>
      <c r="D28" s="48">
        <f>ROUND($D$3*E28/$E$3,2)</f>
        <v>26.76</v>
      </c>
      <c r="E28" s="56">
        <f>SUM(F28:G28)</f>
        <v>72.23</v>
      </c>
      <c r="F28" s="64">
        <f>'数据-基础表'!BQ5+'数据-基础表'!BS5</f>
        <v>0</v>
      </c>
      <c r="G28" s="65">
        <f>'数据-基础表'!BR5+'数据-基础表'!BT5</f>
        <v>72.23</v>
      </c>
      <c r="H28" s="1395"/>
      <c r="I28" s="1395"/>
      <c r="J28" s="1395"/>
      <c r="K28" s="1395"/>
      <c r="L28" s="1395"/>
      <c r="M28" s="1395"/>
      <c r="N28" s="1395"/>
      <c r="O28" s="1395"/>
      <c r="P28" s="1395"/>
    </row>
    <row r="29" spans="1:19">
      <c r="A29" s="2264"/>
      <c r="B29" s="50" t="s">
        <v>1927</v>
      </c>
      <c r="C29" s="2268" t="s">
        <v>1929</v>
      </c>
      <c r="D29" s="48">
        <f>ROUND($D$3*E29/$E$3,2)</f>
        <v>800.61</v>
      </c>
      <c r="E29" s="56">
        <f>SUM(F29:G29)</f>
        <v>2160.62</v>
      </c>
      <c r="F29" s="66">
        <f>'数据-基础表'!BM5+'数据-基础表'!BO5</f>
        <v>782.9</v>
      </c>
      <c r="G29" s="67">
        <f>'数据-基础表'!BN5+'数据-基础表'!BP5</f>
        <v>1377.72</v>
      </c>
      <c r="H29" s="1395"/>
      <c r="I29" s="1395"/>
      <c r="J29" s="1395"/>
      <c r="K29" s="1395"/>
      <c r="L29" s="1395"/>
      <c r="M29" s="1395"/>
      <c r="N29" s="1395"/>
      <c r="O29" s="1395"/>
      <c r="P29" s="1395"/>
    </row>
    <row r="30" spans="1:19" ht="15">
      <c r="A30" s="2264"/>
      <c r="B30" s="50"/>
      <c r="C30" s="2269" t="s">
        <v>1926</v>
      </c>
      <c r="D30" s="1396">
        <f>SUM(D28:D29)</f>
        <v>827.37</v>
      </c>
      <c r="E30" s="1396">
        <f>SUM(E28:E29)</f>
        <v>2232.85</v>
      </c>
      <c r="F30" s="1396">
        <f>SUM(F28:F29)</f>
        <v>782.9</v>
      </c>
      <c r="G30" s="1398">
        <f>SUM(G28:G29)</f>
        <v>1449.95</v>
      </c>
      <c r="H30" s="1395"/>
      <c r="I30" s="1395"/>
      <c r="J30" s="1395"/>
      <c r="K30" s="1395"/>
      <c r="L30" s="1395"/>
      <c r="M30" s="1395"/>
      <c r="N30" s="1395"/>
      <c r="O30" s="1395"/>
      <c r="P30" s="1395"/>
    </row>
    <row r="31" spans="1:19" ht="15.75" thickBot="1">
      <c r="A31" s="2270"/>
      <c r="B31" s="2271"/>
      <c r="C31" s="1010" t="s">
        <v>1930</v>
      </c>
      <c r="D31" s="729">
        <f>D27+D30</f>
        <v>7296.0199999999995</v>
      </c>
      <c r="E31" s="729">
        <f>E27+E30</f>
        <v>19689.989999999998</v>
      </c>
      <c r="F31" s="730">
        <f>F27+F30</f>
        <v>18240.04</v>
      </c>
      <c r="G31" s="731">
        <f>G27+G30</f>
        <v>1449.95</v>
      </c>
      <c r="H31" s="1395"/>
      <c r="I31" s="1395"/>
      <c r="J31" s="1395"/>
      <c r="K31" s="1395"/>
      <c r="L31" s="1395"/>
      <c r="M31" s="1395"/>
      <c r="N31" s="1395"/>
      <c r="O31" s="1395"/>
      <c r="P31" s="1395"/>
    </row>
    <row r="32" spans="1:19">
      <c r="A32" s="2234"/>
      <c r="B32" s="2234" t="s">
        <v>1931</v>
      </c>
      <c r="C32" s="2234"/>
      <c r="D32" s="2234"/>
      <c r="E32" s="1277">
        <f>SUMIF(C19:C26,"*住宅*",E19:E26)</f>
        <v>17457.14</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4" sqref="H24"/>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1932</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1933</v>
      </c>
      <c r="B2" s="1269">
        <f>项目基本情况!D3</f>
        <v>43420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1934</v>
      </c>
      <c r="B4" s="2282"/>
      <c r="C4" s="2283"/>
      <c r="D4" s="2284"/>
      <c r="E4" s="2283" t="s">
        <v>1935</v>
      </c>
      <c r="F4" s="2283"/>
      <c r="G4" s="2283"/>
      <c r="H4" s="2283"/>
      <c r="I4" s="2283"/>
      <c r="J4" s="2285"/>
      <c r="K4" s="2286"/>
      <c r="L4" s="2287"/>
      <c r="M4" s="2283"/>
      <c r="N4" s="2283" t="s">
        <v>1936</v>
      </c>
      <c r="O4" s="2283"/>
      <c r="P4" s="2283"/>
      <c r="Q4" s="2283"/>
      <c r="R4" s="2283"/>
      <c r="S4" s="2285"/>
      <c r="T4" s="2288" t="str">
        <f>'数据-汇总表'!I17</f>
        <v>按面积比例</v>
      </c>
      <c r="U4" s="2282" t="s">
        <v>1937</v>
      </c>
      <c r="V4" s="2283"/>
      <c r="W4" s="2283"/>
      <c r="X4" s="2283"/>
      <c r="Y4" s="2285"/>
      <c r="Z4" s="2245" t="s">
        <v>1938</v>
      </c>
      <c r="AA4" s="2245"/>
      <c r="AB4" s="2245"/>
      <c r="AC4" s="2245"/>
      <c r="AD4" s="2245"/>
      <c r="AE4" s="2243" t="s">
        <v>1939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1940</v>
      </c>
      <c r="B5" s="2291" t="s">
        <v>1941</v>
      </c>
      <c r="C5" s="2292" t="s">
        <v>1942</v>
      </c>
      <c r="D5" s="2293" t="s">
        <v>1943</v>
      </c>
      <c r="E5" s="1271" t="s">
        <v>1944</v>
      </c>
      <c r="F5" s="2294" t="s">
        <v>1945</v>
      </c>
      <c r="G5" s="1271" t="s">
        <v>1946</v>
      </c>
      <c r="H5" s="1271" t="s">
        <v>1947</v>
      </c>
      <c r="I5" s="1271" t="s">
        <v>1948</v>
      </c>
      <c r="J5" s="2295" t="s">
        <v>1949</v>
      </c>
      <c r="K5" s="2296" t="s">
        <v>1950</v>
      </c>
      <c r="L5" s="2297" t="s">
        <v>1951</v>
      </c>
      <c r="M5" s="2298" t="s">
        <v>1952</v>
      </c>
      <c r="N5" s="2299" t="s">
        <v>1953</v>
      </c>
      <c r="O5" s="2297" t="s">
        <v>1954</v>
      </c>
      <c r="P5" s="2300" t="s">
        <v>1955</v>
      </c>
      <c r="Q5" s="69" t="s">
        <v>1956</v>
      </c>
      <c r="R5" s="2301" t="s">
        <v>1957</v>
      </c>
      <c r="S5" s="2302" t="s">
        <v>1958</v>
      </c>
      <c r="T5" s="2303" t="s">
        <v>1959</v>
      </c>
      <c r="U5" s="1270" t="s">
        <v>1960</v>
      </c>
      <c r="V5" s="1271" t="s">
        <v>1961</v>
      </c>
      <c r="W5" s="1271" t="s">
        <v>1962</v>
      </c>
      <c r="X5" s="71"/>
      <c r="Y5" s="70" t="s">
        <v>1963</v>
      </c>
      <c r="Z5" s="2304" t="s">
        <v>1960</v>
      </c>
      <c r="AA5" s="1271" t="s">
        <v>1961</v>
      </c>
      <c r="AB5" s="1271" t="s">
        <v>1962</v>
      </c>
      <c r="AC5" s="71"/>
      <c r="AD5" s="71" t="s">
        <v>1963</v>
      </c>
      <c r="AE5" s="1270" t="s">
        <v>1964</v>
      </c>
      <c r="AF5" s="1271" t="s">
        <v>1965</v>
      </c>
      <c r="AG5" s="70" t="s">
        <v>1966</v>
      </c>
      <c r="AH5" s="1270" t="s">
        <v>1967</v>
      </c>
      <c r="AI5" s="2304" t="s">
        <v>1968</v>
      </c>
      <c r="AJ5" s="2304" t="s">
        <v>1969</v>
      </c>
      <c r="AK5" s="1271" t="s">
        <v>1970</v>
      </c>
      <c r="AL5" s="1271" t="s">
        <v>1971</v>
      </c>
      <c r="AM5" s="70" t="s">
        <v>1972</v>
      </c>
      <c r="AN5" s="2305" t="s">
        <v>1973</v>
      </c>
      <c r="AO5" s="2075" t="s">
        <v>1974</v>
      </c>
      <c r="AP5" s="1252" t="s">
        <v>1975</v>
      </c>
      <c r="AQ5" s="2306" t="s">
        <v>1976</v>
      </c>
      <c r="AR5" s="2306" t="s">
        <v>1977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高层住宅用房</v>
      </c>
      <c r="B6" s="2308" t="str">
        <f>IF(A6=0,"","经营性")</f>
        <v>经营性</v>
      </c>
      <c r="C6" s="2309" t="s">
        <v>3027</v>
      </c>
      <c r="D6" s="1054">
        <f>SUMIF(项目基本情况!D$12:I$12,C6,项目基本情况!D$14:I$14)</f>
        <v>70</v>
      </c>
      <c r="E6" s="1051">
        <f>IF(B6="","",SUMIF(项目基本情况!D$12:I$12,C6,项目基本情况!D$13:I$13))</f>
        <v>67198</v>
      </c>
      <c r="F6" s="72">
        <f>SUMIF(项目基本情况!D$12:I$12,C6,项目基本情况!D$15:I$15)</f>
        <v>65.14</v>
      </c>
      <c r="G6" s="73">
        <f>IF(ISERROR(ROUND(POWER(1+H6,D6-F6)*(POWER(1+H6,F6)-1)/(POWER(1+H6,D6)-1),3)),0,ROUND(POWER(1+H6,D6-F6)*(POWER(1+H6,F6)-1)/(POWER(1+H6,D6)-1),3))</f>
        <v>0.99099999999999999</v>
      </c>
      <c r="H6" s="802">
        <v>0.05</v>
      </c>
      <c r="I6" s="802">
        <v>5.5E-2</v>
      </c>
      <c r="J6" s="74">
        <v>8.5000000000000006E-2</v>
      </c>
      <c r="K6" s="1254">
        <f>SUMIF('数据-汇总表'!C$19:C$33,A6,'数据-汇总表'!E$19:E$33)</f>
        <v>17457.14</v>
      </c>
      <c r="L6" s="803">
        <v>3000</v>
      </c>
      <c r="M6" s="75">
        <f t="shared" ref="M6:M14" si="0">ROUND(K6*L6/10000,0)</f>
        <v>5237</v>
      </c>
      <c r="N6" s="801">
        <v>0.35</v>
      </c>
      <c r="O6" s="75">
        <f>IF($N$5="成新度","——",ROUND(M6*N6,0))</f>
        <v>1833</v>
      </c>
      <c r="P6" s="76">
        <f>IF($N$5="成新度","——",M6-O6)</f>
        <v>3404</v>
      </c>
      <c r="Q6" s="804">
        <v>0.3</v>
      </c>
      <c r="R6" s="77">
        <f ca="1">SUMIF('数据-汇总表'!C$19:C$33,A6,'数据-汇总表'!R$19:R$27)</f>
        <v>7296.0199999999995</v>
      </c>
      <c r="S6" s="54">
        <f>IF('数据-汇总表'!$I$17="按面积比例",SUMIF('数据-汇总表'!C$19:C$33,A6,'数据-汇总表'!K$19:K$33),SUMIF('数据-汇总表'!C$19:C$33,A6,'数据-汇总表'!N$19:N$33))</f>
        <v>72.23</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0.02</v>
      </c>
      <c r="AL6" s="88">
        <v>2E-3</v>
      </c>
      <c r="AM6" s="89">
        <v>0.02</v>
      </c>
      <c r="AN6" s="2310"/>
      <c r="AO6" s="55" t="e">
        <f ca="1">SUMIF(INDIRECT("'"&amp;AN6&amp;"'"&amp;"!A:A"),"总价",INDIRECT("'"&amp;AN6&amp;"'"&amp;"!B:B"))</f>
        <v>#REF!</v>
      </c>
      <c r="AP6" s="2311">
        <f>IF(C6="住宅",K6*L6,0)</f>
        <v>52371420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1978</v>
      </c>
      <c r="B14" s="2308" t="s">
        <v>1979</v>
      </c>
      <c r="C14" s="2313" t="s">
        <v>1978</v>
      </c>
      <c r="D14" s="1054"/>
      <c r="E14" s="1051"/>
      <c r="F14" s="72"/>
      <c r="G14" s="73"/>
      <c r="H14" s="1253"/>
      <c r="I14" s="1253"/>
      <c r="J14" s="1253"/>
      <c r="K14" s="1254">
        <f>SUMIF('数据-汇总表'!C$19:C$33,A14,'数据-汇总表'!E$19:E$33)</f>
        <v>72.23</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1980</v>
      </c>
      <c r="B15" s="2308" t="s">
        <v>1979</v>
      </c>
      <c r="C15" s="2313" t="s">
        <v>1981</v>
      </c>
      <c r="D15" s="1054"/>
      <c r="E15" s="1051"/>
      <c r="F15" s="72"/>
      <c r="G15" s="73"/>
      <c r="H15" s="1253"/>
      <c r="I15" s="1253"/>
      <c r="J15" s="1253"/>
      <c r="K15" s="1254">
        <f>SUMIF('数据-汇总表'!C$19:C$33,A15,'数据-汇总表'!E$19:E$33)</f>
        <v>2160.62</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1982</v>
      </c>
      <c r="B16" s="97"/>
      <c r="C16" s="1008"/>
      <c r="D16" s="2315"/>
      <c r="E16" s="97"/>
      <c r="F16" s="97"/>
      <c r="G16" s="98">
        <f>ROUND(SUMPRODUCT(G6:G13,K6:K13)/SUMPRODUCT((G6:G13&gt;0)*(K6:K13)),3)</f>
        <v>0.99099999999999999</v>
      </c>
      <c r="H16" s="99">
        <f>ROUND(SUMPRODUCT(H6:H13,K6:K13)/SUMPRODUCT((H6:H13&gt;0)*(K6:K13)),3)</f>
        <v>0.05</v>
      </c>
      <c r="I16" s="100"/>
      <c r="J16" s="100"/>
      <c r="K16" s="101">
        <f>SUM(K6:K15)</f>
        <v>19689.989999999998</v>
      </c>
      <c r="L16" s="102">
        <f>ROUND(M16*10000/SUM(K6:K14),0)</f>
        <v>2988</v>
      </c>
      <c r="M16" s="102">
        <f>SUM(M6:M14)</f>
        <v>5237</v>
      </c>
      <c r="N16" s="103">
        <f>ROUND(SUMPRODUCT(M6:M14,N6:N14)/M16,3)</f>
        <v>0.35</v>
      </c>
      <c r="O16" s="102">
        <f>SUM(O6:O14)</f>
        <v>1833</v>
      </c>
      <c r="P16" s="102">
        <f>SUM(P6:P14)</f>
        <v>3404</v>
      </c>
      <c r="Q16" s="104">
        <f>ROUND(SUMPRODUCT(Q6:Q13,K6:K13)/SUMPRODUCT((Q6:Q13&gt;0)*(K6:K13)),2)</f>
        <v>0.3</v>
      </c>
      <c r="R16" s="1258">
        <f ca="1">SUM(R6:R13)</f>
        <v>7296.0199999999995</v>
      </c>
      <c r="S16" s="105">
        <f>SUM(S6:S13)</f>
        <v>72.23</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1983</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1984</v>
      </c>
      <c r="B19" s="112">
        <v>0</v>
      </c>
      <c r="C19" s="2278" t="s">
        <v>1985</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1986</v>
      </c>
      <c r="B20" s="113">
        <v>2</v>
      </c>
      <c r="C20" s="2278" t="s">
        <v>1987</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1988</v>
      </c>
      <c r="B21" s="113">
        <v>0.6</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1989</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1990</v>
      </c>
      <c r="B23" s="114">
        <f>B19+B21</f>
        <v>0.6</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1991</v>
      </c>
      <c r="B24" s="115">
        <f>B20-B21</f>
        <v>1.4</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1992</v>
      </c>
      <c r="B26" s="2321" t="s">
        <v>1993</v>
      </c>
      <c r="C26" s="2322" t="s">
        <v>1994</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1995</v>
      </c>
      <c r="B27" s="116">
        <v>33.200000000000003</v>
      </c>
      <c r="C27" s="1766" t="s">
        <v>1996</v>
      </c>
      <c r="D27" s="2324"/>
      <c r="E27" s="1430"/>
      <c r="F27" s="1430"/>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1997</v>
      </c>
      <c r="B28" s="119">
        <v>21.6</v>
      </c>
      <c r="C28" s="2327"/>
      <c r="D28" s="2324"/>
      <c r="E28" s="1430"/>
      <c r="F28" s="1430"/>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1998</v>
      </c>
      <c r="B29" s="121">
        <v>0</v>
      </c>
      <c r="C29" s="1766" t="s">
        <v>1999</v>
      </c>
      <c r="D29" s="2324"/>
      <c r="E29" s="1430"/>
      <c r="F29" s="1430"/>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2000</v>
      </c>
      <c r="B30" s="724">
        <v>200</v>
      </c>
      <c r="C30" s="2327"/>
      <c r="D30" s="2324"/>
      <c r="E30" s="1430"/>
      <c r="F30" s="1430"/>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2001</v>
      </c>
      <c r="B31" s="120">
        <f>B30-B32</f>
        <v>200</v>
      </c>
      <c r="C31" s="1766"/>
      <c r="D31" s="2324"/>
      <c r="E31" s="1430"/>
      <c r="F31" s="1430"/>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2002</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2003</v>
      </c>
      <c r="B33" s="726">
        <v>0.04</v>
      </c>
      <c r="C33" s="1765" t="s">
        <v>2004</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2005</v>
      </c>
      <c r="B34" s="122">
        <v>0.08</v>
      </c>
      <c r="C34" s="1765" t="s">
        <v>2006</v>
      </c>
      <c r="D34" s="2279" t="s">
        <v>2007</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2008</v>
      </c>
      <c r="B35" s="119">
        <v>200</v>
      </c>
      <c r="C35" s="1765" t="s">
        <v>2009</v>
      </c>
      <c r="D35" s="2324"/>
      <c r="E35" s="1430"/>
      <c r="F35" s="1430"/>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2010</v>
      </c>
      <c r="B36" s="123">
        <v>1.4999999999999999E-2</v>
      </c>
      <c r="C36" s="1765" t="s">
        <v>2011</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2012</v>
      </c>
      <c r="B37" s="124">
        <v>0.02</v>
      </c>
      <c r="C37" s="1765" t="s">
        <v>2013</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2014</v>
      </c>
      <c r="B38" s="122">
        <v>0.02</v>
      </c>
      <c r="C38" s="1765" t="s">
        <v>2013</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2015</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2016</v>
      </c>
      <c r="B40" s="1303">
        <f ca="1">存贷款利率!G1</f>
        <v>4.7500000000000001E-2</v>
      </c>
      <c r="C40" s="1765" t="s">
        <v>2017</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2018</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2019</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2020</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2021</v>
      </c>
      <c r="B44" s="128">
        <v>0.05</v>
      </c>
      <c r="C44" s="1765" t="s">
        <v>2022</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2023</v>
      </c>
      <c r="B45" s="126">
        <v>0.03</v>
      </c>
      <c r="C45" s="1766" t="s">
        <v>2024</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2025</v>
      </c>
      <c r="B46" s="126">
        <v>0.02</v>
      </c>
      <c r="C46" s="1766" t="s">
        <v>2026</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2027</v>
      </c>
      <c r="B47" s="129">
        <v>0</v>
      </c>
      <c r="C47" s="1766" t="s">
        <v>2028</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2029</v>
      </c>
      <c r="B48" s="130">
        <v>0.04</v>
      </c>
      <c r="C48" s="1773" t="s">
        <v>2030</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2031</v>
      </c>
      <c r="B49" s="126">
        <v>5.0000000000000001E-4</v>
      </c>
      <c r="C49" s="1773" t="s">
        <v>2032</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2033</v>
      </c>
      <c r="B50" s="131">
        <v>1.2E-2</v>
      </c>
      <c r="C50" s="1430"/>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2034</v>
      </c>
      <c r="B51" s="132">
        <v>0.12</v>
      </c>
      <c r="C51" s="1430"/>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2035</v>
      </c>
      <c r="B52" s="133">
        <f>SUMIF(A54:A63,B53,B54:B63)</f>
        <v>3</v>
      </c>
      <c r="C52" s="1430"/>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2036</v>
      </c>
      <c r="B53" s="2337" t="s">
        <v>523</v>
      </c>
      <c r="C53" s="1430" t="s">
        <v>2037</v>
      </c>
      <c r="D53" s="2338" t="s">
        <v>2038</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2039</v>
      </c>
      <c r="B54" s="84"/>
      <c r="C54" s="1430">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2040</v>
      </c>
      <c r="B55" s="84"/>
      <c r="C55" s="1430">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2041</v>
      </c>
      <c r="B56" s="84"/>
      <c r="C56" s="1430">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2042</v>
      </c>
      <c r="B57" s="84"/>
      <c r="C57" s="1430">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2043</v>
      </c>
      <c r="B58" s="84">
        <v>3</v>
      </c>
      <c r="C58" s="1430">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2044</v>
      </c>
      <c r="B59" s="84"/>
      <c r="C59" s="1430">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2045</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2046</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2047</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2048</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9"/>
    <col min="30" max="16384" width="9" style="2370"/>
  </cols>
  <sheetData>
    <row r="1" spans="1:29" s="2363" customFormat="1" ht="19.5" thickBot="1">
      <c r="A1" s="3048" t="s">
        <v>2049</v>
      </c>
      <c r="B1" s="3049"/>
      <c r="C1" s="3049"/>
      <c r="D1" s="3049"/>
      <c r="E1" s="3049"/>
      <c r="F1" s="3049"/>
      <c r="G1" s="304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2050</v>
      </c>
      <c r="D2" s="2367"/>
      <c r="E2" s="2368"/>
      <c r="F2" s="2287"/>
      <c r="G2" s="2366" t="s">
        <v>2051</v>
      </c>
      <c r="H2" s="2369"/>
      <c r="I2" s="2369"/>
      <c r="J2" s="2369"/>
      <c r="K2" s="2369"/>
      <c r="L2" s="2369"/>
      <c r="M2" s="2369"/>
      <c r="N2" s="2369"/>
      <c r="O2" s="2369"/>
      <c r="P2" s="2369"/>
      <c r="Q2" s="2369"/>
      <c r="R2" s="2369"/>
    </row>
    <row r="3" spans="1:29" ht="81">
      <c r="A3" s="415" t="s">
        <v>2052</v>
      </c>
      <c r="B3" s="1271" t="s">
        <v>2053</v>
      </c>
      <c r="C3" s="2947" t="s">
        <v>3133</v>
      </c>
      <c r="D3" s="2371"/>
      <c r="E3" s="431" t="s">
        <v>2052</v>
      </c>
      <c r="F3" s="2372" t="s">
        <v>2054</v>
      </c>
      <c r="G3" s="2373"/>
      <c r="H3" s="2369"/>
      <c r="I3" s="2369"/>
      <c r="J3" s="2369"/>
      <c r="K3" s="2369"/>
      <c r="L3" s="2369"/>
      <c r="M3" s="2369"/>
      <c r="N3" s="2369"/>
      <c r="O3" s="2369"/>
      <c r="P3" s="2369"/>
      <c r="Q3" s="2369"/>
      <c r="R3" s="2369"/>
    </row>
    <row r="4" spans="1:29" ht="67.5">
      <c r="A4" s="431"/>
      <c r="B4" s="1797" t="s">
        <v>2055</v>
      </c>
      <c r="C4" s="2949" t="s">
        <v>3131</v>
      </c>
      <c r="D4" s="2371"/>
      <c r="E4" s="2375"/>
      <c r="F4" s="42" t="s">
        <v>2056</v>
      </c>
      <c r="G4" s="2376"/>
      <c r="H4" s="2369"/>
      <c r="I4" s="2369"/>
      <c r="J4" s="2369"/>
      <c r="K4" s="2369"/>
      <c r="L4" s="2369"/>
      <c r="M4" s="2369"/>
      <c r="N4" s="2369"/>
      <c r="O4" s="2369"/>
      <c r="P4" s="2369"/>
      <c r="Q4" s="2369"/>
      <c r="R4" s="2369"/>
    </row>
    <row r="5" spans="1:29" ht="15">
      <c r="A5" s="431"/>
      <c r="B5" s="1797" t="s">
        <v>2057</v>
      </c>
      <c r="C5" s="2374"/>
      <c r="D5" s="2371"/>
      <c r="E5" s="2375"/>
      <c r="F5" s="1797" t="s">
        <v>2058</v>
      </c>
      <c r="G5" s="2376"/>
      <c r="H5" s="2369"/>
      <c r="I5" s="2369"/>
      <c r="J5" s="2369"/>
      <c r="K5" s="2369"/>
      <c r="L5" s="2369"/>
      <c r="M5" s="2369"/>
      <c r="N5" s="2369"/>
      <c r="O5" s="2369"/>
      <c r="P5" s="2369"/>
      <c r="Q5" s="2369"/>
      <c r="R5" s="2369"/>
    </row>
    <row r="6" spans="1:29" ht="81">
      <c r="A6" s="431"/>
      <c r="B6" s="1797" t="s">
        <v>2059</v>
      </c>
      <c r="C6" s="2948" t="s">
        <v>3135</v>
      </c>
      <c r="D6" s="2371"/>
      <c r="E6" s="2375"/>
      <c r="F6" s="1797" t="s">
        <v>2060</v>
      </c>
      <c r="G6" s="2376"/>
      <c r="H6" s="2369"/>
      <c r="I6" s="2369"/>
      <c r="J6" s="2369"/>
      <c r="K6" s="2369"/>
      <c r="L6" s="2369"/>
      <c r="M6" s="2369"/>
      <c r="N6" s="2369"/>
      <c r="O6" s="2369"/>
      <c r="P6" s="2369"/>
      <c r="Q6" s="2369"/>
      <c r="R6" s="2369"/>
    </row>
    <row r="7" spans="1:29" ht="27.75" thickBot="1">
      <c r="A7" s="431"/>
      <c r="B7" s="1797" t="s">
        <v>2058</v>
      </c>
      <c r="C7" s="2948" t="s">
        <v>3040</v>
      </c>
      <c r="D7" s="2377"/>
      <c r="E7" s="2378"/>
      <c r="F7" s="2379" t="s">
        <v>2061</v>
      </c>
      <c r="G7" s="2380"/>
      <c r="H7" s="2369"/>
      <c r="I7" s="2369"/>
      <c r="J7" s="2369"/>
      <c r="K7" s="2369"/>
      <c r="L7" s="2369"/>
      <c r="M7" s="2369"/>
      <c r="N7" s="2369"/>
      <c r="O7" s="2369"/>
      <c r="P7" s="2369"/>
      <c r="Q7" s="2369"/>
      <c r="R7" s="2369"/>
    </row>
    <row r="8" spans="1:29" ht="27">
      <c r="A8" s="431"/>
      <c r="B8" s="1797" t="s">
        <v>2060</v>
      </c>
      <c r="C8" s="2948" t="s">
        <v>3042</v>
      </c>
      <c r="D8" s="2377"/>
      <c r="E8" s="2377"/>
      <c r="F8" s="1136"/>
      <c r="G8" s="1136"/>
      <c r="H8" s="2369"/>
      <c r="I8" s="2369"/>
      <c r="J8" s="2369"/>
      <c r="K8" s="2369"/>
      <c r="L8" s="2369"/>
      <c r="M8" s="2369"/>
      <c r="N8" s="2369"/>
      <c r="O8" s="2369"/>
      <c r="P8" s="2369"/>
      <c r="Q8" s="2369"/>
      <c r="R8" s="2369"/>
    </row>
    <row r="9" spans="1:29" ht="67.5">
      <c r="A9" s="431"/>
      <c r="B9" s="1797" t="s">
        <v>2062</v>
      </c>
      <c r="C9" s="2949" t="s">
        <v>3137</v>
      </c>
      <c r="D9" s="2371"/>
      <c r="E9" s="2377"/>
      <c r="F9" s="1136"/>
      <c r="G9" s="1136"/>
      <c r="H9" s="2369"/>
      <c r="I9" s="2369"/>
      <c r="J9" s="2369"/>
      <c r="K9" s="2369"/>
      <c r="L9" s="2369"/>
      <c r="M9" s="2369"/>
      <c r="N9" s="2369"/>
      <c r="O9" s="2369"/>
      <c r="P9" s="2369"/>
      <c r="Q9" s="2369"/>
      <c r="R9" s="2369"/>
    </row>
    <row r="10" spans="1:29" s="117" customFormat="1" ht="15.75" thickBot="1">
      <c r="A10" s="2381"/>
      <c r="B10" s="2382" t="s">
        <v>2063</v>
      </c>
      <c r="C10" s="2950" t="s">
        <v>3138</v>
      </c>
      <c r="D10" s="2371"/>
      <c r="E10" s="2371"/>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1"/>
      <c r="D12" s="2387"/>
      <c r="E12" s="2371"/>
      <c r="F12" s="2377"/>
      <c r="G12" s="1154"/>
      <c r="H12" s="2388"/>
      <c r="I12" s="2389"/>
      <c r="J12" s="2388"/>
      <c r="K12" s="2388"/>
      <c r="L12" s="2384"/>
      <c r="M12" s="2388"/>
      <c r="N12" s="2390"/>
      <c r="O12" s="2391"/>
      <c r="P12" s="2390"/>
      <c r="Q12" s="2390"/>
      <c r="R12" s="2361"/>
      <c r="S12" s="2362"/>
      <c r="T12" s="2362"/>
      <c r="U12" s="2362"/>
      <c r="V12" s="2362"/>
      <c r="W12" s="2362"/>
      <c r="X12" s="2362"/>
      <c r="Y12" s="2362"/>
      <c r="Z12" s="2362"/>
      <c r="AA12" s="2362"/>
      <c r="AB12" s="2362"/>
      <c r="AC12" s="2362"/>
    </row>
    <row r="13" spans="1:29" ht="19.5" thickBot="1">
      <c r="A13" s="2392" t="s">
        <v>2064</v>
      </c>
      <c r="B13" s="2387"/>
      <c r="C13" s="2387"/>
      <c r="D13" s="2393"/>
      <c r="E13" s="2387"/>
      <c r="F13" s="2387"/>
      <c r="G13" s="2387"/>
      <c r="L13" s="2384"/>
    </row>
    <row r="14" spans="1:29" ht="15.75" thickBot="1">
      <c r="A14" s="2397"/>
      <c r="B14" s="2398"/>
      <c r="C14" s="2399" t="s">
        <v>2065</v>
      </c>
      <c r="D14" s="2371"/>
      <c r="E14" s="2400"/>
      <c r="F14" s="2400"/>
      <c r="G14" s="2366" t="s">
        <v>2066</v>
      </c>
    </row>
    <row r="15" spans="1:29" ht="57">
      <c r="A15" s="68" t="s">
        <v>2067</v>
      </c>
      <c r="B15" s="1270" t="s">
        <v>2053</v>
      </c>
      <c r="C15" s="2401" t="str">
        <f>C3</f>
        <v>估价对象周边居住用地比例较好、居住小区规模和社区发展完善程度较好，周边有师范小区、公元壹号等住宅项目，综合评价居住社区成熟度较好</v>
      </c>
      <c r="D15" s="2371"/>
      <c r="E15" s="2402" t="s">
        <v>2068</v>
      </c>
      <c r="F15" s="1270" t="s">
        <v>2069</v>
      </c>
      <c r="G15" s="135">
        <f>G3</f>
        <v>0</v>
      </c>
    </row>
    <row r="16" spans="1:29" ht="42.75">
      <c r="A16" s="645"/>
      <c r="B16" s="2403" t="s">
        <v>2055</v>
      </c>
      <c r="C16" s="2404" t="str">
        <f>C4</f>
        <v>估价对象位于五一路西侧，周边商业氛围成熟度一般，周边有云天尚品广场等项目，人流量一般，商业繁华度一般</v>
      </c>
      <c r="D16" s="2371"/>
      <c r="E16" s="2405"/>
      <c r="F16" s="2406" t="s">
        <v>2056</v>
      </c>
      <c r="G16" s="136">
        <f>G4</f>
        <v>0</v>
      </c>
    </row>
    <row r="17" spans="1:18" ht="15">
      <c r="A17" s="645"/>
      <c r="B17" s="2403" t="s">
        <v>2057</v>
      </c>
      <c r="C17" s="2404">
        <f>C5</f>
        <v>0</v>
      </c>
      <c r="D17" s="2377"/>
      <c r="E17" s="2405"/>
      <c r="F17" s="2406" t="s">
        <v>2070</v>
      </c>
      <c r="G17" s="1571"/>
    </row>
    <row r="18" spans="1:18" ht="57">
      <c r="A18" s="645"/>
      <c r="B18" s="2406" t="s">
        <v>2059</v>
      </c>
      <c r="C18" s="136" t="str">
        <f>C6</f>
        <v>估价对象周边道路状况较好、公共交通通达情况较好、停车便捷程度较好，周边有香河203、/20路等公交线路，综合评价交通便捷度较好</v>
      </c>
      <c r="D18" s="2377"/>
      <c r="E18" s="2405"/>
      <c r="F18" s="2406" t="s">
        <v>2061</v>
      </c>
      <c r="G18" s="136">
        <f>G7</f>
        <v>0</v>
      </c>
    </row>
    <row r="19" spans="1:18" ht="15">
      <c r="A19" s="645"/>
      <c r="B19" s="2406" t="s">
        <v>2071</v>
      </c>
      <c r="C19" s="2951" t="s">
        <v>3045</v>
      </c>
      <c r="D19" s="2371"/>
      <c r="E19" s="2405"/>
      <c r="F19" s="1797" t="s">
        <v>2058</v>
      </c>
      <c r="G19" s="136">
        <f>G5</f>
        <v>0</v>
      </c>
    </row>
    <row r="20" spans="1:18" ht="28.5">
      <c r="A20" s="645"/>
      <c r="B20" s="2406" t="s">
        <v>2072</v>
      </c>
      <c r="C20" s="2404" t="str">
        <f>C9</f>
        <v>区域自然环境较好，人文环境较好，周边有廊坊广播电视大学(香河县分校)、五一公园等；综合评价环境状况较好</v>
      </c>
      <c r="D20" s="2377"/>
      <c r="E20" s="2405"/>
      <c r="F20" s="1797" t="s">
        <v>2073</v>
      </c>
      <c r="G20" s="136">
        <f>G6</f>
        <v>0</v>
      </c>
    </row>
    <row r="21" spans="1:18" ht="28.5">
      <c r="A21" s="645"/>
      <c r="B21" s="1797" t="s">
        <v>2058</v>
      </c>
      <c r="C21" s="136" t="str">
        <f>C7</f>
        <v>估价对象所在区域公共配套设施齐备情况较好</v>
      </c>
      <c r="D21" s="2371"/>
      <c r="E21" s="2405"/>
      <c r="F21" s="2406" t="s">
        <v>2074</v>
      </c>
      <c r="G21" s="2407"/>
    </row>
    <row r="22" spans="1:18" ht="13.5" customHeight="1">
      <c r="A22" s="645"/>
      <c r="B22" s="1797" t="s">
        <v>2060</v>
      </c>
      <c r="C22" s="136" t="str">
        <f>C8</f>
        <v>估价对象所在区域基础设施水平较好</v>
      </c>
      <c r="D22" s="2371"/>
      <c r="E22" s="2405"/>
      <c r="F22" s="2406" t="s">
        <v>2063</v>
      </c>
      <c r="G22" s="1571"/>
    </row>
    <row r="23" spans="1:18" s="2369" customFormat="1" ht="15.75" thickBot="1">
      <c r="A23" s="645"/>
      <c r="B23" s="2406" t="s">
        <v>2074</v>
      </c>
      <c r="C23" s="2407" t="s">
        <v>3043</v>
      </c>
      <c r="D23" s="2394"/>
      <c r="E23" s="2408"/>
      <c r="F23" s="2409" t="s">
        <v>2075</v>
      </c>
      <c r="G23" s="2410"/>
      <c r="H23" s="2394"/>
      <c r="I23" s="2395"/>
      <c r="J23" s="2394"/>
      <c r="K23" s="2394"/>
      <c r="L23" s="2395"/>
      <c r="M23" s="2394"/>
      <c r="N23" s="2394"/>
      <c r="O23" s="2395"/>
      <c r="P23" s="2394"/>
      <c r="Q23" s="2394"/>
      <c r="R23" s="2396"/>
    </row>
    <row r="24" spans="1:18" s="2369" customFormat="1" ht="15.75" thickBot="1">
      <c r="A24" s="2411"/>
      <c r="B24" s="2409" t="s">
        <v>2076</v>
      </c>
      <c r="C24" s="137" t="str">
        <f>C10</f>
        <v>主干道-五一路</v>
      </c>
      <c r="D24" s="2394"/>
      <c r="E24" s="2412"/>
      <c r="F24" s="2412"/>
      <c r="G24" s="2413"/>
      <c r="H24" s="2394"/>
      <c r="I24" s="2395"/>
      <c r="J24" s="2394"/>
      <c r="K24" s="2394"/>
      <c r="L24" s="2395"/>
      <c r="M24" s="2394"/>
      <c r="N24" s="2394"/>
      <c r="O24" s="2395"/>
      <c r="P24" s="2394"/>
      <c r="Q24" s="2394"/>
      <c r="R24" s="2396"/>
    </row>
    <row r="25" spans="1:18" s="2369" customFormat="1">
      <c r="B25" s="2394"/>
      <c r="C25" s="2394"/>
      <c r="D25" s="2394"/>
      <c r="H25" s="2394"/>
      <c r="I25" s="2395"/>
      <c r="J25" s="2394"/>
      <c r="K25" s="2394"/>
      <c r="L25" s="2395"/>
      <c r="M25" s="2394"/>
      <c r="N25" s="2394"/>
      <c r="O25" s="2395"/>
      <c r="P25" s="2394"/>
      <c r="Q25" s="2394"/>
      <c r="R25" s="2396"/>
    </row>
    <row r="26" spans="1:18" s="2369" customFormat="1">
      <c r="B26" s="2394"/>
      <c r="C26" s="2394"/>
      <c r="D26" s="2394"/>
      <c r="H26" s="2394"/>
      <c r="I26" s="2395"/>
      <c r="J26" s="2394"/>
      <c r="K26" s="2394"/>
      <c r="L26" s="2395"/>
      <c r="M26" s="2394"/>
      <c r="N26" s="2394"/>
      <c r="O26" s="2395"/>
      <c r="P26" s="2394"/>
      <c r="Q26" s="2394"/>
      <c r="R26" s="2396"/>
    </row>
    <row r="27" spans="1:18" s="2369" customFormat="1">
      <c r="B27" s="2394"/>
      <c r="C27" s="2394"/>
      <c r="D27" s="2394"/>
      <c r="H27" s="2394"/>
      <c r="I27" s="2395"/>
      <c r="J27" s="2394"/>
      <c r="K27" s="2394"/>
      <c r="L27" s="2395"/>
      <c r="M27" s="2394"/>
      <c r="N27" s="2394"/>
      <c r="O27" s="2395"/>
      <c r="P27" s="2394"/>
      <c r="Q27" s="2394"/>
      <c r="R27" s="2396"/>
    </row>
    <row r="28" spans="1:18" s="2369" customFormat="1">
      <c r="B28" s="2394"/>
      <c r="C28" s="2394"/>
      <c r="D28" s="2394"/>
      <c r="H28" s="2394"/>
      <c r="I28" s="2395"/>
      <c r="J28" s="2394"/>
      <c r="K28" s="2394"/>
      <c r="L28" s="2395"/>
      <c r="M28" s="2394"/>
      <c r="N28" s="2394"/>
      <c r="O28" s="2395"/>
      <c r="P28" s="2394"/>
      <c r="Q28" s="2394"/>
      <c r="R28" s="2396"/>
    </row>
    <row r="29" spans="1:18" s="2369" customFormat="1">
      <c r="B29" s="2394"/>
      <c r="C29" s="2394"/>
      <c r="D29" s="2394"/>
      <c r="H29" s="2394"/>
      <c r="I29" s="2395"/>
      <c r="J29" s="2394"/>
      <c r="K29" s="2394"/>
      <c r="L29" s="2395"/>
      <c r="M29" s="2394"/>
      <c r="N29" s="2394"/>
      <c r="O29" s="2395"/>
      <c r="P29" s="2394"/>
      <c r="Q29" s="2394"/>
      <c r="R29" s="2396"/>
    </row>
    <row r="30" spans="1:18" s="2369" customFormat="1">
      <c r="B30" s="2394"/>
      <c r="C30" s="2394"/>
      <c r="D30" s="2394"/>
      <c r="H30" s="2394"/>
      <c r="I30" s="2395"/>
      <c r="J30" s="2394"/>
      <c r="K30" s="2394"/>
      <c r="L30" s="2395"/>
      <c r="M30" s="2394"/>
      <c r="N30" s="2394"/>
      <c r="O30" s="2395"/>
      <c r="P30" s="2394"/>
      <c r="Q30" s="2394"/>
      <c r="R30" s="2396"/>
    </row>
    <row r="31" spans="1:18" s="2369" customFormat="1">
      <c r="B31" s="2394"/>
      <c r="C31" s="2394"/>
      <c r="D31" s="2394"/>
      <c r="H31" s="2394"/>
      <c r="I31" s="2395"/>
      <c r="J31" s="2394"/>
      <c r="K31" s="2394"/>
      <c r="L31" s="2395"/>
      <c r="M31" s="2394"/>
      <c r="N31" s="2394"/>
      <c r="O31" s="2395"/>
      <c r="P31" s="2394"/>
      <c r="Q31" s="2394"/>
      <c r="R31" s="2396"/>
    </row>
    <row r="32" spans="1:18" s="2369" customFormat="1">
      <c r="B32" s="2394"/>
      <c r="C32" s="2394"/>
      <c r="D32" s="2394"/>
      <c r="H32" s="2394"/>
      <c r="I32" s="2395"/>
      <c r="J32" s="2394"/>
      <c r="K32" s="2394"/>
      <c r="L32" s="2395"/>
      <c r="M32" s="2394"/>
      <c r="N32" s="2394"/>
      <c r="O32" s="2395"/>
      <c r="P32" s="2394"/>
      <c r="Q32" s="2394"/>
      <c r="R32" s="2396"/>
    </row>
    <row r="33" spans="2:18" s="2369" customFormat="1">
      <c r="B33" s="2394"/>
      <c r="C33" s="2394"/>
      <c r="D33" s="2394"/>
      <c r="H33" s="2394"/>
      <c r="I33" s="2395"/>
      <c r="J33" s="2394"/>
      <c r="K33" s="2394"/>
      <c r="L33" s="2395"/>
      <c r="M33" s="2394"/>
      <c r="N33" s="2394"/>
      <c r="O33" s="2395"/>
      <c r="P33" s="2394"/>
      <c r="Q33" s="2394"/>
      <c r="R33" s="2396"/>
    </row>
    <row r="34" spans="2:18" s="2369" customFormat="1">
      <c r="B34" s="2394"/>
      <c r="C34" s="2394"/>
      <c r="D34" s="2394"/>
      <c r="H34" s="2394"/>
      <c r="I34" s="2395"/>
      <c r="J34" s="2394"/>
      <c r="K34" s="2394"/>
      <c r="L34" s="2395"/>
      <c r="M34" s="2394"/>
      <c r="N34" s="2394"/>
      <c r="O34" s="2395"/>
      <c r="P34" s="2394"/>
      <c r="Q34" s="2394"/>
      <c r="R34" s="2396"/>
    </row>
    <row r="35" spans="2:18" s="2369" customFormat="1">
      <c r="B35" s="2394"/>
      <c r="C35" s="2394"/>
      <c r="D35" s="2394"/>
      <c r="H35" s="2394"/>
      <c r="I35" s="2395"/>
      <c r="J35" s="2394"/>
      <c r="K35" s="2394"/>
      <c r="L35" s="2395"/>
      <c r="M35" s="2394"/>
      <c r="N35" s="2394"/>
      <c r="O35" s="2395"/>
      <c r="P35" s="2394"/>
      <c r="Q35" s="2394"/>
      <c r="R35" s="2396"/>
    </row>
    <row r="36" spans="2:18" s="2369" customFormat="1">
      <c r="B36" s="2394"/>
      <c r="C36" s="2394"/>
      <c r="D36" s="2394"/>
      <c r="H36" s="2394"/>
      <c r="I36" s="2395"/>
      <c r="J36" s="2394"/>
      <c r="K36" s="2394"/>
      <c r="L36" s="2395"/>
      <c r="M36" s="2394"/>
      <c r="N36" s="2394"/>
      <c r="O36" s="2395"/>
      <c r="P36" s="2394"/>
      <c r="Q36" s="2394"/>
      <c r="R36" s="2396"/>
    </row>
    <row r="37" spans="2:18" s="2369" customFormat="1">
      <c r="B37" s="2394"/>
      <c r="C37" s="2394"/>
      <c r="D37" s="2394"/>
      <c r="H37" s="2394"/>
      <c r="I37" s="2395"/>
      <c r="J37" s="2394"/>
      <c r="K37" s="2394"/>
      <c r="L37" s="2395"/>
      <c r="M37" s="2394"/>
      <c r="N37" s="2394"/>
      <c r="O37" s="2395"/>
      <c r="P37" s="2394"/>
      <c r="Q37" s="2394"/>
      <c r="R37" s="2396"/>
    </row>
    <row r="38" spans="2:18" s="2369" customFormat="1">
      <c r="B38" s="2394"/>
      <c r="C38" s="2394"/>
      <c r="D38" s="2394"/>
      <c r="E38" s="2394"/>
      <c r="F38" s="2394"/>
      <c r="G38" s="2395"/>
      <c r="H38" s="2394"/>
      <c r="I38" s="2395"/>
      <c r="J38" s="2394"/>
      <c r="K38" s="2394"/>
      <c r="L38" s="2395"/>
      <c r="M38" s="2394"/>
      <c r="N38" s="2394"/>
      <c r="O38" s="2395"/>
      <c r="P38" s="2394"/>
      <c r="Q38" s="2394"/>
      <c r="R38" s="2396"/>
    </row>
    <row r="39" spans="2:18" s="2369" customFormat="1">
      <c r="B39" s="2394"/>
      <c r="C39" s="2394"/>
      <c r="D39" s="2394"/>
      <c r="E39" s="2394"/>
      <c r="F39" s="2394"/>
      <c r="G39" s="2395"/>
      <c r="H39" s="2394"/>
      <c r="I39" s="2395"/>
      <c r="J39" s="2394"/>
      <c r="K39" s="2394"/>
      <c r="L39" s="2395"/>
      <c r="M39" s="2394"/>
      <c r="N39" s="2394"/>
      <c r="O39" s="2395"/>
      <c r="P39" s="2394"/>
      <c r="Q39" s="2394"/>
      <c r="R39" s="2396"/>
    </row>
    <row r="40" spans="2:18" s="2369" customFormat="1">
      <c r="B40" s="2394"/>
      <c r="C40" s="2394"/>
      <c r="D40" s="2394"/>
      <c r="E40" s="2394"/>
      <c r="F40" s="2394"/>
      <c r="G40" s="2395"/>
      <c r="H40" s="2394"/>
      <c r="I40" s="2395"/>
      <c r="J40" s="2394"/>
      <c r="K40" s="2394"/>
      <c r="L40" s="2395"/>
      <c r="M40" s="2394"/>
      <c r="N40" s="2394"/>
      <c r="O40" s="2395"/>
      <c r="P40" s="2394"/>
      <c r="Q40" s="2394"/>
      <c r="R40" s="2396"/>
    </row>
    <row r="41" spans="2:18" s="2369" customFormat="1">
      <c r="B41" s="2394"/>
      <c r="C41" s="2394"/>
      <c r="D41" s="2394"/>
      <c r="E41" s="2394"/>
      <c r="F41" s="2394"/>
      <c r="G41" s="2395"/>
      <c r="H41" s="2394"/>
      <c r="I41" s="2395"/>
      <c r="J41" s="2394"/>
      <c r="K41" s="2394"/>
      <c r="L41" s="2395"/>
      <c r="M41" s="2394"/>
      <c r="N41" s="2394"/>
      <c r="O41" s="2395"/>
      <c r="P41" s="2394"/>
      <c r="Q41" s="2394"/>
      <c r="R41" s="2396"/>
    </row>
    <row r="42" spans="2:18" s="2369" customFormat="1">
      <c r="B42" s="2394"/>
      <c r="C42" s="2394"/>
      <c r="D42" s="2394"/>
      <c r="E42" s="2394"/>
      <c r="F42" s="2394"/>
      <c r="G42" s="2395"/>
      <c r="H42" s="2394"/>
      <c r="I42" s="2395"/>
      <c r="J42" s="2394"/>
      <c r="K42" s="2394"/>
      <c r="L42" s="2395"/>
      <c r="M42" s="2394"/>
      <c r="N42" s="2394"/>
      <c r="O42" s="2395"/>
      <c r="P42" s="2394"/>
      <c r="Q42" s="2394"/>
      <c r="R42" s="2396"/>
    </row>
    <row r="43" spans="2:18" s="2369" customFormat="1">
      <c r="B43" s="2394"/>
      <c r="C43" s="2394"/>
      <c r="D43" s="2394"/>
      <c r="E43" s="2394"/>
      <c r="F43" s="2394"/>
      <c r="G43" s="2395"/>
      <c r="H43" s="2394"/>
      <c r="I43" s="2395"/>
      <c r="J43" s="2394"/>
      <c r="K43" s="2394"/>
      <c r="L43" s="2395"/>
      <c r="M43" s="2394"/>
      <c r="N43" s="2394"/>
      <c r="O43" s="2395"/>
      <c r="P43" s="2394"/>
      <c r="Q43" s="2394"/>
      <c r="R43" s="2396"/>
    </row>
    <row r="44" spans="2:18" s="2369" customFormat="1">
      <c r="B44" s="2394"/>
      <c r="C44" s="2394"/>
      <c r="D44" s="2394"/>
      <c r="E44" s="2394"/>
      <c r="F44" s="2394"/>
      <c r="G44" s="2395"/>
      <c r="H44" s="2394"/>
      <c r="I44" s="2395"/>
      <c r="J44" s="2394"/>
      <c r="K44" s="2394"/>
      <c r="L44" s="2395"/>
      <c r="M44" s="2394"/>
      <c r="N44" s="2394"/>
      <c r="O44" s="2395"/>
      <c r="P44" s="2394"/>
      <c r="Q44" s="2394"/>
      <c r="R44" s="2396"/>
    </row>
    <row r="45" spans="2:18" s="2369" customFormat="1">
      <c r="B45" s="2394"/>
      <c r="C45" s="2394"/>
      <c r="D45" s="2394"/>
      <c r="E45" s="2394"/>
      <c r="F45" s="2394"/>
      <c r="G45" s="2395"/>
      <c r="H45" s="2394"/>
      <c r="I45" s="2395"/>
      <c r="J45" s="2394"/>
      <c r="K45" s="2394"/>
      <c r="L45" s="2395"/>
      <c r="M45" s="2394"/>
      <c r="N45" s="2394"/>
      <c r="O45" s="2395"/>
      <c r="P45" s="2394"/>
      <c r="Q45" s="2394"/>
      <c r="R45" s="2396"/>
    </row>
    <row r="46" spans="2:18" s="2369" customFormat="1">
      <c r="B46" s="2394"/>
      <c r="C46" s="2394"/>
      <c r="D46" s="2394"/>
      <c r="E46" s="2394"/>
      <c r="F46" s="2394"/>
      <c r="G46" s="2395"/>
      <c r="H46" s="2394"/>
      <c r="I46" s="2395"/>
      <c r="J46" s="2394"/>
      <c r="K46" s="2394"/>
      <c r="L46" s="2395"/>
      <c r="M46" s="2394"/>
      <c r="N46" s="2394"/>
      <c r="O46" s="2395"/>
      <c r="P46" s="2394"/>
      <c r="Q46" s="2394"/>
      <c r="R46" s="2396"/>
    </row>
    <row r="47" spans="2:18" s="2369" customFormat="1">
      <c r="B47" s="2394"/>
      <c r="C47" s="2394"/>
      <c r="D47" s="2394"/>
      <c r="E47" s="2394"/>
      <c r="F47" s="2394"/>
      <c r="G47" s="2395"/>
      <c r="H47" s="2394"/>
      <c r="I47" s="2395"/>
      <c r="J47" s="2394"/>
      <c r="K47" s="2394"/>
      <c r="L47" s="2395"/>
      <c r="M47" s="2394"/>
      <c r="N47" s="2394"/>
      <c r="O47" s="2395"/>
      <c r="P47" s="2394"/>
      <c r="Q47" s="2394"/>
      <c r="R47" s="2396"/>
    </row>
    <row r="48" spans="2:18" s="2369" customFormat="1">
      <c r="B48" s="2394"/>
      <c r="C48" s="2394"/>
      <c r="D48" s="2394"/>
      <c r="E48" s="2394"/>
      <c r="F48" s="2394"/>
      <c r="G48" s="2395"/>
      <c r="H48" s="2394"/>
      <c r="I48" s="2395"/>
      <c r="J48" s="2394"/>
      <c r="K48" s="2394"/>
      <c r="L48" s="2395"/>
      <c r="M48" s="2394"/>
      <c r="N48" s="2394"/>
      <c r="O48" s="2395"/>
      <c r="P48" s="2394"/>
      <c r="Q48" s="2394"/>
      <c r="R48" s="2396"/>
    </row>
    <row r="49" spans="2:18" s="2369" customFormat="1">
      <c r="B49" s="2394"/>
      <c r="C49" s="2394"/>
      <c r="D49" s="2394"/>
      <c r="E49" s="2394"/>
      <c r="F49" s="2394"/>
      <c r="G49" s="2395"/>
      <c r="H49" s="2394"/>
      <c r="I49" s="2395"/>
      <c r="J49" s="2394"/>
      <c r="K49" s="2394"/>
      <c r="L49" s="2395"/>
      <c r="M49" s="2394"/>
      <c r="N49" s="2394"/>
      <c r="O49" s="2395"/>
      <c r="P49" s="2394"/>
      <c r="Q49" s="2394"/>
      <c r="R49" s="2396"/>
    </row>
    <row r="50" spans="2:18" s="2369" customFormat="1">
      <c r="B50" s="2394"/>
      <c r="C50" s="2394"/>
      <c r="D50" s="2394"/>
      <c r="E50" s="2394"/>
      <c r="F50" s="2394"/>
      <c r="G50" s="2395"/>
      <c r="H50" s="2394"/>
      <c r="I50" s="2395"/>
      <c r="J50" s="2394"/>
      <c r="K50" s="2394"/>
      <c r="L50" s="2395"/>
      <c r="M50" s="2394"/>
      <c r="N50" s="2394"/>
      <c r="O50" s="2395"/>
      <c r="P50" s="2394"/>
      <c r="Q50" s="2394"/>
      <c r="R50" s="2396"/>
    </row>
    <row r="51" spans="2:18" s="2369" customFormat="1">
      <c r="B51" s="2394"/>
      <c r="C51" s="2394"/>
      <c r="D51" s="2394"/>
      <c r="E51" s="2394"/>
      <c r="F51" s="2394"/>
      <c r="G51" s="2395"/>
      <c r="H51" s="2394"/>
      <c r="I51" s="2395"/>
      <c r="J51" s="2394"/>
      <c r="K51" s="2394"/>
      <c r="L51" s="2395"/>
      <c r="M51" s="2394"/>
      <c r="N51" s="2394"/>
      <c r="O51" s="2395"/>
      <c r="P51" s="2394"/>
      <c r="Q51" s="2394"/>
      <c r="R51" s="2396"/>
    </row>
    <row r="52" spans="2:18" s="2369" customFormat="1">
      <c r="B52" s="2394"/>
      <c r="C52" s="2394"/>
      <c r="D52" s="2394"/>
      <c r="E52" s="2394"/>
      <c r="F52" s="2394"/>
      <c r="G52" s="2395"/>
      <c r="H52" s="2394"/>
      <c r="I52" s="2395"/>
      <c r="J52" s="2394"/>
      <c r="K52" s="2394"/>
      <c r="L52" s="2395"/>
      <c r="M52" s="2394"/>
      <c r="N52" s="2394"/>
      <c r="O52" s="2395"/>
      <c r="P52" s="2394"/>
      <c r="Q52" s="2394"/>
      <c r="R52" s="2396"/>
    </row>
    <row r="53" spans="2:18" s="2369" customFormat="1">
      <c r="B53" s="2394"/>
      <c r="C53" s="2394"/>
      <c r="D53" s="2394"/>
      <c r="E53" s="2394"/>
      <c r="F53" s="2394"/>
      <c r="G53" s="2395"/>
      <c r="H53" s="2394"/>
      <c r="I53" s="2395"/>
      <c r="J53" s="2394"/>
      <c r="K53" s="2394"/>
      <c r="L53" s="2395"/>
      <c r="M53" s="2394"/>
      <c r="N53" s="2394"/>
      <c r="O53" s="2395"/>
      <c r="P53" s="2394"/>
      <c r="Q53" s="2394"/>
      <c r="R53" s="2396"/>
    </row>
    <row r="54" spans="2:18" s="2369" customFormat="1">
      <c r="B54" s="2394"/>
      <c r="C54" s="2394"/>
      <c r="D54" s="2394"/>
      <c r="E54" s="2394"/>
      <c r="F54" s="2394"/>
      <c r="G54" s="2395"/>
      <c r="H54" s="2394"/>
      <c r="I54" s="2395"/>
      <c r="J54" s="2394"/>
      <c r="K54" s="2394"/>
      <c r="L54" s="2395"/>
      <c r="M54" s="2394"/>
      <c r="N54" s="2394"/>
      <c r="O54" s="2395"/>
      <c r="P54" s="2394"/>
      <c r="Q54" s="2394"/>
      <c r="R54" s="2396"/>
    </row>
    <row r="55" spans="2:18" s="2369" customFormat="1">
      <c r="B55" s="2394"/>
      <c r="C55" s="2394"/>
      <c r="D55" s="2394"/>
      <c r="E55" s="2394"/>
      <c r="F55" s="2394"/>
      <c r="G55" s="2395"/>
      <c r="H55" s="2394"/>
      <c r="I55" s="2395"/>
      <c r="J55" s="2394"/>
      <c r="K55" s="2394"/>
      <c r="L55" s="2395"/>
      <c r="M55" s="2394"/>
      <c r="N55" s="2394"/>
      <c r="O55" s="2395"/>
      <c r="P55" s="2394"/>
      <c r="Q55" s="2394"/>
      <c r="R55" s="2396"/>
    </row>
    <row r="56" spans="2:18" s="2369" customFormat="1">
      <c r="B56" s="2394"/>
      <c r="C56" s="2394"/>
      <c r="D56" s="2394"/>
      <c r="E56" s="2394"/>
      <c r="F56" s="2394"/>
      <c r="G56" s="2395"/>
      <c r="H56" s="2394"/>
      <c r="I56" s="2395"/>
      <c r="J56" s="2394"/>
      <c r="K56" s="2394"/>
      <c r="L56" s="2395"/>
      <c r="M56" s="2394"/>
      <c r="N56" s="2394"/>
      <c r="O56" s="2395"/>
      <c r="P56" s="2394"/>
      <c r="Q56" s="2394"/>
      <c r="R56" s="2396"/>
    </row>
    <row r="57" spans="2:18" s="2369" customFormat="1">
      <c r="B57" s="2394"/>
      <c r="C57" s="2394"/>
      <c r="D57" s="2394"/>
      <c r="E57" s="2394"/>
      <c r="F57" s="2394"/>
      <c r="G57" s="2395"/>
      <c r="H57" s="2394"/>
      <c r="I57" s="2395"/>
      <c r="J57" s="2394"/>
      <c r="K57" s="2394"/>
      <c r="L57" s="2395"/>
      <c r="M57" s="2394"/>
      <c r="N57" s="2394"/>
      <c r="O57" s="2395"/>
      <c r="P57" s="2394"/>
      <c r="Q57" s="2394"/>
      <c r="R57" s="2396"/>
    </row>
    <row r="58" spans="2:18" s="2369" customFormat="1">
      <c r="B58" s="2394"/>
      <c r="C58" s="2394"/>
      <c r="D58" s="2394"/>
      <c r="E58" s="2394"/>
      <c r="F58" s="2394"/>
      <c r="G58" s="2395"/>
      <c r="H58" s="2394"/>
      <c r="I58" s="2395"/>
      <c r="J58" s="2394"/>
      <c r="K58" s="2394"/>
      <c r="L58" s="2395"/>
      <c r="M58" s="2394"/>
      <c r="N58" s="2394"/>
      <c r="O58" s="2395"/>
      <c r="P58" s="2394"/>
      <c r="Q58" s="2394"/>
      <c r="R58" s="2396"/>
    </row>
    <row r="59" spans="2:18" s="2369" customFormat="1">
      <c r="B59" s="2394"/>
      <c r="C59" s="2394"/>
      <c r="D59" s="2394"/>
      <c r="E59" s="2394"/>
      <c r="F59" s="2394"/>
      <c r="G59" s="2395"/>
      <c r="H59" s="2394"/>
      <c r="I59" s="2395"/>
      <c r="J59" s="2394"/>
      <c r="K59" s="2394"/>
      <c r="L59" s="2395"/>
      <c r="M59" s="2394"/>
      <c r="N59" s="2394"/>
      <c r="O59" s="2395"/>
      <c r="P59" s="2394"/>
      <c r="Q59" s="2394"/>
      <c r="R59" s="2396"/>
    </row>
    <row r="60" spans="2:18" s="2369" customFormat="1">
      <c r="B60" s="2394"/>
      <c r="C60" s="2394"/>
      <c r="D60" s="2394"/>
      <c r="E60" s="2394"/>
      <c r="F60" s="2394"/>
      <c r="G60" s="2395"/>
      <c r="H60" s="2394"/>
      <c r="I60" s="2395"/>
      <c r="J60" s="2394"/>
      <c r="K60" s="2394"/>
      <c r="L60" s="2395"/>
      <c r="M60" s="2394"/>
      <c r="N60" s="2394"/>
      <c r="O60" s="2395"/>
      <c r="P60" s="2394"/>
      <c r="Q60" s="2394"/>
      <c r="R60" s="2396"/>
    </row>
    <row r="61" spans="2:18" s="2369" customFormat="1">
      <c r="B61" s="2394"/>
      <c r="C61" s="2394"/>
      <c r="D61" s="2394"/>
      <c r="E61" s="2394"/>
      <c r="F61" s="2394"/>
      <c r="G61" s="2395"/>
      <c r="H61" s="2394"/>
      <c r="I61" s="2395"/>
      <c r="J61" s="2394"/>
      <c r="K61" s="2394"/>
      <c r="L61" s="2395"/>
      <c r="M61" s="2394"/>
      <c r="N61" s="2394"/>
      <c r="O61" s="2395"/>
      <c r="P61" s="2394"/>
      <c r="Q61" s="2394"/>
      <c r="R61" s="2396"/>
    </row>
    <row r="62" spans="2:18" s="2369" customFormat="1">
      <c r="B62" s="2394"/>
      <c r="C62" s="2394"/>
      <c r="D62" s="2394"/>
      <c r="E62" s="2394"/>
      <c r="F62" s="2394"/>
      <c r="G62" s="2395"/>
      <c r="H62" s="2394"/>
      <c r="I62" s="2395"/>
      <c r="J62" s="2394"/>
      <c r="K62" s="2394"/>
      <c r="L62" s="2395"/>
      <c r="M62" s="2394"/>
      <c r="N62" s="2394"/>
      <c r="O62" s="2395"/>
      <c r="P62" s="2394"/>
      <c r="Q62" s="2394"/>
      <c r="R62" s="2396"/>
    </row>
    <row r="63" spans="2:18" s="2369" customFormat="1">
      <c r="B63" s="2394"/>
      <c r="C63" s="2394"/>
      <c r="D63" s="2394"/>
      <c r="E63" s="2394"/>
      <c r="F63" s="2394"/>
      <c r="G63" s="2395"/>
      <c r="H63" s="2394"/>
      <c r="I63" s="2395"/>
      <c r="J63" s="2394"/>
      <c r="K63" s="2394"/>
      <c r="L63" s="2395"/>
      <c r="M63" s="2394"/>
      <c r="N63" s="2394"/>
      <c r="O63" s="2395"/>
      <c r="P63" s="2394"/>
      <c r="Q63" s="2394"/>
      <c r="R63" s="2396"/>
    </row>
    <row r="64" spans="2:18" s="2369" customFormat="1">
      <c r="B64" s="2394"/>
      <c r="C64" s="2394"/>
      <c r="D64" s="2394"/>
      <c r="E64" s="2394"/>
      <c r="F64" s="2394"/>
      <c r="G64" s="2395"/>
      <c r="H64" s="2394"/>
      <c r="I64" s="2395"/>
      <c r="J64" s="2394"/>
      <c r="K64" s="2394"/>
      <c r="L64" s="2395"/>
      <c r="M64" s="2394"/>
      <c r="N64" s="2394"/>
      <c r="O64" s="2395"/>
      <c r="P64" s="2394"/>
      <c r="Q64" s="2394"/>
      <c r="R64" s="2396"/>
    </row>
    <row r="65" spans="2:18" s="2369" customFormat="1">
      <c r="B65" s="2394"/>
      <c r="C65" s="2394"/>
      <c r="D65" s="2394"/>
      <c r="E65" s="2394"/>
      <c r="F65" s="2394"/>
      <c r="G65" s="2395"/>
      <c r="H65" s="2394"/>
      <c r="I65" s="2395"/>
      <c r="J65" s="2394"/>
      <c r="K65" s="2394"/>
      <c r="L65" s="2395"/>
      <c r="M65" s="2394"/>
      <c r="N65" s="2394"/>
      <c r="O65" s="2395"/>
      <c r="P65" s="2394"/>
      <c r="Q65" s="2394"/>
      <c r="R65" s="2396"/>
    </row>
    <row r="66" spans="2:18" s="2369" customFormat="1">
      <c r="B66" s="2394"/>
      <c r="C66" s="2394"/>
      <c r="D66" s="2394"/>
      <c r="E66" s="2394"/>
      <c r="F66" s="2394"/>
      <c r="G66" s="2395"/>
      <c r="H66" s="2394"/>
      <c r="I66" s="2395"/>
      <c r="J66" s="2394"/>
      <c r="K66" s="2394"/>
      <c r="L66" s="2395"/>
      <c r="M66" s="2394"/>
      <c r="N66" s="2394"/>
      <c r="O66" s="2395"/>
      <c r="P66" s="2394"/>
      <c r="Q66" s="2394"/>
      <c r="R66" s="2396"/>
    </row>
    <row r="67" spans="2:18" s="2369" customFormat="1">
      <c r="B67" s="2394"/>
      <c r="C67" s="2394"/>
      <c r="D67" s="2394"/>
      <c r="E67" s="2394"/>
      <c r="F67" s="2394"/>
      <c r="G67" s="2395"/>
      <c r="H67" s="2394"/>
      <c r="I67" s="2395"/>
      <c r="J67" s="2394"/>
      <c r="K67" s="2394"/>
      <c r="L67" s="2395"/>
      <c r="M67" s="2394"/>
      <c r="N67" s="2394"/>
      <c r="O67" s="2395"/>
      <c r="P67" s="2394"/>
      <c r="Q67" s="2394"/>
      <c r="R67" s="2396"/>
    </row>
    <row r="68" spans="2:18" s="2369" customFormat="1">
      <c r="B68" s="2394"/>
      <c r="C68" s="2394"/>
      <c r="D68" s="2394"/>
      <c r="E68" s="2394"/>
      <c r="F68" s="2394"/>
      <c r="G68" s="2395"/>
      <c r="H68" s="2394"/>
      <c r="I68" s="2395"/>
      <c r="J68" s="2394"/>
      <c r="K68" s="2394"/>
      <c r="L68" s="2395"/>
      <c r="M68" s="2394"/>
      <c r="N68" s="2394"/>
      <c r="O68" s="2395"/>
      <c r="P68" s="2394"/>
      <c r="Q68" s="2394"/>
      <c r="R68" s="2396"/>
    </row>
    <row r="69" spans="2:18" s="2369" customFormat="1">
      <c r="B69" s="2394"/>
      <c r="C69" s="2394"/>
      <c r="D69" s="2394"/>
      <c r="E69" s="2394"/>
      <c r="F69" s="2394"/>
      <c r="G69" s="2395"/>
      <c r="H69" s="2394"/>
      <c r="I69" s="2395"/>
      <c r="J69" s="2394"/>
      <c r="K69" s="2394"/>
      <c r="L69" s="2395"/>
      <c r="M69" s="2394"/>
      <c r="N69" s="2394"/>
      <c r="O69" s="2395"/>
      <c r="P69" s="2394"/>
      <c r="Q69" s="2394"/>
      <c r="R69" s="2396"/>
    </row>
    <row r="70" spans="2:18" s="2369" customFormat="1">
      <c r="B70" s="2394"/>
      <c r="C70" s="2394"/>
      <c r="D70" s="2394"/>
      <c r="E70" s="2394"/>
      <c r="F70" s="2394"/>
      <c r="G70" s="2395"/>
      <c r="H70" s="2394"/>
      <c r="I70" s="2395"/>
      <c r="J70" s="2394"/>
      <c r="K70" s="2394"/>
      <c r="L70" s="2395"/>
      <c r="M70" s="2394"/>
      <c r="N70" s="2394"/>
      <c r="O70" s="2395"/>
      <c r="P70" s="2394"/>
      <c r="Q70" s="2394"/>
      <c r="R70" s="2396"/>
    </row>
    <row r="71" spans="2:18" s="2369" customFormat="1">
      <c r="B71" s="2394"/>
      <c r="C71" s="2394"/>
      <c r="D71" s="2394"/>
      <c r="E71" s="2394"/>
      <c r="F71" s="2394"/>
      <c r="G71" s="2395"/>
      <c r="H71" s="2394"/>
      <c r="I71" s="2395"/>
      <c r="J71" s="2394"/>
      <c r="K71" s="2394"/>
      <c r="L71" s="2395"/>
      <c r="M71" s="2394"/>
      <c r="N71" s="2394"/>
      <c r="O71" s="2395"/>
      <c r="P71" s="2394"/>
      <c r="Q71" s="2394"/>
      <c r="R71" s="2396"/>
    </row>
    <row r="72" spans="2:18" s="2369" customFormat="1">
      <c r="B72" s="2394"/>
      <c r="C72" s="2394"/>
      <c r="D72" s="2394"/>
      <c r="E72" s="2394"/>
      <c r="F72" s="2394"/>
      <c r="G72" s="2395"/>
      <c r="H72" s="2394"/>
      <c r="I72" s="2395"/>
      <c r="J72" s="2394"/>
      <c r="K72" s="2394"/>
      <c r="L72" s="2395"/>
      <c r="M72" s="2394"/>
      <c r="N72" s="2394"/>
      <c r="O72" s="2395"/>
      <c r="P72" s="2394"/>
      <c r="Q72" s="2394"/>
      <c r="R72" s="2396"/>
    </row>
    <row r="73" spans="2:18" s="2369" customFormat="1">
      <c r="B73" s="2394"/>
      <c r="C73" s="2394"/>
      <c r="D73" s="2394"/>
      <c r="E73" s="2394"/>
      <c r="F73" s="2394"/>
      <c r="G73" s="2395"/>
      <c r="H73" s="2394"/>
      <c r="I73" s="2395"/>
      <c r="J73" s="2394"/>
      <c r="K73" s="2394"/>
      <c r="L73" s="2395"/>
      <c r="M73" s="2394"/>
      <c r="N73" s="2394"/>
      <c r="O73" s="2395"/>
      <c r="P73" s="2394"/>
      <c r="Q73" s="2394"/>
      <c r="R73" s="2396"/>
    </row>
    <row r="74" spans="2:18" s="2369" customFormat="1">
      <c r="B74" s="2394"/>
      <c r="C74" s="2394"/>
      <c r="D74" s="2394"/>
      <c r="E74" s="2394"/>
      <c r="F74" s="2394"/>
      <c r="G74" s="2395"/>
      <c r="H74" s="2394"/>
      <c r="I74" s="2395"/>
      <c r="J74" s="2394"/>
      <c r="K74" s="2394"/>
      <c r="L74" s="2395"/>
      <c r="M74" s="2394"/>
      <c r="N74" s="2394"/>
      <c r="O74" s="2395"/>
      <c r="P74" s="2394"/>
      <c r="Q74" s="2394"/>
      <c r="R74" s="2396"/>
    </row>
    <row r="75" spans="2:18" s="2369" customFormat="1">
      <c r="B75" s="2394"/>
      <c r="C75" s="2394"/>
      <c r="D75" s="2394"/>
      <c r="E75" s="2394"/>
      <c r="F75" s="2394"/>
      <c r="G75" s="2395"/>
      <c r="H75" s="2394"/>
      <c r="I75" s="2395"/>
      <c r="J75" s="2394"/>
      <c r="K75" s="2394"/>
      <c r="L75" s="2395"/>
      <c r="M75" s="2394"/>
      <c r="N75" s="2394"/>
      <c r="O75" s="2395"/>
      <c r="P75" s="2394"/>
      <c r="Q75" s="2394"/>
      <c r="R75" s="2396"/>
    </row>
    <row r="76" spans="2:18" s="2369" customFormat="1">
      <c r="B76" s="2394"/>
      <c r="C76" s="2394"/>
      <c r="D76" s="2394"/>
      <c r="E76" s="2394"/>
      <c r="F76" s="2394"/>
      <c r="G76" s="2395"/>
      <c r="H76" s="2394"/>
      <c r="I76" s="2395"/>
      <c r="J76" s="2394"/>
      <c r="K76" s="2394"/>
      <c r="L76" s="2395"/>
      <c r="M76" s="2394"/>
      <c r="N76" s="2394"/>
      <c r="O76" s="2395"/>
      <c r="P76" s="2394"/>
      <c r="Q76" s="2394"/>
      <c r="R76" s="2396"/>
    </row>
    <row r="77" spans="2:18" s="2369" customFormat="1">
      <c r="B77" s="2394"/>
      <c r="C77" s="2394"/>
      <c r="D77" s="2394"/>
      <c r="E77" s="2394"/>
      <c r="F77" s="2394"/>
      <c r="G77" s="2395"/>
      <c r="H77" s="2394"/>
      <c r="I77" s="2395"/>
      <c r="J77" s="2394"/>
      <c r="K77" s="2394"/>
      <c r="L77" s="2395"/>
      <c r="M77" s="2394"/>
      <c r="N77" s="2394"/>
      <c r="O77" s="2395"/>
      <c r="P77" s="2394"/>
      <c r="Q77" s="2394"/>
      <c r="R77" s="2396"/>
    </row>
    <row r="78" spans="2:18" s="2369" customFormat="1">
      <c r="B78" s="2394"/>
      <c r="C78" s="2394"/>
      <c r="D78" s="2394"/>
      <c r="E78" s="2394"/>
      <c r="F78" s="2394"/>
      <c r="G78" s="2395"/>
      <c r="H78" s="2394"/>
      <c r="I78" s="2395"/>
      <c r="J78" s="2394"/>
      <c r="K78" s="2394"/>
      <c r="L78" s="2395"/>
      <c r="M78" s="2394"/>
      <c r="N78" s="2394"/>
      <c r="O78" s="2395"/>
      <c r="P78" s="2394"/>
      <c r="Q78" s="2394"/>
      <c r="R78" s="2396"/>
    </row>
    <row r="79" spans="2:18" s="2369" customFormat="1">
      <c r="B79" s="2394"/>
      <c r="C79" s="2394"/>
      <c r="D79" s="2394"/>
      <c r="E79" s="2394"/>
      <c r="F79" s="2394"/>
      <c r="G79" s="2395"/>
      <c r="H79" s="2394"/>
      <c r="I79" s="2395"/>
      <c r="J79" s="2394"/>
      <c r="K79" s="2394"/>
      <c r="L79" s="2395"/>
      <c r="M79" s="2394"/>
      <c r="N79" s="2394"/>
      <c r="O79" s="2395"/>
      <c r="P79" s="2394"/>
      <c r="Q79" s="2394"/>
      <c r="R79" s="2396"/>
    </row>
    <row r="80" spans="2:18" s="2369" customFormat="1">
      <c r="B80" s="2394"/>
      <c r="C80" s="2394"/>
      <c r="D80" s="2394"/>
      <c r="E80" s="2394"/>
      <c r="F80" s="2394"/>
      <c r="G80" s="2395"/>
      <c r="H80" s="2394"/>
      <c r="I80" s="2395"/>
      <c r="J80" s="2394"/>
      <c r="K80" s="2394"/>
      <c r="L80" s="2395"/>
      <c r="M80" s="2394"/>
      <c r="N80" s="2394"/>
      <c r="O80" s="2395"/>
      <c r="P80" s="2394"/>
      <c r="Q80" s="2394"/>
      <c r="R80" s="2396"/>
    </row>
    <row r="81" spans="2:18" s="2369" customFormat="1">
      <c r="B81" s="2394"/>
      <c r="C81" s="2394"/>
      <c r="D81" s="2394"/>
      <c r="E81" s="2394"/>
      <c r="F81" s="2394"/>
      <c r="G81" s="2395"/>
      <c r="H81" s="2394"/>
      <c r="I81" s="2395"/>
      <c r="J81" s="2394"/>
      <c r="K81" s="2394"/>
      <c r="L81" s="2395"/>
      <c r="M81" s="2394"/>
      <c r="N81" s="2394"/>
      <c r="O81" s="2395"/>
      <c r="P81" s="2394"/>
      <c r="Q81" s="2394"/>
      <c r="R81" s="2396"/>
    </row>
    <row r="82" spans="2:18" s="2369" customFormat="1">
      <c r="B82" s="2394"/>
      <c r="C82" s="2394"/>
      <c r="D82" s="2394"/>
      <c r="E82" s="2394"/>
      <c r="F82" s="2394"/>
      <c r="G82" s="2395"/>
      <c r="H82" s="2394"/>
      <c r="I82" s="2395"/>
      <c r="J82" s="2394"/>
      <c r="K82" s="2394"/>
      <c r="L82" s="2395"/>
      <c r="M82" s="2394"/>
      <c r="N82" s="2394"/>
      <c r="O82" s="2395"/>
      <c r="P82" s="2394"/>
      <c r="Q82" s="2394"/>
      <c r="R82" s="2396"/>
    </row>
    <row r="83" spans="2:18" s="2369" customFormat="1">
      <c r="B83" s="2394"/>
      <c r="C83" s="2394"/>
      <c r="D83" s="2394"/>
      <c r="E83" s="2394"/>
      <c r="F83" s="2394"/>
      <c r="G83" s="2395"/>
      <c r="H83" s="2394"/>
      <c r="I83" s="2395"/>
      <c r="J83" s="2394"/>
      <c r="K83" s="2394"/>
      <c r="L83" s="2395"/>
      <c r="M83" s="2394"/>
      <c r="N83" s="2394"/>
      <c r="O83" s="2395"/>
      <c r="P83" s="2394"/>
      <c r="Q83" s="2394"/>
      <c r="R83" s="2396"/>
    </row>
    <row r="84" spans="2:18" s="2369" customFormat="1">
      <c r="B84" s="2394"/>
      <c r="C84" s="2394"/>
      <c r="D84" s="2394"/>
      <c r="E84" s="2394"/>
      <c r="F84" s="2394"/>
      <c r="G84" s="2395"/>
      <c r="H84" s="2394"/>
      <c r="I84" s="2395"/>
      <c r="J84" s="2394"/>
      <c r="K84" s="2394"/>
      <c r="L84" s="2395"/>
      <c r="M84" s="2394"/>
      <c r="N84" s="2394"/>
      <c r="O84" s="2395"/>
      <c r="P84" s="2394"/>
      <c r="Q84" s="2394"/>
      <c r="R84" s="2396"/>
    </row>
    <row r="85" spans="2:18" s="2369" customFormat="1">
      <c r="B85" s="2394"/>
      <c r="C85" s="2394"/>
      <c r="D85" s="2394"/>
      <c r="E85" s="2394"/>
      <c r="F85" s="2394"/>
      <c r="G85" s="2395"/>
      <c r="H85" s="2394"/>
      <c r="I85" s="2395"/>
      <c r="J85" s="2394"/>
      <c r="K85" s="2394"/>
      <c r="L85" s="2395"/>
      <c r="M85" s="2394"/>
      <c r="N85" s="2394"/>
      <c r="O85" s="2395"/>
      <c r="P85" s="2394"/>
      <c r="Q85" s="2394"/>
      <c r="R85" s="2396"/>
    </row>
    <row r="86" spans="2:18" s="2369" customFormat="1">
      <c r="B86" s="2394"/>
      <c r="C86" s="2394"/>
      <c r="D86" s="2394"/>
      <c r="E86" s="2394"/>
      <c r="F86" s="2394"/>
      <c r="G86" s="2395"/>
      <c r="H86" s="2394"/>
      <c r="I86" s="2395"/>
      <c r="J86" s="2394"/>
      <c r="K86" s="2394"/>
      <c r="L86" s="2395"/>
      <c r="M86" s="2394"/>
      <c r="N86" s="2394"/>
      <c r="O86" s="2395"/>
      <c r="P86" s="2394"/>
      <c r="Q86" s="2394"/>
      <c r="R86" s="2396"/>
    </row>
    <row r="87" spans="2:18" s="2369" customFormat="1">
      <c r="B87" s="2394"/>
      <c r="C87" s="2394"/>
      <c r="D87" s="2394"/>
      <c r="E87" s="2394"/>
      <c r="F87" s="2394"/>
      <c r="G87" s="2395"/>
      <c r="H87" s="2394"/>
      <c r="I87" s="2395"/>
      <c r="J87" s="2394"/>
      <c r="K87" s="2394"/>
      <c r="L87" s="2395"/>
      <c r="M87" s="2394"/>
      <c r="N87" s="2394"/>
      <c r="O87" s="2395"/>
      <c r="P87" s="2394"/>
      <c r="Q87" s="2394"/>
      <c r="R87" s="2396"/>
    </row>
    <row r="88" spans="2:18" s="2369" customFormat="1">
      <c r="B88" s="2394"/>
      <c r="C88" s="2394"/>
      <c r="D88" s="2394"/>
      <c r="E88" s="2394"/>
      <c r="F88" s="2394"/>
      <c r="G88" s="2395"/>
      <c r="H88" s="2394"/>
      <c r="I88" s="2395"/>
      <c r="J88" s="2394"/>
      <c r="K88" s="2394"/>
      <c r="L88" s="2395"/>
      <c r="M88" s="2394"/>
      <c r="N88" s="2394"/>
      <c r="O88" s="2395"/>
      <c r="P88" s="2394"/>
      <c r="Q88" s="2394"/>
      <c r="R88" s="2396"/>
    </row>
    <row r="89" spans="2:18" s="2369" customFormat="1">
      <c r="B89" s="2394"/>
      <c r="C89" s="2394"/>
      <c r="D89" s="2394"/>
      <c r="E89" s="2394"/>
      <c r="F89" s="2394"/>
      <c r="G89" s="2395"/>
      <c r="H89" s="2394"/>
      <c r="I89" s="2395"/>
      <c r="J89" s="2394"/>
      <c r="K89" s="2394"/>
      <c r="L89" s="2395"/>
      <c r="M89" s="2394"/>
      <c r="N89" s="2394"/>
      <c r="O89" s="2395"/>
      <c r="P89" s="2394"/>
      <c r="Q89" s="2394"/>
      <c r="R89" s="2396"/>
    </row>
    <row r="90" spans="2:18" s="2369" customFormat="1">
      <c r="B90" s="2394"/>
      <c r="C90" s="2394"/>
      <c r="D90" s="2394"/>
      <c r="E90" s="2394"/>
      <c r="F90" s="2394"/>
      <c r="G90" s="2395"/>
      <c r="H90" s="2394"/>
      <c r="I90" s="2395"/>
      <c r="J90" s="2394"/>
      <c r="K90" s="2394"/>
      <c r="L90" s="2395"/>
      <c r="M90" s="2394"/>
      <c r="N90" s="2394"/>
      <c r="O90" s="2395"/>
      <c r="P90" s="2394"/>
      <c r="Q90" s="2394"/>
      <c r="R90" s="2396"/>
    </row>
    <row r="91" spans="2:18" s="2369" customFormat="1">
      <c r="B91" s="2394"/>
      <c r="C91" s="2394"/>
      <c r="D91" s="2394"/>
      <c r="E91" s="2394"/>
      <c r="F91" s="2394"/>
      <c r="G91" s="2395"/>
      <c r="H91" s="2394"/>
      <c r="I91" s="2395"/>
      <c r="J91" s="2394"/>
      <c r="K91" s="2394"/>
      <c r="L91" s="2395"/>
      <c r="M91" s="2394"/>
      <c r="N91" s="2394"/>
      <c r="O91" s="2395"/>
      <c r="P91" s="2394"/>
      <c r="Q91" s="2394"/>
      <c r="R91" s="2396"/>
    </row>
    <row r="92" spans="2:18" s="2369" customFormat="1">
      <c r="B92" s="2394"/>
      <c r="C92" s="2394"/>
      <c r="D92" s="2394"/>
      <c r="E92" s="2394"/>
      <c r="F92" s="2394"/>
      <c r="G92" s="2395"/>
      <c r="H92" s="2394"/>
      <c r="I92" s="2395"/>
      <c r="J92" s="2394"/>
      <c r="K92" s="2394"/>
      <c r="L92" s="2395"/>
      <c r="M92" s="2394"/>
      <c r="N92" s="2394"/>
      <c r="O92" s="2395"/>
      <c r="P92" s="2394"/>
      <c r="Q92" s="2394"/>
      <c r="R92" s="2396"/>
    </row>
    <row r="93" spans="2:18" s="2369" customFormat="1">
      <c r="B93" s="2394"/>
      <c r="C93" s="2394"/>
      <c r="D93" s="2394"/>
      <c r="E93" s="2394"/>
      <c r="F93" s="2394"/>
      <c r="G93" s="2395"/>
      <c r="H93" s="2394"/>
      <c r="I93" s="2395"/>
      <c r="J93" s="2394"/>
      <c r="K93" s="2394"/>
      <c r="L93" s="2395"/>
      <c r="M93" s="2394"/>
      <c r="N93" s="2394"/>
      <c r="O93" s="2395"/>
      <c r="P93" s="2394"/>
      <c r="Q93" s="2394"/>
      <c r="R93" s="2396"/>
    </row>
    <row r="94" spans="2:18" s="2369" customFormat="1">
      <c r="B94" s="2394"/>
      <c r="C94" s="2394"/>
      <c r="D94" s="2394"/>
      <c r="E94" s="2394"/>
      <c r="F94" s="2394"/>
      <c r="G94" s="2395"/>
      <c r="H94" s="2394"/>
      <c r="I94" s="2395"/>
      <c r="J94" s="2394"/>
      <c r="K94" s="2394"/>
      <c r="L94" s="2395"/>
      <c r="M94" s="2394"/>
      <c r="N94" s="2394"/>
      <c r="O94" s="2395"/>
      <c r="P94" s="2394"/>
      <c r="Q94" s="2394"/>
      <c r="R94" s="2396"/>
    </row>
    <row r="95" spans="2:18" s="2369" customFormat="1">
      <c r="B95" s="2394"/>
      <c r="C95" s="2394"/>
      <c r="D95" s="2394"/>
      <c r="E95" s="2394"/>
      <c r="F95" s="2394"/>
      <c r="G95" s="2395"/>
      <c r="H95" s="2394"/>
      <c r="I95" s="2395"/>
      <c r="J95" s="2394"/>
      <c r="K95" s="2394"/>
      <c r="L95" s="2395"/>
      <c r="M95" s="2394"/>
      <c r="N95" s="2394"/>
      <c r="O95" s="2395"/>
      <c r="P95" s="2394"/>
      <c r="Q95" s="2394"/>
      <c r="R95" s="2396"/>
    </row>
    <row r="96" spans="2:18" s="2369" customFormat="1">
      <c r="B96" s="2394"/>
      <c r="C96" s="2394"/>
      <c r="D96" s="2394"/>
      <c r="E96" s="2394"/>
      <c r="F96" s="2394"/>
      <c r="G96" s="2395"/>
      <c r="H96" s="2394"/>
      <c r="I96" s="2395"/>
      <c r="J96" s="2394"/>
      <c r="K96" s="2394"/>
      <c r="L96" s="2395"/>
      <c r="M96" s="2394"/>
      <c r="N96" s="2394"/>
      <c r="O96" s="2395"/>
      <c r="P96" s="2394"/>
      <c r="Q96" s="2394"/>
      <c r="R96" s="2396"/>
    </row>
    <row r="97" spans="2:18" s="2369" customFormat="1">
      <c r="B97" s="2394"/>
      <c r="C97" s="2394"/>
      <c r="D97" s="2394"/>
      <c r="E97" s="2394"/>
      <c r="F97" s="2394"/>
      <c r="G97" s="2395"/>
      <c r="H97" s="2394"/>
      <c r="I97" s="2395"/>
      <c r="J97" s="2394"/>
      <c r="K97" s="2394"/>
      <c r="L97" s="2395"/>
      <c r="M97" s="2394"/>
      <c r="N97" s="2394"/>
      <c r="O97" s="2395"/>
      <c r="P97" s="2394"/>
      <c r="Q97" s="2394"/>
      <c r="R97" s="2396"/>
    </row>
    <row r="98" spans="2:18" s="2369" customFormat="1">
      <c r="B98" s="2394"/>
      <c r="C98" s="2394"/>
      <c r="D98" s="2394"/>
      <c r="E98" s="2394"/>
      <c r="F98" s="2394"/>
      <c r="G98" s="2395"/>
      <c r="H98" s="2394"/>
      <c r="I98" s="2395"/>
      <c r="J98" s="2394"/>
      <c r="K98" s="2394"/>
      <c r="L98" s="2395"/>
      <c r="M98" s="2394"/>
      <c r="N98" s="2394"/>
      <c r="O98" s="2395"/>
      <c r="P98" s="2394"/>
      <c r="Q98" s="2394"/>
      <c r="R98" s="2396"/>
    </row>
    <row r="99" spans="2:18" s="2369" customFormat="1">
      <c r="B99" s="2394"/>
      <c r="C99" s="2394"/>
      <c r="D99" s="2394"/>
      <c r="E99" s="2394"/>
      <c r="F99" s="2394"/>
      <c r="G99" s="2395"/>
      <c r="H99" s="2394"/>
      <c r="I99" s="2395"/>
      <c r="J99" s="2394"/>
      <c r="K99" s="2394"/>
      <c r="L99" s="2395"/>
      <c r="M99" s="2394"/>
      <c r="N99" s="2394"/>
      <c r="O99" s="2395"/>
      <c r="P99" s="2394"/>
      <c r="Q99" s="2394"/>
      <c r="R99" s="2396"/>
    </row>
    <row r="100" spans="2:18" s="2369" customFormat="1">
      <c r="B100" s="2394"/>
      <c r="C100" s="2394"/>
      <c r="D100" s="2394"/>
      <c r="E100" s="2394"/>
      <c r="F100" s="2394"/>
      <c r="G100" s="2395"/>
      <c r="H100" s="2394"/>
      <c r="I100" s="2395"/>
      <c r="J100" s="2394"/>
      <c r="K100" s="2394"/>
      <c r="L100" s="2395"/>
      <c r="M100" s="2394"/>
      <c r="N100" s="2394"/>
      <c r="O100" s="2395"/>
      <c r="P100" s="2394"/>
      <c r="Q100" s="2394"/>
      <c r="R100" s="2396"/>
    </row>
    <row r="101" spans="2:18" s="2369" customFormat="1">
      <c r="B101" s="2394"/>
      <c r="C101" s="2394"/>
      <c r="D101" s="2394"/>
      <c r="E101" s="2394"/>
      <c r="F101" s="2394"/>
      <c r="G101" s="2395"/>
      <c r="H101" s="2394"/>
      <c r="I101" s="2395"/>
      <c r="J101" s="2394"/>
      <c r="K101" s="2394"/>
      <c r="L101" s="2395"/>
      <c r="M101" s="2394"/>
      <c r="N101" s="2394"/>
      <c r="O101" s="2395"/>
      <c r="P101" s="2394"/>
      <c r="Q101" s="2394"/>
      <c r="R101" s="2396"/>
    </row>
    <row r="102" spans="2:18" s="2369" customFormat="1">
      <c r="B102" s="2394"/>
      <c r="C102" s="2394"/>
      <c r="D102" s="2394"/>
      <c r="E102" s="2394"/>
      <c r="F102" s="2394"/>
      <c r="G102" s="2395"/>
      <c r="H102" s="2394"/>
      <c r="I102" s="2395"/>
      <c r="J102" s="2394"/>
      <c r="K102" s="2394"/>
      <c r="L102" s="2395"/>
      <c r="M102" s="2394"/>
      <c r="N102" s="2394"/>
      <c r="O102" s="2395"/>
      <c r="P102" s="2394"/>
      <c r="Q102" s="2394"/>
      <c r="R102" s="2396"/>
    </row>
    <row r="103" spans="2:18" s="2369" customFormat="1">
      <c r="B103" s="2394"/>
      <c r="C103" s="2394"/>
      <c r="D103" s="2394"/>
      <c r="E103" s="2394"/>
      <c r="F103" s="2394"/>
      <c r="G103" s="2395"/>
      <c r="H103" s="2394"/>
      <c r="I103" s="2395"/>
      <c r="J103" s="2394"/>
      <c r="K103" s="2394"/>
      <c r="L103" s="2395"/>
      <c r="M103" s="2394"/>
      <c r="N103" s="2394"/>
      <c r="O103" s="2395"/>
      <c r="P103" s="2394"/>
      <c r="Q103" s="2394"/>
      <c r="R103" s="2396"/>
    </row>
    <row r="104" spans="2:18" s="2369" customFormat="1">
      <c r="B104" s="2394"/>
      <c r="C104" s="2394"/>
      <c r="D104" s="2394"/>
      <c r="E104" s="2394"/>
      <c r="F104" s="2394"/>
      <c r="G104" s="2395"/>
      <c r="H104" s="2394"/>
      <c r="I104" s="2395"/>
      <c r="J104" s="2394"/>
      <c r="K104" s="2394"/>
      <c r="L104" s="2395"/>
      <c r="M104" s="2394"/>
      <c r="N104" s="2394"/>
      <c r="O104" s="2395"/>
      <c r="P104" s="2394"/>
      <c r="Q104" s="2394"/>
      <c r="R104" s="2396"/>
    </row>
    <row r="105" spans="2:18" s="2369" customFormat="1">
      <c r="B105" s="2394"/>
      <c r="C105" s="2394"/>
      <c r="D105" s="2394"/>
      <c r="E105" s="2394"/>
      <c r="F105" s="2394"/>
      <c r="G105" s="2395"/>
      <c r="H105" s="2394"/>
      <c r="I105" s="2395"/>
      <c r="J105" s="2394"/>
      <c r="K105" s="2394"/>
      <c r="L105" s="2395"/>
      <c r="M105" s="2394"/>
      <c r="N105" s="2394"/>
      <c r="O105" s="2395"/>
      <c r="P105" s="2394"/>
      <c r="Q105" s="2394"/>
      <c r="R105" s="2396"/>
    </row>
    <row r="106" spans="2:18" s="2369" customFormat="1">
      <c r="B106" s="2394"/>
      <c r="C106" s="2394"/>
      <c r="D106" s="2394"/>
      <c r="E106" s="2394"/>
      <c r="F106" s="2394"/>
      <c r="G106" s="2395"/>
      <c r="H106" s="2394"/>
      <c r="I106" s="2395"/>
      <c r="J106" s="2394"/>
      <c r="K106" s="2394"/>
      <c r="L106" s="2395"/>
      <c r="M106" s="2394"/>
      <c r="N106" s="2394"/>
      <c r="O106" s="2395"/>
      <c r="P106" s="2394"/>
      <c r="Q106" s="2394"/>
      <c r="R106" s="2396"/>
    </row>
    <row r="107" spans="2:18" s="2369" customFormat="1">
      <c r="B107" s="2394"/>
      <c r="C107" s="2394"/>
      <c r="D107" s="2394"/>
      <c r="E107" s="2394"/>
      <c r="F107" s="2394"/>
      <c r="G107" s="2395"/>
      <c r="H107" s="2394"/>
      <c r="I107" s="2395"/>
      <c r="J107" s="2394"/>
      <c r="K107" s="2394"/>
      <c r="L107" s="2395"/>
      <c r="M107" s="2394"/>
      <c r="N107" s="2394"/>
      <c r="O107" s="2395"/>
      <c r="P107" s="2394"/>
      <c r="Q107" s="2394"/>
      <c r="R107" s="2396"/>
    </row>
    <row r="108" spans="2:18" s="2369" customFormat="1">
      <c r="B108" s="2394"/>
      <c r="C108" s="2394"/>
      <c r="D108" s="2394"/>
      <c r="E108" s="2394"/>
      <c r="F108" s="2394"/>
      <c r="G108" s="2395"/>
      <c r="H108" s="2394"/>
      <c r="I108" s="2395"/>
      <c r="J108" s="2394"/>
      <c r="K108" s="2394"/>
      <c r="L108" s="2395"/>
      <c r="M108" s="2394"/>
      <c r="N108" s="2394"/>
      <c r="O108" s="2395"/>
      <c r="P108" s="2394"/>
      <c r="Q108" s="2394"/>
      <c r="R108" s="2396"/>
    </row>
    <row r="109" spans="2:18" s="2369" customFormat="1">
      <c r="B109" s="2394"/>
      <c r="C109" s="2394"/>
      <c r="D109" s="2394"/>
      <c r="E109" s="2394"/>
      <c r="F109" s="2394"/>
      <c r="G109" s="2395"/>
      <c r="H109" s="2394"/>
      <c r="I109" s="2395"/>
      <c r="J109" s="2394"/>
      <c r="K109" s="2394"/>
      <c r="L109" s="2395"/>
      <c r="M109" s="2394"/>
      <c r="N109" s="2394"/>
      <c r="O109" s="2395"/>
      <c r="P109" s="2394"/>
      <c r="Q109" s="2394"/>
      <c r="R109" s="2396"/>
    </row>
    <row r="110" spans="2:18" s="2369" customFormat="1">
      <c r="B110" s="2394"/>
      <c r="C110" s="2394"/>
      <c r="D110" s="2394"/>
      <c r="E110" s="2394"/>
      <c r="F110" s="2394"/>
      <c r="G110" s="2395"/>
      <c r="H110" s="2394"/>
      <c r="I110" s="2395"/>
      <c r="J110" s="2394"/>
      <c r="K110" s="2394"/>
      <c r="L110" s="2395"/>
      <c r="M110" s="2394"/>
      <c r="N110" s="2394"/>
      <c r="O110" s="2395"/>
      <c r="P110" s="2394"/>
      <c r="Q110" s="2394"/>
      <c r="R110" s="2396"/>
    </row>
    <row r="111" spans="2:18" s="2369" customFormat="1">
      <c r="B111" s="2394"/>
      <c r="C111" s="2394"/>
      <c r="D111" s="2394"/>
      <c r="E111" s="2394"/>
      <c r="F111" s="2394"/>
      <c r="G111" s="2395"/>
      <c r="H111" s="2394"/>
      <c r="I111" s="2395"/>
      <c r="J111" s="2394"/>
      <c r="K111" s="2394"/>
      <c r="L111" s="2395"/>
      <c r="M111" s="2394"/>
      <c r="N111" s="2394"/>
      <c r="O111" s="2395"/>
      <c r="P111" s="2394"/>
      <c r="Q111" s="2394"/>
      <c r="R111" s="2396"/>
    </row>
    <row r="112" spans="2:18" s="2369" customFormat="1">
      <c r="B112" s="2394"/>
      <c r="C112" s="2394"/>
      <c r="D112" s="2394"/>
      <c r="E112" s="2394"/>
      <c r="F112" s="2394"/>
      <c r="G112" s="2395"/>
      <c r="H112" s="2394"/>
      <c r="I112" s="2395"/>
      <c r="J112" s="2394"/>
      <c r="K112" s="2394"/>
      <c r="L112" s="2395"/>
      <c r="M112" s="2394"/>
      <c r="N112" s="2394"/>
      <c r="O112" s="2395"/>
      <c r="P112" s="2394"/>
      <c r="Q112" s="2394"/>
      <c r="R112" s="2396"/>
    </row>
    <row r="113" spans="2:18" s="2369" customFormat="1">
      <c r="B113" s="2394"/>
      <c r="C113" s="2394"/>
      <c r="D113" s="2394"/>
      <c r="E113" s="2394"/>
      <c r="F113" s="2394"/>
      <c r="G113" s="2395"/>
      <c r="H113" s="2394"/>
      <c r="I113" s="2395"/>
      <c r="J113" s="2394"/>
      <c r="K113" s="2394"/>
      <c r="L113" s="2395"/>
      <c r="M113" s="2394"/>
      <c r="N113" s="2394"/>
      <c r="O113" s="2395"/>
      <c r="P113" s="2394"/>
      <c r="Q113" s="2394"/>
      <c r="R113" s="2396"/>
    </row>
    <row r="114" spans="2:18" s="2369" customFormat="1">
      <c r="B114" s="2394"/>
      <c r="C114" s="2394"/>
      <c r="D114" s="2394"/>
      <c r="E114" s="2394"/>
      <c r="F114" s="2394"/>
      <c r="G114" s="2395"/>
      <c r="H114" s="2394"/>
      <c r="I114" s="2395"/>
      <c r="J114" s="2394"/>
      <c r="K114" s="2394"/>
      <c r="L114" s="2395"/>
      <c r="M114" s="2394"/>
      <c r="N114" s="2394"/>
      <c r="O114" s="2395"/>
      <c r="P114" s="2394"/>
      <c r="Q114" s="2394"/>
      <c r="R114" s="2396"/>
    </row>
    <row r="115" spans="2:18" s="2369" customFormat="1">
      <c r="B115" s="2394"/>
      <c r="C115" s="2394"/>
      <c r="D115" s="2394"/>
      <c r="E115" s="2394"/>
      <c r="F115" s="2394"/>
      <c r="G115" s="2395"/>
      <c r="H115" s="2394"/>
      <c r="I115" s="2395"/>
      <c r="J115" s="2394"/>
      <c r="K115" s="2394"/>
      <c r="L115" s="2395"/>
      <c r="M115" s="2394"/>
      <c r="N115" s="2394"/>
      <c r="O115" s="2395"/>
      <c r="P115" s="2394"/>
      <c r="Q115" s="2394"/>
      <c r="R115" s="2396"/>
    </row>
    <row r="116" spans="2:18" s="2369" customFormat="1">
      <c r="B116" s="2394"/>
      <c r="C116" s="2394"/>
      <c r="D116" s="2394"/>
      <c r="E116" s="2394"/>
      <c r="F116" s="2394"/>
      <c r="G116" s="2395"/>
      <c r="H116" s="2394"/>
      <c r="I116" s="2395"/>
      <c r="J116" s="2394"/>
      <c r="K116" s="2394"/>
      <c r="L116" s="2395"/>
      <c r="M116" s="2394"/>
      <c r="N116" s="2394"/>
      <c r="O116" s="2395"/>
      <c r="P116" s="2394"/>
      <c r="Q116" s="2394"/>
      <c r="R116" s="2396"/>
    </row>
    <row r="117" spans="2:18" s="2369" customFormat="1">
      <c r="B117" s="2394"/>
      <c r="C117" s="2394"/>
      <c r="D117" s="2394"/>
      <c r="E117" s="2394"/>
      <c r="F117" s="2394"/>
      <c r="G117" s="2395"/>
      <c r="H117" s="2394"/>
      <c r="I117" s="2395"/>
      <c r="J117" s="2394"/>
      <c r="K117" s="2394"/>
      <c r="L117" s="2395"/>
      <c r="M117" s="2394"/>
      <c r="N117" s="2394"/>
      <c r="O117" s="2395"/>
      <c r="P117" s="2394"/>
      <c r="Q117" s="2394"/>
      <c r="R117" s="2396"/>
    </row>
    <row r="118" spans="2:18" s="2369" customFormat="1">
      <c r="B118" s="2394"/>
      <c r="C118" s="2394"/>
      <c r="D118" s="2394"/>
      <c r="E118" s="2394"/>
      <c r="F118" s="2394"/>
      <c r="G118" s="2395"/>
      <c r="H118" s="2394"/>
      <c r="I118" s="2395"/>
      <c r="J118" s="2394"/>
      <c r="K118" s="2394"/>
      <c r="L118" s="2395"/>
      <c r="M118" s="2394"/>
      <c r="N118" s="2394"/>
      <c r="O118" s="2395"/>
      <c r="P118" s="2394"/>
      <c r="Q118" s="2394"/>
      <c r="R118" s="2396"/>
    </row>
    <row r="119" spans="2:18" s="2369" customFormat="1">
      <c r="B119" s="2394"/>
      <c r="C119" s="2394"/>
      <c r="D119" s="2394"/>
      <c r="E119" s="2394"/>
      <c r="F119" s="2394"/>
      <c r="G119" s="2395"/>
      <c r="H119" s="2394"/>
      <c r="I119" s="2395"/>
      <c r="J119" s="2394"/>
      <c r="K119" s="2394"/>
      <c r="L119" s="2395"/>
      <c r="M119" s="2394"/>
      <c r="N119" s="2394"/>
      <c r="O119" s="2395"/>
      <c r="P119" s="2394"/>
      <c r="Q119" s="2394"/>
      <c r="R119" s="2396"/>
    </row>
    <row r="120" spans="2:18" s="2369" customFormat="1">
      <c r="B120" s="2394"/>
      <c r="C120" s="2394"/>
      <c r="D120" s="2394"/>
      <c r="E120" s="2394"/>
      <c r="F120" s="2394"/>
      <c r="G120" s="2395"/>
      <c r="H120" s="2394"/>
      <c r="I120" s="2395"/>
      <c r="J120" s="2394"/>
      <c r="K120" s="2394"/>
      <c r="L120" s="2395"/>
      <c r="M120" s="2394"/>
      <c r="N120" s="2394"/>
      <c r="O120" s="2395"/>
      <c r="P120" s="2394"/>
      <c r="Q120" s="2394"/>
      <c r="R120" s="2396"/>
    </row>
    <row r="121" spans="2:18" s="2369" customFormat="1">
      <c r="B121" s="2394"/>
      <c r="C121" s="2394"/>
      <c r="D121" s="2394"/>
      <c r="E121" s="2394"/>
      <c r="F121" s="2394"/>
      <c r="G121" s="2395"/>
      <c r="H121" s="2394"/>
      <c r="I121" s="2395"/>
      <c r="J121" s="2394"/>
      <c r="K121" s="2394"/>
      <c r="L121" s="2395"/>
      <c r="M121" s="2394"/>
      <c r="N121" s="2394"/>
      <c r="O121" s="2395"/>
      <c r="P121" s="2394"/>
      <c r="Q121" s="2394"/>
      <c r="R121" s="2396"/>
    </row>
    <row r="122" spans="2:18" s="2369" customFormat="1">
      <c r="B122" s="2394"/>
      <c r="C122" s="2394"/>
      <c r="D122" s="2394"/>
      <c r="E122" s="2394"/>
      <c r="F122" s="2394"/>
      <c r="G122" s="2395"/>
      <c r="H122" s="2394"/>
      <c r="I122" s="2395"/>
      <c r="J122" s="2394"/>
      <c r="K122" s="2394"/>
      <c r="L122" s="2395"/>
      <c r="M122" s="2394"/>
      <c r="N122" s="2394"/>
      <c r="O122" s="2395"/>
      <c r="P122" s="2394"/>
      <c r="Q122" s="2394"/>
      <c r="R122" s="2396"/>
    </row>
    <row r="123" spans="2:18" s="2369" customFormat="1">
      <c r="B123" s="2394"/>
      <c r="C123" s="2394"/>
      <c r="D123" s="2394"/>
      <c r="E123" s="2394"/>
      <c r="F123" s="2394"/>
      <c r="G123" s="2395"/>
      <c r="H123" s="2394"/>
      <c r="I123" s="2395"/>
      <c r="J123" s="2394"/>
      <c r="K123" s="2394"/>
      <c r="L123" s="2395"/>
      <c r="M123" s="2394"/>
      <c r="N123" s="2394"/>
      <c r="O123" s="2395"/>
      <c r="P123" s="2394"/>
      <c r="Q123" s="2394"/>
      <c r="R123" s="2396"/>
    </row>
    <row r="124" spans="2:18" s="2369" customFormat="1">
      <c r="B124" s="2394"/>
      <c r="C124" s="2394"/>
      <c r="D124" s="2394"/>
      <c r="E124" s="2394"/>
      <c r="F124" s="2394"/>
      <c r="G124" s="2395"/>
      <c r="H124" s="2394"/>
      <c r="I124" s="2395"/>
      <c r="J124" s="2394"/>
      <c r="K124" s="2394"/>
      <c r="L124" s="2395"/>
      <c r="M124" s="2394"/>
      <c r="N124" s="2394"/>
      <c r="O124" s="2395"/>
      <c r="P124" s="2394"/>
      <c r="Q124" s="2394"/>
      <c r="R124" s="2396"/>
    </row>
    <row r="125" spans="2:18" s="2369" customFormat="1">
      <c r="B125" s="2394"/>
      <c r="C125" s="2394"/>
      <c r="D125" s="2394"/>
      <c r="E125" s="2394"/>
      <c r="F125" s="2394"/>
      <c r="G125" s="2395"/>
      <c r="H125" s="2394"/>
      <c r="I125" s="2395"/>
      <c r="J125" s="2394"/>
      <c r="K125" s="2394"/>
      <c r="L125" s="2395"/>
      <c r="M125" s="2394"/>
      <c r="N125" s="2394"/>
      <c r="O125" s="2395"/>
      <c r="P125" s="2394"/>
      <c r="Q125" s="2394"/>
      <c r="R125" s="2396"/>
    </row>
    <row r="126" spans="2:18" s="2369" customFormat="1">
      <c r="B126" s="2394"/>
      <c r="C126" s="2394"/>
      <c r="D126" s="2394"/>
      <c r="E126" s="2394"/>
      <c r="F126" s="2394"/>
      <c r="G126" s="2395"/>
      <c r="H126" s="2394"/>
      <c r="I126" s="2395"/>
      <c r="J126" s="2394"/>
      <c r="K126" s="2394"/>
      <c r="L126" s="2395"/>
      <c r="M126" s="2394"/>
      <c r="N126" s="2394"/>
      <c r="O126" s="2395"/>
      <c r="P126" s="2394"/>
      <c r="Q126" s="2394"/>
      <c r="R126" s="2396"/>
    </row>
    <row r="127" spans="2:18" s="2369" customFormat="1">
      <c r="B127" s="2394"/>
      <c r="C127" s="2394"/>
      <c r="D127" s="2394"/>
      <c r="E127" s="2394"/>
      <c r="F127" s="2394"/>
      <c r="G127" s="2395"/>
      <c r="H127" s="2394"/>
      <c r="I127" s="2395"/>
      <c r="J127" s="2394"/>
      <c r="K127" s="2394"/>
      <c r="L127" s="2395"/>
      <c r="M127" s="2394"/>
      <c r="N127" s="2394"/>
      <c r="O127" s="2395"/>
      <c r="P127" s="2394"/>
      <c r="Q127" s="2394"/>
      <c r="R127" s="2396"/>
    </row>
    <row r="128" spans="2:18" s="2369" customFormat="1">
      <c r="B128" s="2394"/>
      <c r="C128" s="2394"/>
      <c r="D128" s="2394"/>
      <c r="E128" s="2394"/>
      <c r="F128" s="2394"/>
      <c r="G128" s="2395"/>
      <c r="H128" s="2394"/>
      <c r="I128" s="2395"/>
      <c r="J128" s="2394"/>
      <c r="K128" s="2394"/>
      <c r="L128" s="2395"/>
      <c r="M128" s="2394"/>
      <c r="N128" s="2394"/>
      <c r="O128" s="2395"/>
      <c r="P128" s="2394"/>
      <c r="Q128" s="2394"/>
      <c r="R128" s="2396"/>
    </row>
    <row r="129" spans="2:18" s="2369" customFormat="1">
      <c r="B129" s="2394"/>
      <c r="C129" s="2394"/>
      <c r="D129" s="2394"/>
      <c r="E129" s="2394"/>
      <c r="F129" s="2394"/>
      <c r="G129" s="2395"/>
      <c r="H129" s="2394"/>
      <c r="I129" s="2395"/>
      <c r="J129" s="2394"/>
      <c r="K129" s="2394"/>
      <c r="L129" s="2395"/>
      <c r="M129" s="2394"/>
      <c r="N129" s="2394"/>
      <c r="O129" s="2395"/>
      <c r="P129" s="2394"/>
      <c r="Q129" s="2394"/>
      <c r="R129" s="2396"/>
    </row>
    <row r="130" spans="2:18" s="2369" customFormat="1">
      <c r="B130" s="2394"/>
      <c r="C130" s="2394"/>
      <c r="D130" s="2394"/>
      <c r="E130" s="2394"/>
      <c r="F130" s="2394"/>
      <c r="G130" s="2395"/>
      <c r="H130" s="2394"/>
      <c r="I130" s="2395"/>
      <c r="J130" s="2394"/>
      <c r="K130" s="2394"/>
      <c r="L130" s="2395"/>
      <c r="M130" s="2394"/>
      <c r="N130" s="2394"/>
      <c r="O130" s="2395"/>
      <c r="P130" s="2394"/>
      <c r="Q130" s="2394"/>
      <c r="R130" s="2396"/>
    </row>
    <row r="131" spans="2:18" s="2369" customFormat="1">
      <c r="B131" s="2394"/>
      <c r="C131" s="2394"/>
      <c r="D131" s="2394"/>
      <c r="E131" s="2394"/>
      <c r="F131" s="2394"/>
      <c r="G131" s="2395"/>
      <c r="H131" s="2394"/>
      <c r="I131" s="2395"/>
      <c r="J131" s="2394"/>
      <c r="K131" s="2394"/>
      <c r="L131" s="2395"/>
      <c r="M131" s="2394"/>
      <c r="N131" s="2394"/>
      <c r="O131" s="2395"/>
      <c r="P131" s="2394"/>
      <c r="Q131" s="2394"/>
      <c r="R131" s="2396"/>
    </row>
    <row r="132" spans="2:18" s="2369" customFormat="1">
      <c r="B132" s="2394"/>
      <c r="C132" s="2394"/>
      <c r="D132" s="2394"/>
      <c r="E132" s="2394"/>
      <c r="F132" s="2394"/>
      <c r="G132" s="2395"/>
      <c r="H132" s="2394"/>
      <c r="I132" s="2395"/>
      <c r="J132" s="2394"/>
      <c r="K132" s="2394"/>
      <c r="L132" s="2395"/>
      <c r="M132" s="2394"/>
      <c r="N132" s="2394"/>
      <c r="O132" s="2395"/>
      <c r="P132" s="2394"/>
      <c r="Q132" s="2394"/>
      <c r="R132" s="2396"/>
    </row>
    <row r="133" spans="2:18" s="2369" customFormat="1">
      <c r="B133" s="2394"/>
      <c r="C133" s="2394"/>
      <c r="D133" s="2394"/>
      <c r="E133" s="2394"/>
      <c r="F133" s="2394"/>
      <c r="G133" s="2395"/>
      <c r="H133" s="2394"/>
      <c r="I133" s="2395"/>
      <c r="J133" s="2394"/>
      <c r="K133" s="2394"/>
      <c r="L133" s="2395"/>
      <c r="M133" s="2394"/>
      <c r="N133" s="2394"/>
      <c r="O133" s="2395"/>
      <c r="P133" s="2394"/>
      <c r="Q133" s="2394"/>
      <c r="R133" s="2396"/>
    </row>
    <row r="134" spans="2:18" s="2369" customFormat="1">
      <c r="B134" s="2394"/>
      <c r="C134" s="2394"/>
      <c r="D134" s="2394"/>
      <c r="E134" s="2394"/>
      <c r="F134" s="2394"/>
      <c r="G134" s="2395"/>
      <c r="H134" s="2394"/>
      <c r="I134" s="2395"/>
      <c r="J134" s="2394"/>
      <c r="K134" s="2394"/>
      <c r="L134" s="2395"/>
      <c r="M134" s="2394"/>
      <c r="N134" s="2394"/>
      <c r="O134" s="2395"/>
      <c r="P134" s="2394"/>
      <c r="Q134" s="2394"/>
      <c r="R134" s="2396"/>
    </row>
    <row r="135" spans="2:18" s="2369" customFormat="1">
      <c r="B135" s="2394"/>
      <c r="C135" s="2394"/>
      <c r="D135" s="2394"/>
      <c r="E135" s="2394"/>
      <c r="F135" s="2394"/>
      <c r="G135" s="2395"/>
      <c r="H135" s="2394"/>
      <c r="I135" s="2395"/>
      <c r="J135" s="2394"/>
      <c r="K135" s="2394"/>
      <c r="L135" s="2395"/>
      <c r="M135" s="2394"/>
      <c r="N135" s="2394"/>
      <c r="O135" s="2395"/>
      <c r="P135" s="2394"/>
      <c r="Q135" s="2394"/>
      <c r="R135" s="2396"/>
    </row>
    <row r="136" spans="2:18" s="2369" customFormat="1">
      <c r="B136" s="2394"/>
      <c r="C136" s="2394"/>
      <c r="D136" s="2394"/>
      <c r="E136" s="2394"/>
      <c r="F136" s="2394"/>
      <c r="G136" s="2395"/>
      <c r="H136" s="2394"/>
      <c r="I136" s="2395"/>
      <c r="J136" s="2394"/>
      <c r="K136" s="2394"/>
      <c r="L136" s="2395"/>
      <c r="M136" s="2394"/>
      <c r="N136" s="2394"/>
      <c r="O136" s="2395"/>
      <c r="P136" s="2394"/>
      <c r="Q136" s="2394"/>
      <c r="R136" s="2396"/>
    </row>
    <row r="137" spans="2:18" s="2369" customFormat="1">
      <c r="B137" s="2394"/>
      <c r="C137" s="2394"/>
      <c r="D137" s="2394"/>
      <c r="E137" s="2394"/>
      <c r="F137" s="2394"/>
      <c r="G137" s="2395"/>
      <c r="H137" s="2394"/>
      <c r="I137" s="2395"/>
      <c r="J137" s="2394"/>
      <c r="K137" s="2394"/>
      <c r="L137" s="2395"/>
      <c r="M137" s="2394"/>
      <c r="N137" s="2394"/>
      <c r="O137" s="2395"/>
      <c r="P137" s="2394"/>
      <c r="Q137" s="2394"/>
      <c r="R137" s="2396"/>
    </row>
    <row r="138" spans="2:18" s="2369" customFormat="1">
      <c r="B138" s="2394"/>
      <c r="C138" s="2394"/>
      <c r="D138" s="2394"/>
      <c r="E138" s="2394"/>
      <c r="F138" s="2394"/>
      <c r="G138" s="2395"/>
      <c r="H138" s="2394"/>
      <c r="I138" s="2395"/>
      <c r="J138" s="2394"/>
      <c r="K138" s="2394"/>
      <c r="L138" s="2395"/>
      <c r="M138" s="2394"/>
      <c r="N138" s="2394"/>
      <c r="O138" s="2395"/>
      <c r="P138" s="2394"/>
      <c r="Q138" s="2394"/>
      <c r="R138" s="2396"/>
    </row>
    <row r="139" spans="2:18" s="2369" customFormat="1">
      <c r="B139" s="2394"/>
      <c r="C139" s="2394"/>
      <c r="D139" s="2394"/>
      <c r="E139" s="2394"/>
      <c r="F139" s="2394"/>
      <c r="G139" s="2395"/>
      <c r="H139" s="2394"/>
      <c r="I139" s="2395"/>
      <c r="J139" s="2394"/>
      <c r="K139" s="2394"/>
      <c r="L139" s="2395"/>
      <c r="M139" s="2394"/>
      <c r="N139" s="2394"/>
      <c r="O139" s="2395"/>
      <c r="P139" s="2394"/>
      <c r="Q139" s="2394"/>
      <c r="R139" s="2396"/>
    </row>
    <row r="140" spans="2:18" s="2369" customFormat="1">
      <c r="B140" s="2394"/>
      <c r="C140" s="2394"/>
      <c r="D140" s="2394"/>
      <c r="E140" s="2394"/>
      <c r="F140" s="2394"/>
      <c r="G140" s="2395"/>
      <c r="H140" s="2394"/>
      <c r="I140" s="2395"/>
      <c r="J140" s="2394"/>
      <c r="K140" s="2394"/>
      <c r="L140" s="2395"/>
      <c r="M140" s="2394"/>
      <c r="N140" s="2394"/>
      <c r="O140" s="2395"/>
      <c r="P140" s="2394"/>
      <c r="Q140" s="2394"/>
      <c r="R140" s="2396"/>
    </row>
    <row r="141" spans="2:18" s="2369" customFormat="1">
      <c r="B141" s="2394"/>
      <c r="C141" s="2394"/>
      <c r="D141" s="2394"/>
      <c r="E141" s="2394"/>
      <c r="F141" s="2394"/>
      <c r="G141" s="2395"/>
      <c r="H141" s="2394"/>
      <c r="I141" s="2395"/>
      <c r="J141" s="2394"/>
      <c r="K141" s="2394"/>
      <c r="L141" s="2395"/>
      <c r="M141" s="2394"/>
      <c r="N141" s="2394"/>
      <c r="O141" s="2395"/>
      <c r="P141" s="2394"/>
      <c r="Q141" s="2394"/>
      <c r="R141" s="2396"/>
    </row>
    <row r="142" spans="2:18" s="2369" customFormat="1">
      <c r="B142" s="2394"/>
      <c r="C142" s="2394"/>
      <c r="D142" s="2394"/>
      <c r="E142" s="2394"/>
      <c r="F142" s="2394"/>
      <c r="G142" s="2395"/>
      <c r="H142" s="2394"/>
      <c r="I142" s="2395"/>
      <c r="J142" s="2394"/>
      <c r="K142" s="2394"/>
      <c r="L142" s="2395"/>
      <c r="M142" s="2394"/>
      <c r="N142" s="2394"/>
      <c r="O142" s="2395"/>
      <c r="P142" s="2394"/>
      <c r="Q142" s="2394"/>
      <c r="R142" s="2396"/>
    </row>
    <row r="143" spans="2:18" s="2369" customFormat="1">
      <c r="B143" s="2394"/>
      <c r="C143" s="2394"/>
      <c r="D143" s="2394"/>
      <c r="E143" s="2394"/>
      <c r="F143" s="2394"/>
      <c r="G143" s="2395"/>
      <c r="H143" s="2394"/>
      <c r="I143" s="2395"/>
      <c r="J143" s="2394"/>
      <c r="K143" s="2394"/>
      <c r="L143" s="2395"/>
      <c r="M143" s="2394"/>
      <c r="N143" s="2394"/>
      <c r="O143" s="2395"/>
      <c r="P143" s="2394"/>
      <c r="Q143" s="2394"/>
      <c r="R143" s="2396"/>
    </row>
    <row r="144" spans="2:18" s="2369" customFormat="1">
      <c r="B144" s="2394"/>
      <c r="C144" s="2394"/>
      <c r="D144" s="2394"/>
      <c r="E144" s="2394"/>
      <c r="F144" s="2394"/>
      <c r="G144" s="2395"/>
      <c r="H144" s="2394"/>
      <c r="I144" s="2395"/>
      <c r="J144" s="2394"/>
      <c r="K144" s="2394"/>
      <c r="L144" s="2395"/>
      <c r="M144" s="2394"/>
      <c r="N144" s="2394"/>
      <c r="O144" s="2395"/>
      <c r="P144" s="2394"/>
      <c r="Q144" s="2394"/>
      <c r="R144" s="2396"/>
    </row>
    <row r="145" spans="2:18" s="2369" customFormat="1">
      <c r="B145" s="2394"/>
      <c r="C145" s="2394"/>
      <c r="D145" s="2394"/>
      <c r="E145" s="2394"/>
      <c r="F145" s="2394"/>
      <c r="G145" s="2395"/>
      <c r="H145" s="2394"/>
      <c r="I145" s="2395"/>
      <c r="J145" s="2394"/>
      <c r="K145" s="2394"/>
      <c r="L145" s="2395"/>
      <c r="M145" s="2394"/>
      <c r="N145" s="2394"/>
      <c r="O145" s="2395"/>
      <c r="P145" s="2394"/>
      <c r="Q145" s="2394"/>
      <c r="R145" s="2396"/>
    </row>
    <row r="146" spans="2:18" s="2369" customFormat="1">
      <c r="B146" s="2394"/>
      <c r="C146" s="2394"/>
      <c r="D146" s="2394"/>
      <c r="E146" s="2394"/>
      <c r="F146" s="2394"/>
      <c r="G146" s="2395"/>
      <c r="H146" s="2394"/>
      <c r="I146" s="2395"/>
      <c r="J146" s="2394"/>
      <c r="K146" s="2394"/>
      <c r="L146" s="2395"/>
      <c r="M146" s="2394"/>
      <c r="N146" s="2394"/>
      <c r="O146" s="2395"/>
      <c r="P146" s="2394"/>
      <c r="Q146" s="2394"/>
      <c r="R146" s="2396"/>
    </row>
    <row r="147" spans="2:18" s="2369" customFormat="1">
      <c r="B147" s="2394"/>
      <c r="C147" s="2394"/>
      <c r="D147" s="2394"/>
      <c r="E147" s="2394"/>
      <c r="F147" s="2394"/>
      <c r="G147" s="2395"/>
      <c r="H147" s="2394"/>
      <c r="I147" s="2395"/>
      <c r="J147" s="2394"/>
      <c r="K147" s="2394"/>
      <c r="L147" s="2395"/>
      <c r="M147" s="2394"/>
      <c r="N147" s="2394"/>
      <c r="O147" s="2395"/>
      <c r="P147" s="2394"/>
      <c r="Q147" s="2394"/>
      <c r="R147" s="2396"/>
    </row>
    <row r="148" spans="2:18" s="2369" customFormat="1">
      <c r="B148" s="2394"/>
      <c r="C148" s="2394"/>
      <c r="D148" s="2394"/>
      <c r="E148" s="2394"/>
      <c r="F148" s="2394"/>
      <c r="G148" s="2395"/>
      <c r="H148" s="2394"/>
      <c r="I148" s="2395"/>
      <c r="J148" s="2394"/>
      <c r="K148" s="2394"/>
      <c r="L148" s="2395"/>
      <c r="M148" s="2394"/>
      <c r="N148" s="2394"/>
      <c r="O148" s="2395"/>
      <c r="P148" s="2394"/>
      <c r="Q148" s="2394"/>
      <c r="R148" s="2396"/>
    </row>
    <row r="149" spans="2:18" s="2369" customFormat="1">
      <c r="B149" s="2394"/>
      <c r="C149" s="2394"/>
      <c r="D149" s="2394"/>
      <c r="E149" s="2394"/>
      <c r="F149" s="2394"/>
      <c r="G149" s="2395"/>
      <c r="H149" s="2394"/>
      <c r="I149" s="2395"/>
      <c r="J149" s="2394"/>
      <c r="K149" s="2394"/>
      <c r="L149" s="2395"/>
      <c r="M149" s="2394"/>
      <c r="N149" s="2394"/>
      <c r="O149" s="2395"/>
      <c r="P149" s="2394"/>
      <c r="Q149" s="2394"/>
      <c r="R149" s="2396"/>
    </row>
    <row r="150" spans="2:18" s="2369" customFormat="1">
      <c r="B150" s="2394"/>
      <c r="C150" s="2394"/>
      <c r="D150" s="2394"/>
      <c r="E150" s="2394"/>
      <c r="F150" s="2394"/>
      <c r="G150" s="2395"/>
      <c r="H150" s="2394"/>
      <c r="I150" s="2395"/>
      <c r="J150" s="2394"/>
      <c r="K150" s="2394"/>
      <c r="L150" s="2395"/>
      <c r="M150" s="2394"/>
      <c r="N150" s="2394"/>
      <c r="O150" s="2395"/>
      <c r="P150" s="2394"/>
      <c r="Q150" s="2394"/>
      <c r="R150" s="2396"/>
    </row>
    <row r="151" spans="2:18" s="2369" customFormat="1">
      <c r="B151" s="2394"/>
      <c r="C151" s="2394"/>
      <c r="D151" s="2394"/>
      <c r="E151" s="2394"/>
      <c r="F151" s="2394"/>
      <c r="G151" s="2395"/>
      <c r="H151" s="2394"/>
      <c r="I151" s="2395"/>
      <c r="J151" s="2394"/>
      <c r="K151" s="2394"/>
      <c r="L151" s="2395"/>
      <c r="M151" s="2394"/>
      <c r="N151" s="2394"/>
      <c r="O151" s="2395"/>
      <c r="P151" s="2394"/>
      <c r="Q151" s="2394"/>
      <c r="R151" s="2396"/>
    </row>
    <row r="152" spans="2:18" s="2369" customFormat="1">
      <c r="B152" s="2394"/>
      <c r="C152" s="2394"/>
      <c r="D152" s="2394"/>
      <c r="E152" s="2394"/>
      <c r="F152" s="2394"/>
      <c r="G152" s="2395"/>
      <c r="H152" s="2394"/>
      <c r="I152" s="2395"/>
      <c r="J152" s="2394"/>
      <c r="K152" s="2394"/>
      <c r="L152" s="2395"/>
      <c r="M152" s="2394"/>
      <c r="N152" s="2394"/>
      <c r="O152" s="2395"/>
      <c r="P152" s="2394"/>
      <c r="Q152" s="2394"/>
      <c r="R152" s="2396"/>
    </row>
    <row r="153" spans="2:18" s="2369" customFormat="1">
      <c r="B153" s="2394"/>
      <c r="C153" s="2394"/>
      <c r="D153" s="2394"/>
      <c r="E153" s="2394"/>
      <c r="F153" s="2394"/>
      <c r="G153" s="2395"/>
      <c r="H153" s="2394"/>
      <c r="I153" s="2395"/>
      <c r="J153" s="2394"/>
      <c r="K153" s="2394"/>
      <c r="L153" s="2395"/>
      <c r="M153" s="2394"/>
      <c r="N153" s="2394"/>
      <c r="O153" s="2395"/>
      <c r="P153" s="2394"/>
      <c r="Q153" s="2394"/>
      <c r="R153" s="2396"/>
    </row>
    <row r="154" spans="2:18" s="2369" customFormat="1">
      <c r="B154" s="2394"/>
      <c r="C154" s="2394"/>
      <c r="D154" s="2394"/>
      <c r="E154" s="2394"/>
      <c r="F154" s="2394"/>
      <c r="G154" s="2395"/>
      <c r="H154" s="2394"/>
      <c r="I154" s="2395"/>
      <c r="J154" s="2394"/>
      <c r="K154" s="2394"/>
      <c r="L154" s="2395"/>
      <c r="M154" s="2394"/>
      <c r="N154" s="2394"/>
      <c r="O154" s="2395"/>
      <c r="P154" s="2394"/>
      <c r="Q154" s="2394"/>
      <c r="R154" s="2396"/>
    </row>
    <row r="155" spans="2:18" s="2369" customFormat="1">
      <c r="B155" s="2394"/>
      <c r="C155" s="2394"/>
      <c r="D155" s="2394"/>
      <c r="E155" s="2394"/>
      <c r="F155" s="2394"/>
      <c r="G155" s="2395"/>
      <c r="H155" s="2394"/>
      <c r="I155" s="2395"/>
      <c r="J155" s="2394"/>
      <c r="K155" s="2394"/>
      <c r="L155" s="2395"/>
      <c r="M155" s="2394"/>
      <c r="N155" s="2394"/>
      <c r="O155" s="2395"/>
      <c r="P155" s="2394"/>
      <c r="Q155" s="2394"/>
      <c r="R155" s="2396"/>
    </row>
    <row r="156" spans="2:18" s="2369" customFormat="1">
      <c r="B156" s="2394"/>
      <c r="C156" s="2394"/>
      <c r="D156" s="2394"/>
      <c r="E156" s="2394"/>
      <c r="F156" s="2394"/>
      <c r="G156" s="2395"/>
      <c r="H156" s="2394"/>
      <c r="I156" s="2395"/>
      <c r="J156" s="2394"/>
      <c r="K156" s="2394"/>
      <c r="L156" s="2395"/>
      <c r="M156" s="2394"/>
      <c r="N156" s="2394"/>
      <c r="O156" s="2395"/>
      <c r="P156" s="2394"/>
      <c r="Q156" s="2394"/>
      <c r="R156" s="2396"/>
    </row>
    <row r="157" spans="2:18" s="2369" customFormat="1">
      <c r="B157" s="2394"/>
      <c r="C157" s="2394"/>
      <c r="D157" s="2394"/>
      <c r="E157" s="2394"/>
      <c r="F157" s="2394"/>
      <c r="G157" s="2395"/>
      <c r="H157" s="2394"/>
      <c r="I157" s="2395"/>
      <c r="J157" s="2394"/>
      <c r="K157" s="2394"/>
      <c r="L157" s="2395"/>
      <c r="M157" s="2394"/>
      <c r="N157" s="2394"/>
      <c r="O157" s="2395"/>
      <c r="P157" s="2394"/>
      <c r="Q157" s="2394"/>
      <c r="R157" s="2396"/>
    </row>
    <row r="158" spans="2:18" s="2369" customFormat="1">
      <c r="B158" s="2394"/>
      <c r="C158" s="2394"/>
      <c r="D158" s="2394"/>
      <c r="E158" s="2394"/>
      <c r="F158" s="2394"/>
      <c r="G158" s="2395"/>
      <c r="H158" s="2394"/>
      <c r="I158" s="2395"/>
      <c r="J158" s="2394"/>
      <c r="K158" s="2394"/>
      <c r="L158" s="2395"/>
      <c r="M158" s="2394"/>
      <c r="N158" s="2394"/>
      <c r="O158" s="2395"/>
      <c r="P158" s="2394"/>
      <c r="Q158" s="2394"/>
      <c r="R158" s="2396"/>
    </row>
    <row r="159" spans="2:18" s="2369" customFormat="1">
      <c r="B159" s="2394"/>
      <c r="C159" s="2394"/>
      <c r="D159" s="2394"/>
      <c r="E159" s="2394"/>
      <c r="F159" s="2394"/>
      <c r="G159" s="2395"/>
      <c r="H159" s="2394"/>
      <c r="I159" s="2395"/>
      <c r="J159" s="2394"/>
      <c r="K159" s="2394"/>
      <c r="L159" s="2395"/>
      <c r="M159" s="2394"/>
      <c r="N159" s="2394"/>
      <c r="O159" s="2395"/>
      <c r="P159" s="2394"/>
      <c r="Q159" s="2394"/>
      <c r="R159" s="2396"/>
    </row>
    <row r="160" spans="2:18" s="2369" customFormat="1">
      <c r="B160" s="2394"/>
      <c r="C160" s="2394"/>
      <c r="D160" s="2394"/>
      <c r="E160" s="2394"/>
      <c r="F160" s="2394"/>
      <c r="G160" s="2395"/>
      <c r="H160" s="2394"/>
      <c r="I160" s="2395"/>
      <c r="J160" s="2394"/>
      <c r="K160" s="2394"/>
      <c r="L160" s="2395"/>
      <c r="M160" s="2394"/>
      <c r="N160" s="2394"/>
      <c r="O160" s="2395"/>
      <c r="P160" s="2394"/>
      <c r="Q160" s="2394"/>
      <c r="R160" s="2396"/>
    </row>
    <row r="161" spans="2:18" s="2369" customFormat="1">
      <c r="B161" s="2394"/>
      <c r="C161" s="2394"/>
      <c r="D161" s="2394"/>
      <c r="E161" s="2394"/>
      <c r="F161" s="2394"/>
      <c r="G161" s="2395"/>
      <c r="H161" s="2394"/>
      <c r="I161" s="2395"/>
      <c r="J161" s="2394"/>
      <c r="K161" s="2394"/>
      <c r="L161" s="2395"/>
      <c r="M161" s="2394"/>
      <c r="N161" s="2394"/>
      <c r="O161" s="2395"/>
      <c r="P161" s="2394"/>
      <c r="Q161" s="2394"/>
      <c r="R161" s="2396"/>
    </row>
    <row r="162" spans="2:18" s="2369" customFormat="1">
      <c r="B162" s="2394"/>
      <c r="C162" s="2394"/>
      <c r="D162" s="2394"/>
      <c r="E162" s="2394"/>
      <c r="F162" s="2394"/>
      <c r="G162" s="2395"/>
      <c r="H162" s="2394"/>
      <c r="I162" s="2395"/>
      <c r="J162" s="2394"/>
      <c r="K162" s="2394"/>
      <c r="L162" s="2395"/>
      <c r="M162" s="2394"/>
      <c r="N162" s="2394"/>
      <c r="O162" s="2395"/>
      <c r="P162" s="2394"/>
      <c r="Q162" s="2394"/>
      <c r="R162" s="2396"/>
    </row>
    <row r="163" spans="2:18" s="2369" customFormat="1">
      <c r="B163" s="2394"/>
      <c r="C163" s="2394"/>
      <c r="D163" s="2394"/>
      <c r="E163" s="2394"/>
      <c r="F163" s="2394"/>
      <c r="G163" s="2395"/>
      <c r="H163" s="2394"/>
      <c r="I163" s="2395"/>
      <c r="J163" s="2394"/>
      <c r="K163" s="2394"/>
      <c r="L163" s="2395"/>
      <c r="M163" s="2394"/>
      <c r="N163" s="2394"/>
      <c r="O163" s="2395"/>
      <c r="P163" s="2394"/>
      <c r="Q163" s="2394"/>
      <c r="R163" s="2396"/>
    </row>
    <row r="164" spans="2:18" s="2369" customFormat="1">
      <c r="B164" s="2394"/>
      <c r="C164" s="2394"/>
      <c r="D164" s="2394"/>
      <c r="E164" s="2394"/>
      <c r="F164" s="2394"/>
      <c r="G164" s="2395"/>
      <c r="H164" s="2394"/>
      <c r="I164" s="2395"/>
      <c r="J164" s="2394"/>
      <c r="K164" s="2394"/>
      <c r="L164" s="2395"/>
      <c r="M164" s="2394"/>
      <c r="N164" s="2394"/>
      <c r="O164" s="2395"/>
      <c r="P164" s="2394"/>
      <c r="Q164" s="2394"/>
      <c r="R164" s="2396"/>
    </row>
    <row r="165" spans="2:18" s="2369" customFormat="1">
      <c r="B165" s="2394"/>
      <c r="C165" s="2394"/>
      <c r="D165" s="2394"/>
      <c r="E165" s="2394"/>
      <c r="F165" s="2394"/>
      <c r="G165" s="2395"/>
      <c r="H165" s="2394"/>
      <c r="I165" s="2395"/>
      <c r="J165" s="2394"/>
      <c r="K165" s="2394"/>
      <c r="L165" s="2395"/>
      <c r="M165" s="2394"/>
      <c r="N165" s="2394"/>
      <c r="O165" s="2395"/>
      <c r="P165" s="2394"/>
      <c r="Q165" s="2394"/>
      <c r="R165" s="2396"/>
    </row>
    <row r="166" spans="2:18" s="2369" customFormat="1">
      <c r="B166" s="2394"/>
      <c r="C166" s="2394"/>
      <c r="D166" s="2394"/>
      <c r="E166" s="2394"/>
      <c r="F166" s="2394"/>
      <c r="G166" s="2395"/>
      <c r="H166" s="2394"/>
      <c r="I166" s="2395"/>
      <c r="J166" s="2394"/>
      <c r="K166" s="2394"/>
      <c r="L166" s="2395"/>
      <c r="M166" s="2394"/>
      <c r="N166" s="2394"/>
      <c r="O166" s="2395"/>
      <c r="P166" s="2394"/>
      <c r="Q166" s="2394"/>
      <c r="R166" s="2396"/>
    </row>
    <row r="167" spans="2:18" s="2369" customFormat="1">
      <c r="B167" s="2394"/>
      <c r="C167" s="2394"/>
      <c r="D167" s="2394"/>
      <c r="E167" s="2394"/>
      <c r="F167" s="2394"/>
      <c r="G167" s="2395"/>
      <c r="H167" s="2394"/>
      <c r="I167" s="2395"/>
      <c r="J167" s="2394"/>
      <c r="K167" s="2394"/>
      <c r="L167" s="2395"/>
      <c r="M167" s="2394"/>
      <c r="N167" s="2394"/>
      <c r="O167" s="2395"/>
      <c r="P167" s="2394"/>
      <c r="Q167" s="2394"/>
      <c r="R167" s="2396"/>
    </row>
    <row r="168" spans="2:18" s="2369" customFormat="1">
      <c r="B168" s="2394"/>
      <c r="C168" s="2394"/>
      <c r="D168" s="2394"/>
      <c r="E168" s="2394"/>
      <c r="F168" s="2394"/>
      <c r="G168" s="2395"/>
      <c r="H168" s="2394"/>
      <c r="I168" s="2395"/>
      <c r="J168" s="2394"/>
      <c r="K168" s="2394"/>
      <c r="L168" s="2395"/>
      <c r="M168" s="2394"/>
      <c r="N168" s="2394"/>
      <c r="O168" s="2395"/>
      <c r="P168" s="2394"/>
      <c r="Q168" s="2394"/>
      <c r="R168" s="2396"/>
    </row>
    <row r="169" spans="2:18" s="2369" customFormat="1">
      <c r="B169" s="2394"/>
      <c r="C169" s="2394"/>
      <c r="D169" s="2394"/>
      <c r="E169" s="2394"/>
      <c r="F169" s="2394"/>
      <c r="G169" s="2395"/>
      <c r="H169" s="2394"/>
      <c r="I169" s="2395"/>
      <c r="J169" s="2394"/>
      <c r="K169" s="2394"/>
      <c r="L169" s="2395"/>
      <c r="M169" s="2394"/>
      <c r="N169" s="2394"/>
      <c r="O169" s="2395"/>
      <c r="P169" s="2394"/>
      <c r="Q169" s="2394"/>
      <c r="R169" s="2396"/>
    </row>
    <row r="170" spans="2:18" s="2369" customFormat="1">
      <c r="B170" s="2394"/>
      <c r="C170" s="2394"/>
      <c r="D170" s="2394"/>
      <c r="E170" s="2394"/>
      <c r="F170" s="2394"/>
      <c r="G170" s="2395"/>
      <c r="H170" s="2394"/>
      <c r="I170" s="2395"/>
      <c r="J170" s="2394"/>
      <c r="K170" s="2394"/>
      <c r="L170" s="2395"/>
      <c r="M170" s="2394"/>
      <c r="N170" s="2394"/>
      <c r="O170" s="2395"/>
      <c r="P170" s="2394"/>
      <c r="Q170" s="2394"/>
      <c r="R170" s="2396"/>
    </row>
    <row r="171" spans="2:18" s="2369" customFormat="1">
      <c r="B171" s="2394"/>
      <c r="C171" s="2394"/>
      <c r="D171" s="2394"/>
      <c r="E171" s="2394"/>
      <c r="F171" s="2394"/>
      <c r="G171" s="2395"/>
      <c r="H171" s="2394"/>
      <c r="I171" s="2395"/>
      <c r="J171" s="2394"/>
      <c r="K171" s="2394"/>
      <c r="L171" s="2395"/>
      <c r="M171" s="2394"/>
      <c r="N171" s="2394"/>
      <c r="O171" s="2395"/>
      <c r="P171" s="2394"/>
      <c r="Q171" s="2394"/>
      <c r="R171" s="2396"/>
    </row>
    <row r="172" spans="2:18" s="2369" customFormat="1">
      <c r="B172" s="2394"/>
      <c r="C172" s="2394"/>
      <c r="D172" s="2394"/>
      <c r="E172" s="2394"/>
      <c r="F172" s="2394"/>
      <c r="G172" s="2395"/>
      <c r="H172" s="2394"/>
      <c r="I172" s="2395"/>
      <c r="J172" s="2394"/>
      <c r="K172" s="2394"/>
      <c r="L172" s="2395"/>
      <c r="M172" s="2394"/>
      <c r="N172" s="2394"/>
      <c r="O172" s="2395"/>
      <c r="P172" s="2394"/>
      <c r="Q172" s="2394"/>
      <c r="R172" s="2396"/>
    </row>
    <row r="173" spans="2:18" s="2369" customFormat="1">
      <c r="B173" s="2394"/>
      <c r="C173" s="2394"/>
      <c r="D173" s="2394"/>
      <c r="E173" s="2394"/>
      <c r="F173" s="2394"/>
      <c r="G173" s="2395"/>
      <c r="H173" s="2394"/>
      <c r="I173" s="2395"/>
      <c r="J173" s="2394"/>
      <c r="K173" s="2394"/>
      <c r="L173" s="2395"/>
      <c r="M173" s="2394"/>
      <c r="N173" s="2394"/>
      <c r="O173" s="2395"/>
      <c r="P173" s="2394"/>
      <c r="Q173" s="2394"/>
      <c r="R173" s="2396"/>
    </row>
    <row r="174" spans="2:18" s="2369" customFormat="1">
      <c r="B174" s="2394"/>
      <c r="C174" s="2394"/>
      <c r="D174" s="2394"/>
      <c r="E174" s="2394"/>
      <c r="F174" s="2394"/>
      <c r="G174" s="2395"/>
      <c r="H174" s="2394"/>
      <c r="I174" s="2395"/>
      <c r="J174" s="2394"/>
      <c r="K174" s="2394"/>
      <c r="L174" s="2395"/>
      <c r="M174" s="2394"/>
      <c r="N174" s="2394"/>
      <c r="O174" s="2395"/>
      <c r="P174" s="2394"/>
      <c r="Q174" s="2394"/>
      <c r="R174" s="2396"/>
    </row>
    <row r="175" spans="2:18" s="2369" customFormat="1">
      <c r="B175" s="2394"/>
      <c r="C175" s="2394"/>
      <c r="D175" s="2394"/>
      <c r="E175" s="2394"/>
      <c r="F175" s="2394"/>
      <c r="G175" s="2395"/>
      <c r="H175" s="2394"/>
      <c r="I175" s="2395"/>
      <c r="J175" s="2394"/>
      <c r="K175" s="2394"/>
      <c r="L175" s="2395"/>
      <c r="M175" s="2394"/>
      <c r="N175" s="2394"/>
      <c r="O175" s="2395"/>
      <c r="P175" s="2394"/>
      <c r="Q175" s="2394"/>
      <c r="R175" s="2396"/>
    </row>
    <row r="176" spans="2:18" s="2369" customFormat="1">
      <c r="B176" s="2394"/>
      <c r="C176" s="2394"/>
      <c r="D176" s="2394"/>
      <c r="E176" s="2394"/>
      <c r="F176" s="2394"/>
      <c r="G176" s="2395"/>
      <c r="H176" s="2394"/>
      <c r="I176" s="2395"/>
      <c r="J176" s="2394"/>
      <c r="K176" s="2394"/>
      <c r="L176" s="2395"/>
      <c r="M176" s="2394"/>
      <c r="N176" s="2394"/>
      <c r="O176" s="2395"/>
      <c r="P176" s="2394"/>
      <c r="Q176" s="2394"/>
      <c r="R176" s="2396"/>
    </row>
    <row r="177" spans="1:18" s="2369" customFormat="1">
      <c r="B177" s="2394"/>
      <c r="C177" s="2394"/>
      <c r="D177" s="2394"/>
      <c r="E177" s="2394"/>
      <c r="F177" s="2394"/>
      <c r="G177" s="2395"/>
      <c r="H177" s="2394"/>
      <c r="I177" s="2395"/>
      <c r="J177" s="2394"/>
      <c r="K177" s="2394"/>
      <c r="L177" s="2395"/>
      <c r="M177" s="2394"/>
      <c r="N177" s="2394"/>
      <c r="O177" s="2395"/>
      <c r="P177" s="2394"/>
      <c r="Q177" s="2394"/>
      <c r="R177" s="2396"/>
    </row>
    <row r="178" spans="1:18" s="2369" customFormat="1">
      <c r="B178" s="2394"/>
      <c r="C178" s="2394"/>
      <c r="D178" s="2394"/>
      <c r="E178" s="2394"/>
      <c r="F178" s="2394"/>
      <c r="G178" s="2395"/>
      <c r="H178" s="2394"/>
      <c r="I178" s="2395"/>
      <c r="J178" s="2394"/>
      <c r="K178" s="2394"/>
      <c r="L178" s="2395"/>
      <c r="M178" s="2394"/>
      <c r="N178" s="2394"/>
      <c r="O178" s="2395"/>
      <c r="P178" s="2394"/>
      <c r="Q178" s="2394"/>
      <c r="R178" s="2396"/>
    </row>
    <row r="179" spans="1:18" s="2369" customFormat="1">
      <c r="B179" s="2394"/>
      <c r="C179" s="2394"/>
      <c r="D179" s="2394"/>
      <c r="E179" s="2394"/>
      <c r="F179" s="2394"/>
      <c r="G179" s="2395"/>
      <c r="H179" s="2394"/>
      <c r="I179" s="2395"/>
      <c r="J179" s="2394"/>
      <c r="K179" s="2394"/>
      <c r="L179" s="2395"/>
      <c r="M179" s="2394"/>
      <c r="N179" s="2394"/>
      <c r="O179" s="2395"/>
      <c r="P179" s="2394"/>
      <c r="Q179" s="2394"/>
      <c r="R179" s="2396"/>
    </row>
    <row r="180" spans="1:18" s="2369" customFormat="1">
      <c r="B180" s="2394"/>
      <c r="C180" s="2394"/>
      <c r="D180" s="2394"/>
      <c r="E180" s="2394"/>
      <c r="F180" s="2394"/>
      <c r="G180" s="2395"/>
      <c r="H180" s="2394"/>
      <c r="I180" s="2395"/>
      <c r="J180" s="2394"/>
      <c r="K180" s="2394"/>
      <c r="L180" s="2395"/>
      <c r="M180" s="2394"/>
      <c r="N180" s="2394"/>
      <c r="O180" s="2395"/>
      <c r="P180" s="2394"/>
      <c r="Q180" s="2394"/>
      <c r="R180" s="2396"/>
    </row>
    <row r="181" spans="1:18" s="2369" customFormat="1">
      <c r="B181" s="2394"/>
      <c r="C181" s="2394"/>
      <c r="D181" s="2394"/>
      <c r="E181" s="2394"/>
      <c r="F181" s="2394"/>
      <c r="G181" s="2395"/>
      <c r="H181" s="2394"/>
      <c r="I181" s="2395"/>
      <c r="J181" s="2394"/>
      <c r="K181" s="2394"/>
      <c r="L181" s="2395"/>
      <c r="M181" s="2394"/>
      <c r="N181" s="2394"/>
      <c r="O181" s="2395"/>
      <c r="P181" s="2394"/>
      <c r="Q181" s="2394"/>
      <c r="R181" s="2396"/>
    </row>
    <row r="182" spans="1:18" s="2369" customFormat="1">
      <c r="B182" s="2394"/>
      <c r="C182" s="2394"/>
      <c r="D182" s="2394"/>
      <c r="E182" s="2394"/>
      <c r="F182" s="2394"/>
      <c r="G182" s="2395"/>
      <c r="H182" s="2394"/>
      <c r="I182" s="2395"/>
      <c r="J182" s="2394"/>
      <c r="K182" s="2394"/>
      <c r="L182" s="2395"/>
      <c r="M182" s="2394"/>
      <c r="N182" s="2394"/>
      <c r="O182" s="2395"/>
      <c r="P182" s="2394"/>
      <c r="Q182" s="2394"/>
      <c r="R182" s="2396"/>
    </row>
    <row r="183" spans="1:18" s="2369" customFormat="1">
      <c r="B183" s="2394"/>
      <c r="C183" s="2394"/>
      <c r="D183" s="2394"/>
      <c r="E183" s="2394"/>
      <c r="F183" s="2394"/>
      <c r="G183" s="2395"/>
      <c r="H183" s="2394"/>
      <c r="I183" s="2395"/>
      <c r="J183" s="2394"/>
      <c r="K183" s="2394"/>
      <c r="L183" s="2395"/>
      <c r="M183" s="2394"/>
      <c r="N183" s="2394"/>
      <c r="O183" s="2395"/>
      <c r="P183" s="2394"/>
      <c r="Q183" s="2394"/>
      <c r="R183" s="2396"/>
    </row>
    <row r="184" spans="1:18" s="2369" customFormat="1">
      <c r="B184" s="2394"/>
      <c r="C184" s="2394"/>
      <c r="D184" s="2394"/>
      <c r="E184" s="2394"/>
      <c r="F184" s="2394"/>
      <c r="G184" s="2395"/>
      <c r="H184" s="2394"/>
      <c r="I184" s="2395"/>
      <c r="J184" s="2394"/>
      <c r="K184" s="2394"/>
      <c r="L184" s="2395"/>
      <c r="M184" s="2394"/>
      <c r="N184" s="2394"/>
      <c r="O184" s="2395"/>
      <c r="P184" s="2394"/>
      <c r="Q184" s="2394"/>
      <c r="R184" s="2396"/>
    </row>
    <row r="185" spans="1:18" s="2369"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9"/>
      <c r="B186" s="2394"/>
      <c r="C186" s="2394"/>
      <c r="E186" s="2394"/>
      <c r="F186" s="2394"/>
      <c r="G186" s="2395"/>
    </row>
    <row r="187" spans="1:18">
      <c r="A187" s="2369"/>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 sqref="B2"/>
    </sheetView>
  </sheetViews>
  <sheetFormatPr defaultRowHeight="13.5"/>
  <cols>
    <col min="1" max="1" width="23.375" style="1740" customWidth="1"/>
    <col min="2" max="9" width="15.75" style="1740" customWidth="1"/>
    <col min="10" max="16384" width="9" style="1740"/>
  </cols>
  <sheetData>
    <row r="1" spans="1:10" ht="16.5">
      <c r="A1" s="1745" t="s">
        <v>1361</v>
      </c>
      <c r="B1" s="1745">
        <f>SUM(B14:B23)</f>
        <v>23278.76</v>
      </c>
      <c r="C1" s="1744"/>
      <c r="D1" s="1744"/>
      <c r="E1" s="1744"/>
      <c r="F1" s="1744"/>
      <c r="G1" s="1742"/>
    </row>
    <row r="2" spans="1:10" ht="16.5">
      <c r="A2" s="1745" t="s">
        <v>1349</v>
      </c>
      <c r="B2" s="1745">
        <f>SUM(C14:C23)</f>
        <v>8275.85</v>
      </c>
      <c r="C2" s="1744"/>
      <c r="D2" s="1744"/>
      <c r="E2" s="1744"/>
      <c r="F2" s="1744"/>
      <c r="G2" s="1742"/>
    </row>
    <row r="3" spans="1:10" ht="16.5">
      <c r="A3" s="1745" t="s">
        <v>1358</v>
      </c>
      <c r="B3" s="1746">
        <f>项目基本情况!D3</f>
        <v>43420</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15663</v>
      </c>
      <c r="C5" s="1745">
        <f ca="1">ROUND(B5*10000/$B$1,0)</f>
        <v>6728</v>
      </c>
      <c r="D5" s="1745">
        <f ca="1">ROUND(B5*10000/$B$2,0)</f>
        <v>18926</v>
      </c>
      <c r="E5" s="1744"/>
      <c r="F5" s="1742"/>
      <c r="G5" s="1742"/>
    </row>
    <row r="6" spans="1:10" ht="16.5">
      <c r="A6" s="1745" t="s">
        <v>1352</v>
      </c>
      <c r="B6" s="1745">
        <f ca="1">SUM(G14:G23)</f>
        <v>15663</v>
      </c>
      <c r="C6" s="1745">
        <f ca="1">ROUND(B6*10000/$B$1,0)</f>
        <v>6728</v>
      </c>
      <c r="D6" s="1745">
        <f ca="1">ROUND(B6*10000/$B$2,0)</f>
        <v>18926</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19689.989999999998</v>
      </c>
      <c r="C14" s="1743">
        <f>结果表!C118</f>
        <v>7296.02</v>
      </c>
      <c r="D14" s="1743">
        <f ca="1">结果表!H118</f>
        <v>14490</v>
      </c>
      <c r="E14" s="1743">
        <f ca="1">ROUND(D14*10000/B14,0)</f>
        <v>7359</v>
      </c>
      <c r="F14" s="1743">
        <f ca="1">ROUND(D14*10000/C14,0)</f>
        <v>19860</v>
      </c>
      <c r="G14" s="1743">
        <f ca="1">结果表!D122</f>
        <v>14490</v>
      </c>
      <c r="H14" s="1743" t="str">
        <f>结果表!D124</f>
        <v>——</v>
      </c>
      <c r="I14" s="1743" t="str">
        <f>结果表!D126</f>
        <v>——</v>
      </c>
      <c r="J14" s="1742"/>
    </row>
    <row r="15" spans="1:10" ht="16.5">
      <c r="A15" s="1741" t="s">
        <v>1345</v>
      </c>
      <c r="B15" s="1748">
        <f>'[1]数据-汇总表'!$E$3</f>
        <v>3588.7700000000004</v>
      </c>
      <c r="C15" s="1748">
        <f>'[1]数据-汇总表'!$D$3</f>
        <v>979.83</v>
      </c>
      <c r="D15" s="1748">
        <f ca="1">[1]结果表!$G$19</f>
        <v>1173</v>
      </c>
      <c r="E15" s="1743">
        <f t="shared" ref="E15:E23" ca="1" si="0">ROUND(D15*10000/B15,0)</f>
        <v>3269</v>
      </c>
      <c r="F15" s="1743">
        <f t="shared" ref="F15:F23" ca="1" si="1">ROUND(D15*10000/C15,0)</f>
        <v>11971</v>
      </c>
      <c r="G15" s="1749">
        <f ca="1">D15</f>
        <v>1173</v>
      </c>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H106" zoomScaleNormal="100" zoomScaleSheetLayoutView="100" zoomScalePageLayoutView="80" workbookViewId="0">
      <selection activeCell="M119" sqref="M119"/>
    </sheetView>
  </sheetViews>
  <sheetFormatPr defaultColWidth="12.625" defaultRowHeight="21.75" customHeight="1"/>
  <cols>
    <col min="1" max="2" width="12.625" style="2423"/>
    <col min="3" max="4" width="12.625" style="2423" customWidth="1"/>
    <col min="5" max="9" width="12.625" style="2423"/>
    <col min="10" max="10" width="12.625" style="795" customWidth="1"/>
    <col min="11" max="11" width="17" style="795" customWidth="1"/>
    <col min="12" max="12" width="13.875" style="795" customWidth="1"/>
    <col min="13" max="13" width="16.875" style="795" customWidth="1"/>
    <col min="14" max="26" width="12.625" style="795"/>
    <col min="27" max="35" width="12.625" style="2422"/>
    <col min="36" max="16384" width="12.625" style="2423"/>
  </cols>
  <sheetData>
    <row r="1" spans="1:12" ht="21.75" customHeight="1" thickBot="1">
      <c r="A1" s="2226" t="s">
        <v>2077</v>
      </c>
      <c r="B1" s="2417"/>
      <c r="C1" s="2418"/>
      <c r="D1" s="2417"/>
      <c r="E1" s="2417"/>
      <c r="F1" s="2419" t="s">
        <v>2078</v>
      </c>
      <c r="G1" s="2071" t="s">
        <v>2079</v>
      </c>
      <c r="H1" s="2420" t="str">
        <f>IF(G1="现房","——","估价对象范围")</f>
        <v>估价对象范围</v>
      </c>
      <c r="I1" s="2421" t="s">
        <v>3049</v>
      </c>
    </row>
    <row r="2" spans="1:12" ht="21.75" customHeight="1" thickBot="1">
      <c r="A2" s="3122" t="str">
        <f>项目基本情况!S2</f>
        <v>河北省廊坊市香河县出让国有建设用地使用权及在建建筑物房地产</v>
      </c>
      <c r="B2" s="3123"/>
      <c r="C2" s="3123"/>
      <c r="D2" s="3123"/>
      <c r="E2" s="3123"/>
      <c r="F2" s="3123"/>
      <c r="G2" s="3123"/>
      <c r="H2" s="3123"/>
      <c r="I2" s="3124"/>
    </row>
    <row r="3" spans="1:12" ht="12.75">
      <c r="A3" s="3125" t="s">
        <v>2080</v>
      </c>
      <c r="B3" s="3126"/>
      <c r="C3" s="3126"/>
      <c r="D3" s="3126"/>
      <c r="E3" s="3126"/>
      <c r="F3" s="3126"/>
      <c r="G3" s="3126"/>
      <c r="H3" s="3126"/>
      <c r="I3" s="3126"/>
    </row>
    <row r="4" spans="1:12" ht="14.25">
      <c r="A4" s="2424" t="s">
        <v>2081</v>
      </c>
      <c r="B4" s="2425" t="s">
        <v>2082</v>
      </c>
      <c r="C4" s="2426" t="s">
        <v>3050</v>
      </c>
      <c r="D4" s="2426" t="s">
        <v>3051</v>
      </c>
      <c r="E4" s="3106" t="s">
        <v>2083</v>
      </c>
      <c r="F4" s="3119"/>
      <c r="G4" s="3119"/>
      <c r="H4" s="3119"/>
      <c r="I4" s="310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97" t="s">
        <v>2084</v>
      </c>
      <c r="B5" s="3023">
        <v>25</v>
      </c>
      <c r="C5" s="3127"/>
      <c r="D5" s="3115"/>
      <c r="E5" s="140" t="s">
        <v>2085</v>
      </c>
      <c r="F5" s="2428"/>
      <c r="G5" s="2428"/>
      <c r="H5" s="2428"/>
      <c r="I5" s="1833"/>
    </row>
    <row r="6" spans="1:12" ht="12.75">
      <c r="A6" s="3097"/>
      <c r="B6" s="3023"/>
      <c r="C6" s="3129"/>
      <c r="D6" s="3115"/>
      <c r="E6" s="140" t="s">
        <v>2086</v>
      </c>
      <c r="F6" s="2428"/>
      <c r="G6" s="2428"/>
      <c r="H6" s="2428"/>
      <c r="I6" s="1833"/>
    </row>
    <row r="7" spans="1:12" ht="12.75">
      <c r="A7" s="3097"/>
      <c r="B7" s="3023"/>
      <c r="C7" s="3128"/>
      <c r="D7" s="3115"/>
      <c r="E7" s="140" t="s">
        <v>2087</v>
      </c>
      <c r="F7" s="2428"/>
      <c r="G7" s="2428"/>
      <c r="H7" s="2428"/>
      <c r="I7" s="1833"/>
    </row>
    <row r="8" spans="1:12" ht="12.75">
      <c r="A8" s="3097" t="s">
        <v>2088</v>
      </c>
      <c r="B8" s="3023">
        <v>15</v>
      </c>
      <c r="C8" s="3127"/>
      <c r="D8" s="3115"/>
      <c r="E8" s="140" t="s">
        <v>2089</v>
      </c>
      <c r="F8" s="2428"/>
      <c r="G8" s="2428"/>
      <c r="H8" s="2428"/>
      <c r="I8" s="1833"/>
    </row>
    <row r="9" spans="1:12" ht="12.75">
      <c r="A9" s="3097"/>
      <c r="B9" s="3023"/>
      <c r="C9" s="3128"/>
      <c r="D9" s="3115"/>
      <c r="E9" s="140" t="s">
        <v>2090</v>
      </c>
      <c r="F9" s="2428"/>
      <c r="G9" s="2428"/>
      <c r="H9" s="2428"/>
      <c r="I9" s="1833"/>
    </row>
    <row r="10" spans="1:12" ht="12.75">
      <c r="A10" s="3097" t="s">
        <v>2091</v>
      </c>
      <c r="B10" s="3023">
        <v>15</v>
      </c>
      <c r="C10" s="3127"/>
      <c r="D10" s="3115"/>
      <c r="E10" s="140" t="s">
        <v>2092</v>
      </c>
      <c r="F10" s="2428"/>
      <c r="G10" s="2428"/>
      <c r="H10" s="2428"/>
      <c r="I10" s="1833"/>
    </row>
    <row r="11" spans="1:12" ht="12.75">
      <c r="A11" s="3097"/>
      <c r="B11" s="3023"/>
      <c r="C11" s="3128"/>
      <c r="D11" s="3115"/>
      <c r="E11" s="140" t="s">
        <v>2093</v>
      </c>
      <c r="F11" s="2428"/>
      <c r="G11" s="2428"/>
      <c r="H11" s="2428"/>
      <c r="I11" s="1833"/>
    </row>
    <row r="12" spans="1:12" ht="12.75">
      <c r="A12" s="3097" t="s">
        <v>2094</v>
      </c>
      <c r="B12" s="3023">
        <v>15</v>
      </c>
      <c r="C12" s="3127"/>
      <c r="D12" s="3115"/>
      <c r="E12" s="140" t="s">
        <v>2095</v>
      </c>
      <c r="F12" s="2428"/>
      <c r="G12" s="2428"/>
      <c r="H12" s="2428"/>
      <c r="I12" s="1833"/>
    </row>
    <row r="13" spans="1:12" ht="12.75">
      <c r="A13" s="3097"/>
      <c r="B13" s="3023"/>
      <c r="C13" s="3128"/>
      <c r="D13" s="3115"/>
      <c r="E13" s="140" t="s">
        <v>2096</v>
      </c>
      <c r="F13" s="2428"/>
      <c r="G13" s="2428"/>
      <c r="H13" s="2428"/>
      <c r="I13" s="1833"/>
    </row>
    <row r="14" spans="1:12" ht="12.75">
      <c r="A14" s="3097" t="s">
        <v>2097</v>
      </c>
      <c r="B14" s="3023">
        <v>30</v>
      </c>
      <c r="C14" s="3127">
        <v>4</v>
      </c>
      <c r="D14" s="3115">
        <v>6</v>
      </c>
      <c r="E14" s="140" t="s">
        <v>2098</v>
      </c>
      <c r="F14" s="2428"/>
      <c r="G14" s="2428"/>
      <c r="H14" s="2428"/>
      <c r="I14" s="1833"/>
    </row>
    <row r="15" spans="1:12" ht="12.75">
      <c r="A15" s="3097"/>
      <c r="B15" s="3023"/>
      <c r="C15" s="3129"/>
      <c r="D15" s="3115"/>
      <c r="E15" s="140" t="s">
        <v>2099</v>
      </c>
      <c r="F15" s="2428"/>
      <c r="G15" s="2428"/>
      <c r="H15" s="2428"/>
      <c r="I15" s="1833"/>
    </row>
    <row r="16" spans="1:12" ht="12.75">
      <c r="A16" s="3097"/>
      <c r="B16" s="3023"/>
      <c r="C16" s="3128"/>
      <c r="D16" s="3115"/>
      <c r="E16" s="140" t="s">
        <v>2100</v>
      </c>
      <c r="F16" s="2428"/>
      <c r="G16" s="2428"/>
      <c r="H16" s="2428"/>
      <c r="I16" s="1833"/>
    </row>
    <row r="17" spans="1:35" ht="15">
      <c r="A17" s="2429" t="s">
        <v>2101</v>
      </c>
      <c r="B17" s="64"/>
      <c r="C17" s="141">
        <f>SUM(C5:C16)</f>
        <v>4</v>
      </c>
      <c r="D17" s="141">
        <f>SUM(D5:D16)</f>
        <v>6</v>
      </c>
      <c r="E17" s="138"/>
      <c r="F17" s="138"/>
      <c r="G17" s="138"/>
      <c r="H17" s="138"/>
      <c r="I17" s="138"/>
      <c r="K17" s="2427"/>
      <c r="L17" s="2430" t="s">
        <v>2102</v>
      </c>
      <c r="M17" s="2430" t="s">
        <v>2103</v>
      </c>
    </row>
    <row r="18" spans="1:35" ht="15.75" thickBot="1">
      <c r="A18" s="2431" t="s">
        <v>2104</v>
      </c>
      <c r="B18" s="2432"/>
      <c r="C18" s="142">
        <f>ROUND(C17/SUM(C17:D17),2)</f>
        <v>0.4</v>
      </c>
      <c r="D18" s="142">
        <f>1-C18</f>
        <v>0.6</v>
      </c>
      <c r="E18" s="138"/>
      <c r="F18" s="138"/>
      <c r="G18" s="138"/>
      <c r="H18" s="138"/>
      <c r="I18" s="138"/>
      <c r="K18" s="2427" t="s">
        <v>2105</v>
      </c>
      <c r="L18" s="2427">
        <f>IF(C1="",'数据-汇总表'!E3,SUMIF(项目类型,C1,'数据-汇总表'!E17:E26)+SUMIF(项目类型,C1,'数据-汇总表'!I17:I26))</f>
        <v>19689.989999999998</v>
      </c>
      <c r="M18" s="2427">
        <f>IF(C1="",'数据-汇总表'!E3,SUMIF(项目类型,C1,'数据-汇总表'!E17:E26))</f>
        <v>19689.989999999998</v>
      </c>
    </row>
    <row r="19" spans="1:35" ht="15">
      <c r="A19" s="2433" t="s">
        <v>2106</v>
      </c>
      <c r="B19" s="2434" t="s">
        <v>2107</v>
      </c>
      <c r="C19" s="143">
        <f ca="1">SUMIF(INDIRECT("'"&amp;C4&amp;"'"&amp;"!A:A"),结果表!B19,INDIRECT("'"&amp;C4&amp;"'"&amp;"!B:B"))</f>
        <v>9593</v>
      </c>
      <c r="D19" s="144">
        <f ca="1">SUMIF(INDIRECT("'"&amp;D4&amp;"'"&amp;"!A:A"),结果表!B19,INDIRECT("'"&amp;D4&amp;"'"&amp;"!B:B"))</f>
        <v>17755</v>
      </c>
      <c r="E19" s="2433" t="s">
        <v>2108</v>
      </c>
      <c r="F19" s="2434" t="s">
        <v>2107</v>
      </c>
      <c r="G19" s="145">
        <f ca="1">ROUND(C19*$C$18+D19*$D$18,0)</f>
        <v>14490</v>
      </c>
      <c r="H19" s="2435" t="s">
        <v>2109</v>
      </c>
      <c r="I19" s="138"/>
      <c r="K19" s="2427" t="s">
        <v>2110</v>
      </c>
      <c r="L19" s="2427">
        <f>IF(C1="",'数据-汇总表'!D3,SUMIF(项目类型,C1,'数据-汇总表'!D17:D26)+SUMIF(项目类型,C1,'数据-汇总表'!H17:H27))</f>
        <v>7296.02</v>
      </c>
      <c r="M19" s="2427">
        <f>IF(C1="",'数据-汇总表'!D3,SUMIF(项目类型,C1,'数据-汇总表'!D17:D26))</f>
        <v>7296.02</v>
      </c>
    </row>
    <row r="20" spans="1:35" ht="15">
      <c r="A20" s="2436"/>
      <c r="B20" s="1250" t="s">
        <v>2111</v>
      </c>
      <c r="C20" s="146">
        <f ca="1">SUMIF(INDIRECT("'"&amp;C4&amp;"'"&amp;"!A:A"),结果表!B20,INDIRECT("'"&amp;C4&amp;"'"&amp;"!B:B"))</f>
        <v>4872</v>
      </c>
      <c r="D20" s="147">
        <f ca="1">SUMIF(INDIRECT("'"&amp;D4&amp;"'"&amp;"!A:A"),结果表!B20,INDIRECT("'"&amp;D4&amp;"'"&amp;"!B:B"))</f>
        <v>9017</v>
      </c>
      <c r="E20" s="2436"/>
      <c r="F20" s="1250" t="s">
        <v>2111</v>
      </c>
      <c r="G20" s="148">
        <f ca="1">ROUND(C20*$C$18+D20*$D$18,0)</f>
        <v>7359</v>
      </c>
      <c r="H20" s="983" t="s">
        <v>2112</v>
      </c>
      <c r="I20" s="138"/>
    </row>
    <row r="21" spans="1:35" ht="15" customHeight="1" thickBot="1">
      <c r="A21" s="1003"/>
      <c r="B21" s="2437" t="s">
        <v>2113</v>
      </c>
      <c r="C21" s="789">
        <f ca="1">ROUND(C19*10000/L19,0)</f>
        <v>13148</v>
      </c>
      <c r="D21" s="790">
        <f ca="1">ROUND(D19*10000/L19,0)</f>
        <v>24335</v>
      </c>
      <c r="E21" s="1003"/>
      <c r="F21" s="2437" t="s">
        <v>2113</v>
      </c>
      <c r="G21" s="149">
        <f ca="1">ROUND(G19*10000/L19,0)</f>
        <v>19860</v>
      </c>
      <c r="H21" s="2438" t="s">
        <v>2112</v>
      </c>
      <c r="I21" s="138"/>
    </row>
    <row r="22" spans="1:35" ht="15" thickBot="1">
      <c r="A22" s="2282" t="s">
        <v>2114</v>
      </c>
      <c r="B22" s="2439"/>
      <c r="C22" s="2440"/>
      <c r="D22" s="791">
        <f ca="1">IF(C19&lt;D19,D19/C19-1,C19/D19-1)</f>
        <v>0.850828729281768</v>
      </c>
      <c r="E22" s="138"/>
      <c r="F22" s="138"/>
      <c r="G22" s="138"/>
      <c r="H22" s="138"/>
      <c r="I22" s="138"/>
    </row>
    <row r="23" spans="1:35" ht="13.5" thickBot="1">
      <c r="A23" s="2417"/>
      <c r="B23" s="2417"/>
      <c r="C23" s="2417"/>
      <c r="D23" s="2417"/>
      <c r="E23" s="138"/>
      <c r="F23" s="138"/>
      <c r="G23" s="138"/>
      <c r="H23" s="138"/>
      <c r="I23" s="138"/>
    </row>
    <row r="24" spans="1:35" ht="14.25">
      <c r="A24" s="3136" t="s">
        <v>2115</v>
      </c>
      <c r="B24" s="2434" t="s">
        <v>2107</v>
      </c>
      <c r="C24" s="145">
        <f>IF(B30=0,0,D30)</f>
        <v>0</v>
      </c>
      <c r="D24" s="2441"/>
      <c r="E24" s="138"/>
      <c r="F24" s="138"/>
      <c r="G24" s="138"/>
      <c r="H24" s="138"/>
      <c r="I24" s="138"/>
    </row>
    <row r="25" spans="1:35" ht="14.25">
      <c r="A25" s="3137"/>
      <c r="B25" s="1250" t="s">
        <v>2111</v>
      </c>
      <c r="C25" s="150">
        <f>IF(B30=0,0,C30)</f>
        <v>0</v>
      </c>
      <c r="D25" s="2442"/>
      <c r="E25" s="138"/>
      <c r="F25" s="138"/>
      <c r="G25" s="138"/>
      <c r="H25" s="138"/>
      <c r="I25" s="138"/>
    </row>
    <row r="26" spans="1:35" ht="13.5" customHeight="1">
      <c r="A26" s="2443" t="s">
        <v>2116</v>
      </c>
      <c r="B26" s="151" t="s">
        <v>2117</v>
      </c>
      <c r="C26" s="151" t="s">
        <v>2118</v>
      </c>
      <c r="D26" s="152" t="s">
        <v>2119</v>
      </c>
      <c r="E26" s="138"/>
      <c r="F26" s="138"/>
      <c r="G26" s="138"/>
      <c r="H26" s="138"/>
      <c r="I26" s="138"/>
    </row>
    <row r="27" spans="1:35" ht="14.25">
      <c r="A27" s="2443"/>
      <c r="B27" s="151">
        <v>0</v>
      </c>
      <c r="C27" s="151">
        <v>0</v>
      </c>
      <c r="D27" s="152"/>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2120</v>
      </c>
      <c r="B30" s="151"/>
      <c r="C30" s="151"/>
      <c r="D30" s="151"/>
      <c r="E30" s="2925" t="s">
        <v>2993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2121</v>
      </c>
      <c r="B32" s="2447"/>
      <c r="C32" s="153">
        <f ca="1">IF(D32="总价",G19-C24,G20-C25)</f>
        <v>14490</v>
      </c>
      <c r="D32" s="2448" t="s">
        <v>2122</v>
      </c>
      <c r="E32" s="138"/>
      <c r="F32" s="138"/>
      <c r="G32" s="138"/>
      <c r="H32" s="138"/>
      <c r="I32" s="138"/>
    </row>
    <row r="33" spans="1:15" ht="15">
      <c r="A33" s="960" t="s">
        <v>2123</v>
      </c>
      <c r="B33" s="2449"/>
      <c r="C33" s="2450" t="s">
        <v>3179</v>
      </c>
      <c r="D33" s="2451" t="s">
        <v>3050</v>
      </c>
      <c r="E33" s="2452" t="s">
        <v>2124</v>
      </c>
      <c r="F33" s="2453" t="str">
        <f>IF(D32="楼面单价","取值（单价）","取值（总价）")</f>
        <v>取值（总价）</v>
      </c>
      <c r="G33" s="138"/>
      <c r="H33" s="138"/>
      <c r="I33" s="138"/>
    </row>
    <row r="34" spans="1:15" ht="15">
      <c r="A34" s="2454"/>
      <c r="B34" s="2455" t="s">
        <v>2125</v>
      </c>
      <c r="C34" s="157">
        <f ca="1">IF(C33="自定义",F34,C32-C35)</f>
        <v>9621</v>
      </c>
      <c r="D34" s="1058">
        <f ca="1">IF(C33="自定义",ROUND(C34/C32,3),IF(C33="收益比率",SUMIF(INDIRECT("'"&amp;D33&amp;"'"&amp;"!b:b"),"土地收益比率",INDIRECT("'"&amp;D33&amp;"'"&amp;"!c:c")),SUMIF(INDIRECT("'"&amp;D33&amp;"'"&amp;"!b:b"),"土地成本比率",INDIRECT("'"&amp;D33&amp;"'"&amp;"!c:c"))))</f>
        <v>0.66399999999999992</v>
      </c>
      <c r="E34" s="2456" t="s">
        <v>2126</v>
      </c>
      <c r="F34" s="1738"/>
      <c r="G34" s="138"/>
      <c r="H34" s="138"/>
      <c r="I34" s="138"/>
    </row>
    <row r="35" spans="1:15" ht="15.75" thickBot="1">
      <c r="A35" s="2457"/>
      <c r="B35" s="2458" t="s">
        <v>2127</v>
      </c>
      <c r="C35" s="1444">
        <f ca="1">IF(C33="自定义",F35,ROUND(C32*D35,0))</f>
        <v>4869</v>
      </c>
      <c r="D35" s="1445">
        <f ca="1">IF(C33="自定义",ROUND(C35/C32,3),IF(C33="收益比率",SUMIF(INDIRECT("'"&amp;D33&amp;"'"&amp;"!b:b"),"建筑物收益比率",INDIRECT("'"&amp;D33&amp;"'"&amp;"!c:c")),SUMIF(INDIRECT("'"&amp;D33&amp;"'"&amp;"!b:b"),"建筑物成本比率",INDIRECT("'"&amp;D33&amp;"'"&amp;"!c:c"))))</f>
        <v>0.33600000000000002</v>
      </c>
      <c r="E35" s="2459" t="s">
        <v>2128</v>
      </c>
      <c r="F35" s="163"/>
      <c r="G35" s="138"/>
      <c r="H35" s="138"/>
      <c r="I35" s="138"/>
    </row>
    <row r="36" spans="1:15" ht="15.75" thickBot="1">
      <c r="A36" s="3116" t="s">
        <v>2129</v>
      </c>
      <c r="B36" s="2460" t="s">
        <v>2130</v>
      </c>
      <c r="C36" s="154"/>
      <c r="D36" s="2461"/>
      <c r="E36" s="2462"/>
      <c r="F36" s="2463"/>
      <c r="G36" s="138"/>
      <c r="H36" s="138"/>
      <c r="I36" s="138"/>
    </row>
    <row r="37" spans="1:15" ht="15.75" thickBot="1">
      <c r="A37" s="3117"/>
      <c r="B37" s="2268" t="s">
        <v>2131</v>
      </c>
      <c r="C37" s="156"/>
      <c r="D37" s="1395"/>
      <c r="E37" s="1395"/>
      <c r="F37" s="2463"/>
      <c r="G37" s="138"/>
      <c r="H37" s="138"/>
      <c r="I37" s="138"/>
    </row>
    <row r="38" spans="1:15" ht="15.75" thickBot="1">
      <c r="A38" s="3118"/>
      <c r="B38" s="2464" t="s">
        <v>2132</v>
      </c>
      <c r="C38" s="727"/>
      <c r="D38" s="2465" t="s">
        <v>2133</v>
      </c>
      <c r="E38" s="1395"/>
      <c r="F38" s="2463"/>
      <c r="G38" s="138"/>
      <c r="H38" s="138"/>
      <c r="I38" s="138"/>
    </row>
    <row r="39" spans="1:15" ht="15">
      <c r="A39" s="2436" t="s">
        <v>2134</v>
      </c>
      <c r="B39" s="2466" t="s">
        <v>2135</v>
      </c>
      <c r="C39" s="2467" t="s">
        <v>2136</v>
      </c>
      <c r="D39" s="2467" t="s">
        <v>2137</v>
      </c>
      <c r="E39" s="2468" t="s">
        <v>2138</v>
      </c>
      <c r="F39" s="2463"/>
      <c r="G39" s="138"/>
      <c r="H39" s="138"/>
      <c r="I39" s="138"/>
    </row>
    <row r="40" spans="1:15" ht="14.25">
      <c r="A40" s="2469" t="s">
        <v>2139</v>
      </c>
      <c r="B40" s="158"/>
      <c r="C40" s="159"/>
      <c r="D40" s="159"/>
      <c r="E40" s="160"/>
      <c r="F40" s="2463"/>
      <c r="G40" s="138"/>
      <c r="H40" s="138"/>
      <c r="I40" s="138"/>
    </row>
    <row r="41" spans="1:15" ht="14.25">
      <c r="A41" s="2469" t="s">
        <v>2140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2141</v>
      </c>
      <c r="B44" s="2474"/>
      <c r="C44" s="2474"/>
      <c r="D44" s="2475"/>
      <c r="E44" s="2475"/>
      <c r="F44" s="2476"/>
      <c r="G44" s="2476"/>
      <c r="H44" s="2476"/>
      <c r="I44" s="2476"/>
      <c r="J44" s="2477" t="s">
        <v>2142</v>
      </c>
      <c r="K44" s="2478"/>
      <c r="L44" s="2478"/>
      <c r="M44" s="2478"/>
      <c r="N44" s="2478"/>
      <c r="O44" s="2478"/>
    </row>
    <row r="45" spans="1:15" ht="14.25" customHeight="1" thickBot="1">
      <c r="A45" s="3133" t="s">
        <v>2143</v>
      </c>
      <c r="B45" s="3134"/>
      <c r="C45" s="3135"/>
      <c r="D45" s="164">
        <f ca="1">ROUND(H101*F45,0)</f>
        <v>14490</v>
      </c>
      <c r="E45" s="165" t="s">
        <v>2144</v>
      </c>
      <c r="F45" s="166">
        <v>1</v>
      </c>
      <c r="G45" s="167" t="s">
        <v>2145</v>
      </c>
      <c r="H45" s="138"/>
      <c r="I45" s="138"/>
      <c r="J45" s="3052" t="s">
        <v>2146</v>
      </c>
      <c r="K45" s="3052"/>
      <c r="L45" s="3052"/>
      <c r="M45" s="3052"/>
      <c r="N45" s="3052"/>
      <c r="O45" s="3052"/>
    </row>
    <row r="46" spans="1:15" ht="14.25" customHeight="1">
      <c r="A46" s="3130" t="s">
        <v>2147</v>
      </c>
      <c r="B46" s="3131"/>
      <c r="C46" s="3131"/>
      <c r="D46" s="3131"/>
      <c r="E46" s="3131"/>
      <c r="F46" s="3131"/>
      <c r="G46" s="3132"/>
      <c r="H46" s="2479"/>
      <c r="I46" s="168"/>
      <c r="J46" s="1811">
        <v>1</v>
      </c>
      <c r="K46" s="3052" t="s">
        <v>2148</v>
      </c>
      <c r="L46" s="3052"/>
      <c r="M46" s="3053"/>
      <c r="N46" s="3053"/>
      <c r="O46" s="3053"/>
    </row>
    <row r="47" spans="1:15" ht="12" customHeight="1">
      <c r="A47" s="169" t="s">
        <v>2149</v>
      </c>
      <c r="B47" s="170"/>
      <c r="C47" s="171"/>
      <c r="D47" s="172" t="s">
        <v>2150</v>
      </c>
      <c r="E47" s="24" t="s">
        <v>2151</v>
      </c>
      <c r="F47" s="173" t="s">
        <v>2152</v>
      </c>
      <c r="G47" s="174" t="s">
        <v>2153</v>
      </c>
      <c r="H47" s="2479"/>
      <c r="I47" s="168"/>
      <c r="J47" s="1811">
        <v>2</v>
      </c>
      <c r="K47" s="3052" t="s">
        <v>2154</v>
      </c>
      <c r="L47" s="3052"/>
      <c r="M47" s="3054">
        <f>'数据-取费表'!B2</f>
        <v>43420</v>
      </c>
      <c r="N47" s="3054"/>
      <c r="O47" s="3054"/>
    </row>
    <row r="48" spans="1:15" ht="25.5">
      <c r="A48" s="3120" t="s">
        <v>2155</v>
      </c>
      <c r="B48" s="3121"/>
      <c r="C48" s="3121"/>
      <c r="D48" s="140">
        <f>IF(H48="情况1",0,IF(H48="情况2",D52,IF(H48="情况3",D53,IF(H48="情况4",D54))))</f>
        <v>0</v>
      </c>
      <c r="E48" s="1800" t="str">
        <f>IF(H48="情况4","(销售额-原购置价)×税（费）率","销售额×税（费）率")</f>
        <v>销售额×税（费）率</v>
      </c>
      <c r="F48" s="175" t="str">
        <f>IF(H48="情况1","免征",'数据-取费表'!B41)</f>
        <v>免征</v>
      </c>
      <c r="G48" s="2480" t="s">
        <v>2156</v>
      </c>
      <c r="H48" s="2481" t="s">
        <v>2157</v>
      </c>
      <c r="I48" s="2479"/>
      <c r="J48" s="1811">
        <v>3</v>
      </c>
      <c r="K48" s="3052" t="s">
        <v>2158</v>
      </c>
      <c r="L48" s="3052"/>
      <c r="M48" s="3055">
        <f ca="1">H101</f>
        <v>14490</v>
      </c>
      <c r="N48" s="3055"/>
      <c r="O48" s="3055"/>
    </row>
    <row r="49" spans="1:35" ht="25.5" customHeight="1">
      <c r="A49" s="176" t="s">
        <v>2159</v>
      </c>
      <c r="B49" s="3100" t="s">
        <v>2160</v>
      </c>
      <c r="C49" s="3100"/>
      <c r="D49" s="177">
        <v>0</v>
      </c>
      <c r="E49" s="23" t="s">
        <v>2161</v>
      </c>
      <c r="F49" s="28" t="s">
        <v>34</v>
      </c>
      <c r="G49" s="3081"/>
      <c r="H49" s="138"/>
      <c r="I49" s="2482"/>
      <c r="J49" s="1811">
        <v>4</v>
      </c>
      <c r="K49" s="3052" t="str">
        <f>IF(项目基本情况!E8="房地产抵押价值","房地产抵押价值","抵押担保权已注销时的房地产抵押价值")</f>
        <v>房地产抵押价值</v>
      </c>
      <c r="L49" s="3052"/>
      <c r="M49" s="3055">
        <f ca="1">IF(项目基本情况!E8="房地产抵押价值",H107,H109)</f>
        <v>14490</v>
      </c>
      <c r="N49" s="3055"/>
      <c r="O49" s="3055"/>
    </row>
    <row r="50" spans="1:35" ht="25.5" customHeight="1">
      <c r="A50" s="178"/>
      <c r="B50" s="3100" t="s">
        <v>2162</v>
      </c>
      <c r="C50" s="3100"/>
      <c r="D50" s="179"/>
      <c r="E50" s="31"/>
      <c r="F50" s="180"/>
      <c r="G50" s="3082"/>
      <c r="H50" s="138"/>
      <c r="I50" s="2482"/>
      <c r="J50" s="3052" t="s">
        <v>2163</v>
      </c>
      <c r="K50" s="3052"/>
      <c r="L50" s="3052"/>
      <c r="M50" s="3052"/>
      <c r="N50" s="3052"/>
      <c r="O50" s="3052"/>
    </row>
    <row r="51" spans="1:35" ht="12" customHeight="1">
      <c r="A51" s="181"/>
      <c r="B51" s="3100" t="s">
        <v>2164</v>
      </c>
      <c r="C51" s="3100"/>
      <c r="D51" s="182"/>
      <c r="E51" s="30"/>
      <c r="F51" s="180"/>
      <c r="G51" s="3083"/>
      <c r="H51" s="138"/>
      <c r="I51" s="2482"/>
      <c r="J51" s="2483" t="s">
        <v>2165</v>
      </c>
      <c r="K51" s="3052" t="s">
        <v>2166</v>
      </c>
      <c r="L51" s="3052"/>
      <c r="M51" s="2483" t="s">
        <v>2167</v>
      </c>
      <c r="N51" s="2483" t="s">
        <v>2168</v>
      </c>
      <c r="O51" s="2483" t="s">
        <v>2169</v>
      </c>
    </row>
    <row r="52" spans="1:35" ht="24" customHeight="1">
      <c r="A52" s="183" t="s">
        <v>2170</v>
      </c>
      <c r="B52" s="3100" t="s">
        <v>2171</v>
      </c>
      <c r="C52" s="3100"/>
      <c r="D52" s="182">
        <f ca="1">ROUND(D45*'数据-取费表'!B41/(1+'数据-取费表'!C42),0)</f>
        <v>759</v>
      </c>
      <c r="E52" s="11" t="s">
        <v>2172</v>
      </c>
      <c r="F52" s="184">
        <f>'数据-取费表'!B41</f>
        <v>5.5000000000000007E-2</v>
      </c>
      <c r="G52" s="2484"/>
      <c r="H52" s="138"/>
      <c r="I52" s="2482"/>
      <c r="J52" s="1811">
        <v>1</v>
      </c>
      <c r="K52" s="3075" t="s">
        <v>2173</v>
      </c>
      <c r="L52" s="3075"/>
      <c r="M52" s="1753">
        <f>D48</f>
        <v>0</v>
      </c>
      <c r="N52" s="1811" t="str">
        <f>E48</f>
        <v>销售额×税（费）率</v>
      </c>
      <c r="O52" s="1754" t="str">
        <f>F48</f>
        <v>免征</v>
      </c>
    </row>
    <row r="53" spans="1:35" ht="12" customHeight="1">
      <c r="A53" s="183" t="s">
        <v>2174</v>
      </c>
      <c r="B53" s="3101" t="s">
        <v>2175</v>
      </c>
      <c r="C53" s="3102"/>
      <c r="D53" s="182">
        <f ca="1">ROUND(D45*'数据-取费表'!B41/(1+'数据-取费表'!C42),0)</f>
        <v>759</v>
      </c>
      <c r="E53" s="11" t="s">
        <v>2172</v>
      </c>
      <c r="F53" s="184">
        <f>'数据-取费表'!B41</f>
        <v>5.5000000000000007E-2</v>
      </c>
      <c r="G53" s="2484"/>
      <c r="H53" s="138"/>
      <c r="I53" s="2482"/>
      <c r="J53" s="1811">
        <v>2</v>
      </c>
      <c r="K53" s="3075" t="s">
        <v>2176</v>
      </c>
      <c r="L53" s="3075"/>
      <c r="M53" s="1753">
        <f t="shared" ref="M53:O54" ca="1" si="0">D55</f>
        <v>7</v>
      </c>
      <c r="N53" s="1811" t="str">
        <f t="shared" si="0"/>
        <v>销售额×税（费）率</v>
      </c>
      <c r="O53" s="1754">
        <f t="shared" si="0"/>
        <v>5.0000000000000001E-4</v>
      </c>
    </row>
    <row r="54" spans="1:35" ht="12" customHeight="1">
      <c r="A54" s="183" t="s">
        <v>2177</v>
      </c>
      <c r="B54" s="3101" t="s">
        <v>2178</v>
      </c>
      <c r="C54" s="3102"/>
      <c r="D54" s="182">
        <f ca="1">C68</f>
        <v>759</v>
      </c>
      <c r="E54" s="30" t="s">
        <v>2179</v>
      </c>
      <c r="F54" s="184">
        <f>'数据-取费表'!B41</f>
        <v>5.5000000000000007E-2</v>
      </c>
      <c r="G54" s="2484"/>
      <c r="H54" s="2485"/>
      <c r="I54" s="2482"/>
      <c r="J54" s="1811">
        <v>3</v>
      </c>
      <c r="K54" s="3075" t="s">
        <v>2180</v>
      </c>
      <c r="L54" s="3075"/>
      <c r="M54" s="1753">
        <f t="shared" ca="1" si="0"/>
        <v>8214</v>
      </c>
      <c r="N54" s="1811" t="str">
        <f t="shared" si="0"/>
        <v>增值额×税（费）率</v>
      </c>
      <c r="O54" s="1755" t="str">
        <f t="shared" si="0"/>
        <v>——</v>
      </c>
    </row>
    <row r="55" spans="1:35" ht="24" customHeight="1">
      <c r="A55" s="3139" t="s">
        <v>2181</v>
      </c>
      <c r="B55" s="3121"/>
      <c r="C55" s="3121"/>
      <c r="D55" s="185">
        <f ca="1">IF(H55="个人住宅",0,ROUND(D45*I55,0))</f>
        <v>7</v>
      </c>
      <c r="E55" s="11" t="s">
        <v>2182</v>
      </c>
      <c r="F55" s="184">
        <f>IF(H55="正常",I55,"免征")</f>
        <v>5.0000000000000001E-4</v>
      </c>
      <c r="G55" s="2484"/>
      <c r="H55" s="2481" t="s">
        <v>2183</v>
      </c>
      <c r="I55" s="186">
        <f>'数据-取费表'!B49</f>
        <v>5.0000000000000001E-4</v>
      </c>
      <c r="J55" s="1811" t="str">
        <f>IF(H59="非个人房产","",4)</f>
        <v/>
      </c>
      <c r="K55" s="3075" t="str">
        <f>IF(H59="非个人房产","——","个人所得税")</f>
        <v>——</v>
      </c>
      <c r="L55" s="3075"/>
      <c r="M55" s="1756" t="str">
        <f>D59</f>
        <v>——</v>
      </c>
      <c r="N55" s="1809" t="str">
        <f>E59</f>
        <v>——</v>
      </c>
      <c r="O55" s="1757" t="str">
        <f>F59</f>
        <v>——</v>
      </c>
    </row>
    <row r="56" spans="1:35" ht="24.75">
      <c r="A56" s="3139" t="s">
        <v>2184</v>
      </c>
      <c r="B56" s="3121"/>
      <c r="C56" s="3121"/>
      <c r="D56" s="185">
        <f ca="1">IF(H56="个人住宅",D57,D58)</f>
        <v>8214</v>
      </c>
      <c r="E56" s="11" t="s">
        <v>2185</v>
      </c>
      <c r="F56" s="184" t="str">
        <f>IF(H56="正常",F58,"免征")</f>
        <v>——</v>
      </c>
      <c r="G56" s="2486" t="s">
        <v>2186</v>
      </c>
      <c r="H56" s="2487" t="s">
        <v>2183</v>
      </c>
      <c r="I56" s="2488"/>
      <c r="J56" s="1811" t="str">
        <f>IF(项目基本情况!K6="上海银行",IF(J55="",4,J55+1),"")</f>
        <v/>
      </c>
      <c r="K56" s="3058" t="str">
        <f>IF(项目基本情况!K6="上海银行","其他处置费用","")</f>
        <v/>
      </c>
      <c r="L56" s="3059"/>
      <c r="M56" s="1753" t="str">
        <f>IF(项目基本情况!K6="上海银行",M69,"")</f>
        <v/>
      </c>
      <c r="N56" s="3061" t="str">
        <f>IF(项目基本情况!K6="上海银行","包含处置中涉及的律师、诉讼、拍卖、评估等费用","")</f>
        <v/>
      </c>
      <c r="O56" s="3062"/>
    </row>
    <row r="57" spans="1:35" ht="12.75">
      <c r="A57" s="183" t="s">
        <v>2159</v>
      </c>
      <c r="B57" s="3106" t="s">
        <v>2187</v>
      </c>
      <c r="C57" s="3107"/>
      <c r="D57" s="187">
        <v>0</v>
      </c>
      <c r="E57" s="23" t="s">
        <v>2161</v>
      </c>
      <c r="F57" s="155"/>
      <c r="G57" s="2484"/>
      <c r="H57" s="2488"/>
      <c r="I57" s="2488"/>
      <c r="J57" s="3075">
        <f>IF(AND(J55="",J56=""),4,IF(项目基本情况!K6="上海银行",结果表!J56+1,结果表!J55+1))</f>
        <v>4</v>
      </c>
      <c r="K57" s="3075" t="s">
        <v>2188</v>
      </c>
      <c r="L57" s="2489" t="s">
        <v>2189</v>
      </c>
      <c r="M57" s="1758"/>
      <c r="N57" s="1759">
        <f ca="1">SUMIF(M52:M56,"&lt;9e307")</f>
        <v>8221</v>
      </c>
      <c r="O57" s="2490"/>
      <c r="P57" s="1752">
        <f ca="1">N57/M49</f>
        <v>0.56735679779158044</v>
      </c>
    </row>
    <row r="58" spans="1:35" ht="24.75">
      <c r="A58" s="183" t="s">
        <v>2170</v>
      </c>
      <c r="B58" s="3106" t="s">
        <v>2190</v>
      </c>
      <c r="C58" s="3119"/>
      <c r="D58" s="185">
        <f ca="1">IF(H58="转让取得",C81,C97)</f>
        <v>8214</v>
      </c>
      <c r="E58" s="11" t="s">
        <v>2185</v>
      </c>
      <c r="F58" s="24" t="s">
        <v>34</v>
      </c>
      <c r="G58" s="2484"/>
      <c r="H58" s="2487" t="s">
        <v>2191</v>
      </c>
      <c r="I58" s="2488"/>
      <c r="J58" s="3075"/>
      <c r="K58" s="3075"/>
      <c r="L58" s="2489" t="s">
        <v>2192</v>
      </c>
      <c r="M58" s="1760"/>
      <c r="N58" s="2491" t="str">
        <f ca="1">NUMBERSTRING(INT(N57*10000),2)&amp;"元整"</f>
        <v>捌仟贰佰贰拾壹万元整</v>
      </c>
      <c r="O58" s="2492"/>
    </row>
    <row r="59" spans="1:35" ht="24.75" thickBot="1">
      <c r="A59" s="3079" t="s">
        <v>2193</v>
      </c>
      <c r="B59" s="3080"/>
      <c r="C59" s="3080"/>
      <c r="D59" s="188" t="str">
        <f>IF(H59="非个人房产","——",IF(H59="个人住宅",0,ROUND(D45*I59,0)))</f>
        <v>——</v>
      </c>
      <c r="E59" s="189" t="str">
        <f>IF(H59="非个人房产","——","销售额×税（费）率")</f>
        <v>——</v>
      </c>
      <c r="F59" s="190" t="str">
        <f>IF(H59="非个人房产","——",IF(H59="个人住宅","免征",I59))</f>
        <v>——</v>
      </c>
      <c r="G59" s="2493" t="s">
        <v>2186</v>
      </c>
      <c r="H59" s="2487" t="s">
        <v>2194</v>
      </c>
      <c r="I59" s="191">
        <v>0.01</v>
      </c>
      <c r="J59" s="3077">
        <f>J57+1</f>
        <v>5</v>
      </c>
      <c r="K59" s="3075" t="s">
        <v>2195</v>
      </c>
      <c r="L59" s="1811" t="s">
        <v>2189</v>
      </c>
      <c r="M59" s="1761"/>
      <c r="N59" s="1762">
        <f ca="1">M49-N57</f>
        <v>6269</v>
      </c>
      <c r="O59" s="2494"/>
    </row>
    <row r="60" spans="1:35" ht="12" customHeight="1">
      <c r="A60" s="2495"/>
      <c r="B60" s="2417"/>
      <c r="C60" s="2417"/>
      <c r="D60" s="2417"/>
      <c r="E60" s="2167"/>
      <c r="F60" s="2488"/>
      <c r="G60" s="2488"/>
      <c r="H60" s="2496"/>
      <c r="I60" s="138"/>
      <c r="J60" s="3078"/>
      <c r="K60" s="3075"/>
      <c r="L60" s="2489" t="s">
        <v>2192</v>
      </c>
      <c r="M60" s="1760"/>
      <c r="N60" s="2491" t="str">
        <f ca="1">NUMBERSTRING(INT(N59*10000),2)&amp;"元整"</f>
        <v>陆仟贰佰陆拾玖万元整</v>
      </c>
      <c r="O60" s="2492"/>
    </row>
    <row r="61" spans="1:35" ht="13.5" thickBot="1">
      <c r="A61" s="3138" t="s">
        <v>2196</v>
      </c>
      <c r="B61" s="3138"/>
      <c r="C61" s="3138"/>
      <c r="D61" s="3138"/>
      <c r="E61" s="3138"/>
      <c r="F61" s="2488"/>
      <c r="G61" s="2488"/>
      <c r="H61" s="2496"/>
      <c r="I61" s="138"/>
      <c r="J61" s="1811">
        <f>J59+1</f>
        <v>6</v>
      </c>
      <c r="K61" s="3075" t="s">
        <v>2197</v>
      </c>
      <c r="L61" s="3075"/>
      <c r="M61" s="1763"/>
      <c r="N61" s="1764">
        <f ca="1">ROUND(N59*10000/'数据-汇总表'!E3,0)</f>
        <v>3184</v>
      </c>
      <c r="O61" s="2497"/>
    </row>
    <row r="62" spans="1:35" ht="12.75">
      <c r="A62" s="3095" t="s">
        <v>2198</v>
      </c>
      <c r="B62" s="3096"/>
      <c r="C62" s="1803"/>
      <c r="D62" s="1803" t="s">
        <v>2199</v>
      </c>
      <c r="E62" s="192" t="s">
        <v>2200</v>
      </c>
      <c r="F62" s="2488"/>
      <c r="G62" s="2488"/>
      <c r="H62" s="2496"/>
      <c r="I62" s="138"/>
    </row>
    <row r="63" spans="1:35" ht="12.75">
      <c r="A63" s="203" t="s">
        <v>774</v>
      </c>
      <c r="B63" s="193" t="s">
        <v>2201</v>
      </c>
      <c r="C63" s="194">
        <f ca="1">ROUND((C64+C65)/(1+'数据-取费表'!C42),0)</f>
        <v>13800</v>
      </c>
      <c r="D63" s="195"/>
      <c r="E63" s="196"/>
      <c r="F63" s="2488"/>
      <c r="G63" s="2488"/>
      <c r="H63" s="2496"/>
      <c r="I63" s="138"/>
      <c r="J63" s="3060" t="s">
        <v>2202</v>
      </c>
      <c r="K63" s="2498" t="s">
        <v>2203</v>
      </c>
      <c r="L63" s="1751">
        <f ca="1">IF(M49&gt;10000,M49*0.5%,IF(AND(M49&gt;1000,M49&lt;=10000),M49*1%,IF(AND(M49&gt;100,M49&lt;=1000),M49*3%,IF(AND(M49&gt;10,M49&lt;=100),M49*5%,M49*8%))))</f>
        <v>72.45</v>
      </c>
      <c r="M63" s="24">
        <f ca="1">ROUND(L63,1)</f>
        <v>72.5</v>
      </c>
      <c r="Z63" s="2422"/>
      <c r="AI63" s="2423"/>
    </row>
    <row r="64" spans="1:35" ht="14.25" customHeight="1">
      <c r="A64" s="197" t="s">
        <v>769</v>
      </c>
      <c r="B64" s="198" t="s">
        <v>2204</v>
      </c>
      <c r="C64" s="199">
        <f ca="1">D45</f>
        <v>14490</v>
      </c>
      <c r="D64" s="200" t="s">
        <v>32</v>
      </c>
      <c r="E64" s="201"/>
      <c r="F64" s="2488"/>
      <c r="G64" s="2488"/>
      <c r="H64" s="2496"/>
      <c r="I64" s="138"/>
      <c r="J64" s="3060"/>
      <c r="K64" s="2498" t="s">
        <v>2205</v>
      </c>
      <c r="L64" s="1751">
        <f ca="1">IF(M49&gt;2000,M49*0.5%,IF(AND(M49&gt;1000,M49&lt;=2000),M49*0.6%,IF(AND(M49&gt;500,M49&lt;=1000),M49*0.7%,IF(AND(M49&gt;200,M49&lt;=500),M49*0.8%,IF(AND(M49&gt;100,M49&lt;=200),M49*0.9%,IF(AND(M49&gt;50,M49&lt;=100),M49*1%,IF(AND(M49&gt;20,M49&lt;=50),M49*1.5%,IF(AND(M49&gt;10,M49&lt;=20),M49*2%,IF(AND(M49&gt;1,M49&lt;=10),M49*2.5%)))))))))</f>
        <v>72.45</v>
      </c>
      <c r="M64" s="24">
        <f t="shared" ref="M64:M65" ca="1" si="1">ROUND(L64,1)</f>
        <v>72.5</v>
      </c>
      <c r="N64" s="138" t="s">
        <v>2206</v>
      </c>
      <c r="Z64" s="2422"/>
      <c r="AI64" s="2423"/>
    </row>
    <row r="65" spans="1:35" ht="14.25" customHeight="1">
      <c r="A65" s="197" t="s">
        <v>770</v>
      </c>
      <c r="B65" s="198" t="s">
        <v>2207</v>
      </c>
      <c r="C65" s="202"/>
      <c r="D65" s="200"/>
      <c r="E65" s="201"/>
      <c r="F65" s="2488"/>
      <c r="G65" s="2488"/>
      <c r="H65" s="2496"/>
      <c r="I65" s="138"/>
      <c r="J65" s="3060"/>
      <c r="K65" s="2498" t="s">
        <v>2208</v>
      </c>
      <c r="L65" s="1751">
        <f ca="1">IF(M49&gt;1000,M49*0.1%,IF(AND(M49&gt;500,M49&lt;=1000),M49*0.5%,IF(AND(M49&gt;50,M49&lt;=500),M49*1%,IF(AND(M49&gt;1,M49&lt;=50),M49*1.5%))))</f>
        <v>14.49</v>
      </c>
      <c r="M65" s="24">
        <f t="shared" ca="1" si="1"/>
        <v>14.5</v>
      </c>
      <c r="N65" s="138" t="s">
        <v>2206</v>
      </c>
      <c r="Z65" s="2422"/>
      <c r="AI65" s="2423"/>
    </row>
    <row r="66" spans="1:35" ht="14.25" customHeight="1">
      <c r="A66" s="203" t="s">
        <v>771</v>
      </c>
      <c r="B66" s="204" t="s">
        <v>2209</v>
      </c>
      <c r="C66" s="205"/>
      <c r="D66" s="206" t="s">
        <v>32</v>
      </c>
      <c r="E66" s="1775" t="s">
        <v>1367</v>
      </c>
      <c r="F66" s="2488"/>
      <c r="G66" s="2488"/>
      <c r="H66" s="2496"/>
      <c r="I66" s="138"/>
      <c r="J66" s="3060"/>
      <c r="K66" s="2498" t="s">
        <v>2210</v>
      </c>
      <c r="L66" s="1751">
        <f ca="1">M49*0.5%</f>
        <v>72.45</v>
      </c>
      <c r="M66" s="24">
        <f ca="1">IF(L66&gt;0.5,0.5,ROUND(L66,0))</f>
        <v>0.5</v>
      </c>
      <c r="N66" s="138" t="s">
        <v>2211</v>
      </c>
      <c r="Z66" s="2422"/>
      <c r="AI66" s="2423"/>
    </row>
    <row r="67" spans="1:35" ht="14.25" customHeight="1">
      <c r="A67" s="203" t="s">
        <v>772</v>
      </c>
      <c r="B67" s="204" t="s">
        <v>2212</v>
      </c>
      <c r="C67" s="207">
        <f ca="1">C63-C66</f>
        <v>13800</v>
      </c>
      <c r="D67" s="200" t="s">
        <v>32</v>
      </c>
      <c r="E67" s="201"/>
      <c r="F67" s="2488"/>
      <c r="G67" s="2488"/>
      <c r="H67" s="2496"/>
      <c r="I67" s="138"/>
      <c r="J67" s="3060"/>
      <c r="K67" s="2498" t="s">
        <v>2213</v>
      </c>
      <c r="L67" s="1751">
        <f ca="1">IF(M49&gt;=10000,(8.25+(M49-10000)*0.01%),IF(AND(M49&gt;=8000,M49&lt;10000),(7.85+(M49-8000)*0.02%),IF(AND(M49&gt;=5000,M49&lt;8000),(6.65+(M49-5000)*0.04%),IF(AND(M49&gt;=2000,M49&lt;5000),(4.25+(PM49-2000)*0.08%),IF(AND(M49&gt;=1000,M49&lt;2000),(2.75+(M49-1000)*0.15%),IF(AND(M49&gt;=100,M49&lt;1000),(0.5+(M49-100)*0.25%),IF(AND(M49&gt;0,M49&lt;100),M49*0.5%)))))))</f>
        <v>8.6989999999999998</v>
      </c>
      <c r="M67" s="24">
        <f ca="1">ROUND(L67*0.9,1)</f>
        <v>7.8</v>
      </c>
      <c r="Z67" s="2422"/>
      <c r="AI67" s="2423"/>
    </row>
    <row r="68" spans="1:35" ht="14.25" customHeight="1" thickBot="1">
      <c r="A68" s="208" t="s">
        <v>773</v>
      </c>
      <c r="B68" s="209" t="s">
        <v>2214</v>
      </c>
      <c r="C68" s="210">
        <f ca="1">IF(C67&lt;=0,0,ROUND(C67*D68,0))</f>
        <v>759</v>
      </c>
      <c r="D68" s="211">
        <f>'数据-取费表'!B41</f>
        <v>5.5000000000000007E-2</v>
      </c>
      <c r="E68" s="212"/>
      <c r="F68" s="2488"/>
      <c r="G68" s="2488"/>
      <c r="H68" s="2496"/>
      <c r="I68" s="138"/>
      <c r="J68" s="3060"/>
      <c r="K68" s="2498" t="s">
        <v>2215</v>
      </c>
      <c r="L68" s="1751">
        <f ca="1">IF(M49&gt;10000,M49*0.5%,IF(AND(M49&gt;5000,M49&lt;=10000),M49*1%,IF(AND(M49&gt;1000,M49&lt;=5000),M49*2%,IF(AND(M49&gt;200,M49&lt;=1000),M49*3%,M49*5%))))</f>
        <v>72.45</v>
      </c>
      <c r="M68" s="24">
        <f ca="1">ROUND(L68,1)</f>
        <v>72.5</v>
      </c>
      <c r="Z68" s="2422"/>
      <c r="AI68" s="2423"/>
    </row>
    <row r="69" spans="1:35" s="2445" customFormat="1" ht="16.5" customHeight="1">
      <c r="A69" s="2499"/>
      <c r="B69" s="2500"/>
      <c r="C69" s="2501"/>
      <c r="D69" s="2502"/>
      <c r="E69" s="2503"/>
      <c r="F69" s="2167"/>
      <c r="G69" s="2167"/>
      <c r="H69" s="2166"/>
      <c r="I69" s="2417"/>
      <c r="J69" s="3060"/>
      <c r="K69" s="2498" t="s">
        <v>2216</v>
      </c>
      <c r="L69" s="2504"/>
      <c r="M69" s="24">
        <f ca="1">ROUND(SUM(M63:M68),0)</f>
        <v>240</v>
      </c>
      <c r="N69" s="1752">
        <f ca="1">M69/M49</f>
        <v>1.6563146997929608E-2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4" t="s">
        <v>2217</v>
      </c>
      <c r="B70" s="3105"/>
      <c r="C70" s="3105"/>
      <c r="D70" s="3105"/>
      <c r="E70" s="3105"/>
      <c r="F70" s="3105"/>
      <c r="G70" s="3105"/>
      <c r="H70" s="310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5" t="s">
        <v>2198</v>
      </c>
      <c r="B71" s="3096"/>
      <c r="C71" s="1803"/>
      <c r="D71" s="1803" t="s">
        <v>2199</v>
      </c>
      <c r="E71" s="213" t="s">
        <v>2200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774</v>
      </c>
      <c r="B72" s="204" t="s">
        <v>2218</v>
      </c>
      <c r="C72" s="207">
        <f ca="1">ROUND(D45/(1+'数据-取费表'!C42),0)</f>
        <v>13800</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771</v>
      </c>
      <c r="B73" s="173" t="s">
        <v>2219</v>
      </c>
      <c r="C73" s="207">
        <f ca="1">C74+C78</f>
        <v>69</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769</v>
      </c>
      <c r="B74" s="198" t="s">
        <v>2220</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775</v>
      </c>
      <c r="B75" s="198" t="s">
        <v>2221</v>
      </c>
      <c r="C75" s="218"/>
      <c r="D75" s="200" t="s">
        <v>32</v>
      </c>
      <c r="E75" s="219" t="s">
        <v>2222</v>
      </c>
      <c r="F75" s="2510" t="s">
        <v>2223</v>
      </c>
      <c r="G75" s="219" t="s">
        <v>2224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776</v>
      </c>
      <c r="B76" s="221" t="s">
        <v>2225</v>
      </c>
      <c r="C76" s="200">
        <f>IF(F75="购房发票",ROUND(C75*H75*D76,0),0)</f>
        <v>0</v>
      </c>
      <c r="D76" s="222">
        <v>0.05</v>
      </c>
      <c r="E76" s="3101" t="s">
        <v>2226</v>
      </c>
      <c r="F76" s="3100"/>
      <c r="G76" s="3100"/>
      <c r="H76" s="310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777</v>
      </c>
      <c r="B77" s="198" t="s">
        <v>2227</v>
      </c>
      <c r="C77" s="200">
        <f>ROUND(IF(G77="个人住宅",0,IF(G77="2016年5月1日前购买",C75*D77,C75*D77/(1+'数据-取费表'!C42))),0)</f>
        <v>0</v>
      </c>
      <c r="D77" s="223">
        <f>'数据-取费表'!B48+'数据-取费表'!B49</f>
        <v>4.0500000000000001E-2</v>
      </c>
      <c r="E77" s="15" t="s">
        <v>2228</v>
      </c>
      <c r="F77" s="224"/>
      <c r="G77" s="2512" t="s">
        <v>2229</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770</v>
      </c>
      <c r="B78" s="198" t="s">
        <v>2230</v>
      </c>
      <c r="C78" s="225">
        <f ca="1">ROUND(D45*D78/(1+'数据-取费表'!C42),0)</f>
        <v>69</v>
      </c>
      <c r="D78" s="226">
        <f>'数据-取费表'!B43</f>
        <v>5.000000000000001E-3</v>
      </c>
      <c r="E78" s="3092" t="s">
        <v>2231</v>
      </c>
      <c r="F78" s="3093"/>
      <c r="G78" s="3093"/>
      <c r="H78" s="309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778</v>
      </c>
      <c r="B79" s="204" t="s">
        <v>2232</v>
      </c>
      <c r="C79" s="207">
        <f ca="1">C72-C73</f>
        <v>13731</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779</v>
      </c>
      <c r="B80" s="204" t="s">
        <v>2233</v>
      </c>
      <c r="C80" s="227">
        <f ca="1">IF(C79&lt;=0,0,C79/C73)</f>
        <v>199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780</v>
      </c>
      <c r="B81" s="209" t="s">
        <v>2234</v>
      </c>
      <c r="C81" s="228">
        <f ca="1">ROUND(IF(C79&lt;=0,0,IF(C80&gt;=200%,C79*60%-C73*35%,IF(C80&gt;=100%,C79*50%-C73*15%,IF(C80&gt;=50%,C79*40%-C73*5%,IF(C80&lt;50%,C79*30%,0))))),0)</f>
        <v>8214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4" t="s">
        <v>2235</v>
      </c>
      <c r="B83" s="3105"/>
      <c r="C83" s="3105"/>
      <c r="D83" s="3105"/>
      <c r="E83" s="3105"/>
      <c r="F83" s="3105"/>
      <c r="G83" s="3105"/>
      <c r="H83" s="310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5" t="s">
        <v>2198</v>
      </c>
      <c r="B84" s="3096"/>
      <c r="C84" s="1803"/>
      <c r="D84" s="1803" t="s">
        <v>2199</v>
      </c>
      <c r="E84" s="213" t="s">
        <v>2200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774</v>
      </c>
      <c r="B85" s="204" t="s">
        <v>2218</v>
      </c>
      <c r="C85" s="207">
        <f ca="1">ROUND(D45/(1+'数据-取费表'!C42),0)</f>
        <v>13800</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771</v>
      </c>
      <c r="B86" s="173" t="s">
        <v>2219</v>
      </c>
      <c r="C86" s="207">
        <f ca="1">IF(H88="仅含出让金",C87+C90+C91+C92+C93+C94,C87+C91+C92+C93+C94)</f>
        <v>69</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769</v>
      </c>
      <c r="B87" s="198" t="s">
        <v>2236</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775</v>
      </c>
      <c r="B88" s="198" t="s">
        <v>2237</v>
      </c>
      <c r="C88" s="236"/>
      <c r="D88" s="226"/>
      <c r="E88" s="237" t="s">
        <v>2238</v>
      </c>
      <c r="F88" s="1799"/>
      <c r="G88" s="238" t="s">
        <v>2239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776</v>
      </c>
      <c r="B89" s="198" t="s">
        <v>2227</v>
      </c>
      <c r="C89" s="225">
        <f>ROUND(C88*D89,0)</f>
        <v>0</v>
      </c>
      <c r="D89" s="226">
        <f>'数据-取费表'!B48+'数据-取费表'!B49</f>
        <v>4.0500000000000001E-2</v>
      </c>
      <c r="E89" s="237" t="s">
        <v>2240</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770</v>
      </c>
      <c r="B90" s="198" t="s">
        <v>2241</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2242</v>
      </c>
      <c r="B91" s="198" t="s">
        <v>2243</v>
      </c>
      <c r="C91" s="225">
        <f>IF(H91="——",成本法!C33,I91)</f>
        <v>0</v>
      </c>
      <c r="D91" s="226"/>
      <c r="E91" s="3092" t="s">
        <v>2244</v>
      </c>
      <c r="F91" s="3093"/>
      <c r="G91" s="3093"/>
      <c r="H91" s="2517" t="s">
        <v>2245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2246</v>
      </c>
      <c r="B92" s="198" t="s">
        <v>2247</v>
      </c>
      <c r="C92" s="225">
        <f>ROUND((C87+C90+C91)*D92,0)</f>
        <v>0</v>
      </c>
      <c r="D92" s="226">
        <v>0.1</v>
      </c>
      <c r="E92" s="3092" t="s">
        <v>2248</v>
      </c>
      <c r="F92" s="3093"/>
      <c r="G92" s="3093"/>
      <c r="H92" s="309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2249</v>
      </c>
      <c r="B93" s="198" t="s">
        <v>2230</v>
      </c>
      <c r="C93" s="225">
        <f ca="1">ROUND(D45*D93/(1+'数据-取费表'!C42),0)</f>
        <v>69</v>
      </c>
      <c r="D93" s="226">
        <f>'数据-取费表'!B43</f>
        <v>5.000000000000001E-3</v>
      </c>
      <c r="E93" s="3092" t="s">
        <v>2231</v>
      </c>
      <c r="F93" s="3093"/>
      <c r="G93" s="3093"/>
      <c r="H93" s="309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2250</v>
      </c>
      <c r="B94" s="198" t="s">
        <v>2251</v>
      </c>
      <c r="C94" s="236">
        <f>ROUND((C87+C90+C91)*D94,0)</f>
        <v>0</v>
      </c>
      <c r="D94" s="226">
        <v>0.2</v>
      </c>
      <c r="E94" s="3140" t="s">
        <v>2252</v>
      </c>
      <c r="F94" s="3141"/>
      <c r="G94" s="3141"/>
      <c r="H94" s="314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778</v>
      </c>
      <c r="B95" s="204" t="s">
        <v>2232</v>
      </c>
      <c r="C95" s="207">
        <f ca="1">ROUND(C85-C86,0)</f>
        <v>13731</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779</v>
      </c>
      <c r="B96" s="204" t="s">
        <v>2233</v>
      </c>
      <c r="C96" s="227">
        <f ca="1">IF(C95&lt;=0,0,C95/C86)</f>
        <v>199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780</v>
      </c>
      <c r="B97" s="209" t="s">
        <v>2234</v>
      </c>
      <c r="C97" s="228">
        <f ca="1">ROUND(IF(C95&lt;=0,0,IF(C96&gt;=200%,C95*60%-C86*35%,IF(C96&gt;=100%,C95*50%-C86*15%,IF(C96&gt;=50%,C95*40%-C86*5%,IF(C96&lt;50%,C95*30%,0))))),0)</f>
        <v>8214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2253</v>
      </c>
      <c r="B99" s="2417"/>
      <c r="C99" s="2417"/>
      <c r="D99" s="2417"/>
      <c r="E99" s="2167"/>
      <c r="F99" s="2167"/>
      <c r="G99" s="2167"/>
      <c r="H99" s="2166"/>
      <c r="I99" s="138"/>
    </row>
    <row r="100" spans="1:35" ht="18.75" customHeight="1">
      <c r="A100" s="3044" t="s">
        <v>2254</v>
      </c>
      <c r="B100" s="3045"/>
      <c r="C100" s="3045"/>
      <c r="D100" s="3076"/>
      <c r="E100" s="3045" t="s">
        <v>2255</v>
      </c>
      <c r="F100" s="3045"/>
      <c r="G100" s="3045"/>
      <c r="H100" s="3076"/>
      <c r="I100" s="138"/>
    </row>
    <row r="101" spans="1:35" ht="18.75" customHeight="1">
      <c r="A101" s="3084" t="s">
        <v>2256</v>
      </c>
      <c r="B101" s="3085"/>
      <c r="C101" s="736" t="str">
        <f>C4</f>
        <v>成本法</v>
      </c>
      <c r="D101" s="737" t="str">
        <f>D4</f>
        <v>假设开发法</v>
      </c>
      <c r="E101" s="3056" t="s">
        <v>2257</v>
      </c>
      <c r="F101" s="3057"/>
      <c r="G101" s="2519" t="s">
        <v>2258</v>
      </c>
      <c r="H101" s="1048">
        <f ca="1">H118</f>
        <v>14490</v>
      </c>
      <c r="I101" s="138"/>
    </row>
    <row r="102" spans="1:35" ht="18.75" customHeight="1">
      <c r="A102" s="3086" t="s">
        <v>2259</v>
      </c>
      <c r="B102" s="2519" t="s">
        <v>2258</v>
      </c>
      <c r="C102" s="736">
        <f ca="1">C19</f>
        <v>9593</v>
      </c>
      <c r="D102" s="737">
        <f ca="1">D19</f>
        <v>17755</v>
      </c>
      <c r="E102" s="3056"/>
      <c r="F102" s="3057"/>
      <c r="G102" s="2519" t="s">
        <v>2260</v>
      </c>
      <c r="H102" s="371">
        <f ca="1">I118</f>
        <v>7359</v>
      </c>
      <c r="I102" s="138"/>
    </row>
    <row r="103" spans="1:35" ht="42.75" customHeight="1">
      <c r="A103" s="3086"/>
      <c r="B103" s="2519" t="s">
        <v>2260</v>
      </c>
      <c r="C103" s="738">
        <f ca="1">C20</f>
        <v>4872</v>
      </c>
      <c r="D103" s="739">
        <f ca="1">D20</f>
        <v>9017</v>
      </c>
      <c r="E103" s="3050" t="s">
        <v>2261</v>
      </c>
      <c r="F103" s="3051"/>
      <c r="G103" s="2520" t="s">
        <v>2262</v>
      </c>
      <c r="H103" s="1048">
        <f>IF(D36="正常操作",H104+H105+H106,H105+H106)</f>
        <v>0</v>
      </c>
      <c r="I103" s="138"/>
    </row>
    <row r="104" spans="1:35" ht="18.75" customHeight="1">
      <c r="A104" s="3086" t="s">
        <v>2263</v>
      </c>
      <c r="B104" s="2521" t="s">
        <v>2258</v>
      </c>
      <c r="C104" s="740">
        <f ca="1">H118</f>
        <v>14490</v>
      </c>
      <c r="D104" s="741"/>
      <c r="E104" s="2268" t="s">
        <v>2264</v>
      </c>
      <c r="F104" s="2259"/>
      <c r="G104" s="2520" t="s">
        <v>2262</v>
      </c>
      <c r="H104" s="1049">
        <f>IF(D36="同一抵押权人同一抵押物续贷",C36&amp;"（未扣减，详见特别提示）",C36)</f>
        <v>0</v>
      </c>
      <c r="I104" s="138"/>
    </row>
    <row r="105" spans="1:35" ht="18.75" customHeight="1" thickBot="1">
      <c r="A105" s="3098"/>
      <c r="B105" s="2522" t="s">
        <v>2260</v>
      </c>
      <c r="C105" s="742">
        <f ca="1">I118</f>
        <v>7359</v>
      </c>
      <c r="D105" s="743"/>
      <c r="E105" s="2268" t="s">
        <v>2265</v>
      </c>
      <c r="F105" s="2259"/>
      <c r="G105" s="2520" t="s">
        <v>2262</v>
      </c>
      <c r="H105" s="1049">
        <f>C37</f>
        <v>0</v>
      </c>
      <c r="I105" s="138"/>
    </row>
    <row r="106" spans="1:35" ht="18.75" customHeight="1">
      <c r="A106" s="2417" t="s">
        <v>2266</v>
      </c>
      <c r="B106" s="2417"/>
      <c r="C106" s="2417"/>
      <c r="D106" s="2417"/>
      <c r="E106" s="2523" t="s">
        <v>2267</v>
      </c>
      <c r="F106" s="2259"/>
      <c r="G106" s="2520" t="s">
        <v>2262</v>
      </c>
      <c r="H106" s="1049">
        <f>C38</f>
        <v>0</v>
      </c>
      <c r="I106" s="138"/>
    </row>
    <row r="107" spans="1:35" ht="18.75" customHeight="1">
      <c r="A107" s="138"/>
      <c r="B107" s="138"/>
      <c r="C107" s="138"/>
      <c r="D107" s="138"/>
      <c r="E107" s="3087" t="str">
        <f>IF(项目基本情况!E8="已注销","——","3.房地产抵押价值")</f>
        <v>3.房地产抵押价值</v>
      </c>
      <c r="F107" s="3057"/>
      <c r="G107" s="2519" t="s">
        <v>2258</v>
      </c>
      <c r="H107" s="1048">
        <f ca="1">IF(E107="——","——",H101-H103)</f>
        <v>14490</v>
      </c>
      <c r="I107" s="138"/>
    </row>
    <row r="108" spans="1:35" ht="18.75" customHeight="1">
      <c r="A108" s="138"/>
      <c r="B108" s="138"/>
      <c r="C108" s="138"/>
      <c r="D108" s="138"/>
      <c r="E108" s="3087"/>
      <c r="F108" s="3057"/>
      <c r="G108" s="2519" t="s">
        <v>2260</v>
      </c>
      <c r="H108" s="371">
        <f ca="1">ROUND(H107*10000/'数据-汇总表'!E3,0)</f>
        <v>7359</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19" t="s">
        <v>2258</v>
      </c>
      <c r="H109" s="348" t="str">
        <f>IF(E109="——","——",H101-H105-H106)</f>
        <v>——</v>
      </c>
      <c r="I109" s="138"/>
    </row>
    <row r="110" spans="1:35" ht="18.75" customHeight="1">
      <c r="A110" s="138"/>
      <c r="B110" s="138"/>
      <c r="C110" s="138"/>
      <c r="D110" s="138"/>
      <c r="E110" s="3087"/>
      <c r="F110" s="3057"/>
      <c r="G110" s="2519" t="s">
        <v>2260</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19" t="s">
        <v>2258</v>
      </c>
      <c r="H111" s="1048" t="str">
        <f>IF(E111="——","——",N59)</f>
        <v>——</v>
      </c>
      <c r="I111" s="138"/>
    </row>
    <row r="112" spans="1:35" ht="18.75" customHeight="1" thickBot="1">
      <c r="A112" s="138"/>
      <c r="B112" s="138"/>
      <c r="C112" s="138"/>
      <c r="D112" s="138"/>
      <c r="E112" s="3090"/>
      <c r="F112" s="3091"/>
      <c r="G112" s="2524" t="s">
        <v>2260</v>
      </c>
      <c r="H112" s="790" t="str">
        <f>IF(E111="——","——",N61)</f>
        <v>——</v>
      </c>
      <c r="I112" s="138"/>
    </row>
    <row r="113" spans="1:13" ht="18.75" customHeight="1">
      <c r="A113" s="138"/>
      <c r="B113" s="138"/>
      <c r="C113" s="138"/>
      <c r="D113" s="138"/>
      <c r="E113" s="3099" t="s">
        <v>2266</v>
      </c>
      <c r="F113" s="3099"/>
      <c r="G113" s="3099"/>
      <c r="H113" s="3099"/>
      <c r="I113" s="138"/>
    </row>
    <row r="114" spans="1:13" ht="3.75" customHeight="1">
      <c r="A114" s="2417"/>
      <c r="B114" s="2417"/>
      <c r="C114" s="2417"/>
      <c r="D114" s="2417"/>
      <c r="E114" s="2495"/>
      <c r="F114" s="2495"/>
      <c r="G114" s="2495"/>
      <c r="H114" s="2495"/>
      <c r="I114" s="2417"/>
    </row>
    <row r="115" spans="1:13" ht="18.75" customHeight="1">
      <c r="A115" s="3112" t="s">
        <v>2268</v>
      </c>
      <c r="B115" s="3113"/>
      <c r="C115" s="3113"/>
      <c r="D115" s="3113"/>
      <c r="E115" s="3113"/>
      <c r="F115" s="3113"/>
      <c r="G115" s="3113"/>
      <c r="H115" s="3113"/>
      <c r="I115" s="3114"/>
    </row>
    <row r="116" spans="1:13" ht="27" customHeight="1">
      <c r="A116" s="3023" t="s">
        <v>2269</v>
      </c>
      <c r="B116" s="3066" t="s">
        <v>2270</v>
      </c>
      <c r="C116" s="3066" t="s">
        <v>2271</v>
      </c>
      <c r="D116" s="3072" t="s">
        <v>2272</v>
      </c>
      <c r="E116" s="3073"/>
      <c r="F116" s="3108" t="s">
        <v>2273</v>
      </c>
      <c r="G116" s="3108"/>
      <c r="H116" s="3023" t="s">
        <v>2274</v>
      </c>
      <c r="I116" s="3023"/>
    </row>
    <row r="117" spans="1:13" ht="18.75" customHeight="1">
      <c r="A117" s="3023"/>
      <c r="B117" s="3067"/>
      <c r="C117" s="3067"/>
      <c r="D117" s="1797" t="s">
        <v>2275</v>
      </c>
      <c r="E117" s="1797" t="s">
        <v>2276</v>
      </c>
      <c r="F117" s="1797" t="s">
        <v>2275</v>
      </c>
      <c r="G117" s="1797" t="s">
        <v>2277</v>
      </c>
      <c r="H117" s="1797" t="s">
        <v>2275</v>
      </c>
      <c r="I117" s="1797" t="s">
        <v>2277</v>
      </c>
    </row>
    <row r="118" spans="1:13" ht="24.75" customHeight="1">
      <c r="A118" s="2525" t="str">
        <f>项目基本情况!S2</f>
        <v>河北省廊坊市香河县出让国有建设用地使用权及在建建筑物房地产</v>
      </c>
      <c r="B118" s="1797">
        <f>M18</f>
        <v>19689.989999999998</v>
      </c>
      <c r="C118" s="1797">
        <f>M19</f>
        <v>7296.02</v>
      </c>
      <c r="D118" s="1797">
        <f ca="1">ROUND(IF(D32="总价",C34,E118*B118/10000),0)</f>
        <v>9621</v>
      </c>
      <c r="E118" s="1797">
        <f ca="1">ROUND(IF(C33="自定义",IF(D32="楼面单价",C34,D118*10000/B118),I118-G118),0)</f>
        <v>4886</v>
      </c>
      <c r="F118" s="1797">
        <f ca="1">ROUND(IF(D32="总价",C35,G118*B118/10000),0)</f>
        <v>4869</v>
      </c>
      <c r="G118" s="1797">
        <f ca="1">ROUND(IF(D32="楼面单价",C35,F118*10000/B118),0)</f>
        <v>2473</v>
      </c>
      <c r="H118" s="1797">
        <f ca="1">ROUND(IF(D32="总价",C32,I118*B118/10000),0)</f>
        <v>14490</v>
      </c>
      <c r="I118" s="1797">
        <f ca="1">ROUND(IF(D32="楼面单价",C32,H118*10000/B118),0)</f>
        <v>7359</v>
      </c>
      <c r="K118" s="795">
        <f ca="1">D118+[1]结果表!$D$118</f>
        <v>10457</v>
      </c>
      <c r="L118" s="795">
        <f ca="1">F118+[1]结果表!$F$118</f>
        <v>5206</v>
      </c>
      <c r="M118" s="795">
        <f ca="1">H118+[1]结果表!$H$118</f>
        <v>15663</v>
      </c>
    </row>
    <row r="119" spans="1:13" ht="18.75" customHeight="1">
      <c r="A119" s="3023" t="s">
        <v>2278</v>
      </c>
      <c r="B119" s="3023"/>
      <c r="C119" s="3023"/>
      <c r="D119" s="3068" t="str">
        <f ca="1">NUMBERSTRING(INT(D118*10000),2)&amp;"元整"</f>
        <v>玖仟陆佰贰拾壹万元整</v>
      </c>
      <c r="E119" s="3069"/>
      <c r="F119" s="3068" t="str">
        <f ca="1">NUMBERSTRING(INT(F118*10000),2)&amp;"元整"</f>
        <v>肆仟捌佰陆拾玖万元整</v>
      </c>
      <c r="G119" s="3069"/>
      <c r="H119" s="3068" t="str">
        <f ca="1">NUMBERSTRING(INT(H118*10000),2)&amp;"元整"</f>
        <v>壹亿肆仟肆佰玖拾万元整</v>
      </c>
      <c r="I119" s="3069"/>
      <c r="K119" s="3291">
        <f ca="1">K118*10000</f>
        <v>104570000</v>
      </c>
      <c r="L119" s="3291">
        <f ca="1">L118*10000</f>
        <v>52060000</v>
      </c>
      <c r="M119" s="3291">
        <f ca="1">M118*10000</f>
        <v>156630000</v>
      </c>
    </row>
    <row r="120" spans="1:13" ht="18.75" customHeight="1">
      <c r="A120" s="3063" t="str">
        <f>IF(项目基本情况!B9="房地产市场价值","",MID(E103,3,LEN(E103)-2))</f>
        <v>估价师知悉的法定优先受偿款</v>
      </c>
      <c r="B120" s="3064"/>
      <c r="C120" s="3065"/>
      <c r="D120" s="3063">
        <f>H103</f>
        <v>0</v>
      </c>
      <c r="E120" s="3064"/>
      <c r="F120" s="3064"/>
      <c r="G120" s="3064"/>
      <c r="H120" s="3064"/>
      <c r="I120" s="3065"/>
      <c r="K120" s="2422" t="str">
        <f>IF(D120=0,"故，本次评估不存在"&amp;A120,"故，本次评估"&amp;A120&amp;"为人民币"&amp;D120&amp;"万元整。")</f>
        <v>故，本次评估不存在估价师知悉的法定优先受偿款</v>
      </c>
    </row>
    <row r="121" spans="1:13" ht="18.75" customHeight="1">
      <c r="A121" s="3109" t="s">
        <v>2278</v>
      </c>
      <c r="B121" s="3110"/>
      <c r="C121" s="3111"/>
      <c r="D121" s="3068" t="str">
        <f>IF(D120=0,"零元整",NUMBERSTRING(INT(D120*10000),2)&amp;"元整")</f>
        <v>零元整</v>
      </c>
      <c r="E121" s="3070"/>
      <c r="F121" s="3070"/>
      <c r="G121" s="3070"/>
      <c r="H121" s="3070"/>
      <c r="I121" s="3069"/>
    </row>
    <row r="122" spans="1:13" ht="18.75" customHeight="1">
      <c r="A122" s="3074" t="str">
        <f>IF(项目基本情况!B9="房地产市场价值","",MID(E107,3,LEN(E107)-2))</f>
        <v>房地产抵押价值</v>
      </c>
      <c r="B122" s="3074"/>
      <c r="C122" s="3074"/>
      <c r="D122" s="3063">
        <f ca="1">H107</f>
        <v>14490</v>
      </c>
      <c r="E122" s="3064"/>
      <c r="F122" s="3064"/>
      <c r="G122" s="3064"/>
      <c r="H122" s="3064"/>
      <c r="I122" s="3065"/>
    </row>
    <row r="123" spans="1:13" ht="18.75" customHeight="1">
      <c r="A123" s="3023" t="s">
        <v>2278</v>
      </c>
      <c r="B123" s="3023"/>
      <c r="C123" s="3023"/>
      <c r="D123" s="3068" t="str">
        <f ca="1">NUMBERSTRING(INT(D122*10000),2)&amp;"元整"</f>
        <v>壹亿肆仟肆佰玖拾万元整</v>
      </c>
      <c r="E123" s="3070"/>
      <c r="F123" s="3070"/>
      <c r="G123" s="3070"/>
      <c r="H123" s="3070"/>
      <c r="I123" s="3069"/>
    </row>
    <row r="124" spans="1:13" ht="18.75" customHeight="1">
      <c r="A124" s="3074" t="str">
        <f>IF(项目基本情况!B9="房地产市场价值","",MID(E109,3,LEN(E109)-2))</f>
        <v/>
      </c>
      <c r="B124" s="3074"/>
      <c r="C124" s="3074"/>
      <c r="D124" s="3063" t="str">
        <f>H109</f>
        <v>——</v>
      </c>
      <c r="E124" s="3064"/>
      <c r="F124" s="3064"/>
      <c r="G124" s="3064"/>
      <c r="H124" s="3064"/>
      <c r="I124" s="3065"/>
    </row>
    <row r="125" spans="1:13" ht="18.75" customHeight="1">
      <c r="A125" s="3023" t="s">
        <v>2278</v>
      </c>
      <c r="B125" s="3023"/>
      <c r="C125" s="3023"/>
      <c r="D125" s="3068" t="e">
        <f>NUMBERSTRING(INT(D124*10000),2)&amp;"元整"</f>
        <v>#VALUE!</v>
      </c>
      <c r="E125" s="3070"/>
      <c r="F125" s="3070"/>
      <c r="G125" s="3070"/>
      <c r="H125" s="3070"/>
      <c r="I125" s="3069"/>
    </row>
    <row r="126" spans="1:13" ht="18.75" customHeight="1">
      <c r="A126" s="3074" t="str">
        <f>IF(项目基本情况!B9="房地产市场价值","",MID(E111,3,LEN(E111)-2))</f>
        <v/>
      </c>
      <c r="B126" s="3074"/>
      <c r="C126" s="3074"/>
      <c r="D126" s="3063" t="str">
        <f>H111</f>
        <v>——</v>
      </c>
      <c r="E126" s="3064"/>
      <c r="F126" s="3064"/>
      <c r="G126" s="3064"/>
      <c r="H126" s="3064"/>
      <c r="I126" s="3065"/>
    </row>
    <row r="127" spans="1:13" ht="18.75" customHeight="1">
      <c r="A127" s="3023" t="s">
        <v>2278</v>
      </c>
      <c r="B127" s="3023"/>
      <c r="C127" s="3023"/>
      <c r="D127" s="3068" t="e">
        <f>NUMBERSTRING(INT(D126*10000),2)&amp;"元整"</f>
        <v>#VALUE!</v>
      </c>
      <c r="E127" s="3070"/>
      <c r="F127" s="3070"/>
      <c r="G127" s="3070"/>
      <c r="H127" s="3070"/>
      <c r="I127" s="3069"/>
    </row>
    <row r="128" spans="1:13" ht="21.75" customHeight="1">
      <c r="A128" s="3071" t="s">
        <v>2279</v>
      </c>
      <c r="B128" s="3071"/>
      <c r="C128" s="3071"/>
      <c r="D128" s="3071"/>
      <c r="E128" s="3071"/>
      <c r="F128" s="3071"/>
      <c r="G128" s="3071"/>
      <c r="H128" s="3071"/>
      <c r="I128" s="3071"/>
    </row>
    <row r="129" spans="1:35" ht="21.75" customHeight="1">
      <c r="A129" s="2526" t="s">
        <v>2280</v>
      </c>
      <c r="B129" s="2527"/>
      <c r="C129" s="2528" t="s">
        <v>2281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2282</v>
      </c>
      <c r="G135" s="2543"/>
      <c r="H135" s="2543"/>
      <c r="I135" s="2544" t="s">
        <v>2283</v>
      </c>
    </row>
    <row r="136" spans="1:35" ht="21.75" customHeight="1">
      <c r="A136" s="795"/>
      <c r="B136" s="2545" t="s">
        <v>2284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2285</v>
      </c>
    </row>
    <row r="139" spans="1:35" ht="21.75" customHeight="1">
      <c r="A139" s="795"/>
      <c r="B139" s="2545" t="s">
        <v>2286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2285</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9" sqref="M29"/>
    </sheetView>
  </sheetViews>
  <sheetFormatPr defaultRowHeight="14.25"/>
  <cols>
    <col min="1" max="1" width="14.375" style="403" customWidth="1"/>
    <col min="2" max="2" width="15.75" style="403" customWidth="1"/>
    <col min="3" max="3" width="20.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2701</v>
      </c>
      <c r="B1" s="395"/>
      <c r="C1" s="396" t="s">
        <v>2702</v>
      </c>
      <c r="D1" s="755"/>
      <c r="E1" s="755"/>
      <c r="F1" s="754" t="s">
        <v>2600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2288</v>
      </c>
      <c r="B2" s="671">
        <f>F66</f>
        <v>4967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2290</v>
      </c>
      <c r="B3" s="609">
        <f>ROUND(IF(D3="",B2*10000/'数据-汇总表'!E3,B2*10000/D3),0)</f>
        <v>2523</v>
      </c>
      <c r="C3" s="247" t="s">
        <v>2703</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2602</v>
      </c>
      <c r="B4" s="402"/>
      <c r="C4" s="3161" t="s">
        <v>2603</v>
      </c>
      <c r="D4" s="3162"/>
      <c r="E4" s="3163" t="s">
        <v>2604</v>
      </c>
      <c r="F4" s="3164"/>
      <c r="G4" s="3161" t="s">
        <v>2605</v>
      </c>
      <c r="H4" s="3162"/>
      <c r="I4" s="3161" t="s">
        <v>2606</v>
      </c>
      <c r="J4" s="3162"/>
      <c r="K4" s="610" t="s">
        <v>2607</v>
      </c>
      <c r="L4" s="1133"/>
      <c r="M4" s="1134"/>
      <c r="N4" s="1134"/>
      <c r="O4" s="1134"/>
      <c r="P4" s="3165" t="s">
        <v>2608</v>
      </c>
      <c r="Q4" s="3166"/>
      <c r="R4" s="3148" t="s">
        <v>2604</v>
      </c>
      <c r="S4" s="3149"/>
      <c r="T4" s="3148" t="s">
        <v>2605</v>
      </c>
      <c r="U4" s="3149"/>
      <c r="V4" s="3173" t="s">
        <v>2606</v>
      </c>
      <c r="W4" s="3173"/>
      <c r="X4" s="1815"/>
      <c r="Y4" s="3148" t="s">
        <v>2608</v>
      </c>
      <c r="Z4" s="3149"/>
      <c r="AA4" s="3143" t="s">
        <v>2604</v>
      </c>
      <c r="AB4" s="3144" t="s">
        <v>2605</v>
      </c>
      <c r="AC4" s="3143" t="s">
        <v>2606</v>
      </c>
    </row>
    <row r="5" spans="1:30" ht="15">
      <c r="A5" s="404"/>
      <c r="B5" s="405"/>
      <c r="C5" s="3154" t="s">
        <v>2500</v>
      </c>
      <c r="D5" s="3155"/>
      <c r="E5" s="3152" t="str">
        <f>土地案例!B3</f>
        <v>规划蒋南路北侧,规划辛屯西路西侧</v>
      </c>
      <c r="F5" s="3153"/>
      <c r="G5" s="3154" t="str">
        <f>土地案例!B4</f>
        <v>规划富北道南侧,规划辛屯西路西侧</v>
      </c>
      <c r="H5" s="3155"/>
      <c r="I5" s="3154" t="str">
        <f>土地案例!B6</f>
        <v>规划富北道南侧,规划辛屯西路西侧</v>
      </c>
      <c r="J5" s="3155"/>
      <c r="K5" s="610"/>
      <c r="L5" s="1133"/>
      <c r="M5" s="1134"/>
      <c r="N5" s="1134"/>
      <c r="O5" s="1134"/>
      <c r="P5" s="3167"/>
      <c r="Q5" s="3168"/>
      <c r="R5" s="3150"/>
      <c r="S5" s="3151"/>
      <c r="T5" s="3150"/>
      <c r="U5" s="3151"/>
      <c r="V5" s="3173"/>
      <c r="W5" s="3173"/>
      <c r="X5" s="1815"/>
      <c r="Y5" s="3150"/>
      <c r="Z5" s="3151"/>
      <c r="AA5" s="3144"/>
      <c r="AB5" s="3144"/>
      <c r="AC5" s="3144"/>
    </row>
    <row r="6" spans="1:30" ht="15.75" thickBot="1">
      <c r="A6" s="406"/>
      <c r="B6" s="407"/>
      <c r="C6" s="3156" t="s">
        <v>2504</v>
      </c>
      <c r="D6" s="3157"/>
      <c r="E6" s="3158" t="s">
        <v>2504</v>
      </c>
      <c r="F6" s="3159"/>
      <c r="G6" s="3156" t="s">
        <v>2504</v>
      </c>
      <c r="H6" s="3157"/>
      <c r="I6" s="3156" t="s">
        <v>2504</v>
      </c>
      <c r="J6" s="3157"/>
      <c r="K6" s="610" t="s">
        <v>2505</v>
      </c>
      <c r="L6" s="1133"/>
      <c r="M6" s="1134"/>
      <c r="N6" s="1134"/>
      <c r="O6" s="1134"/>
      <c r="P6" s="3169"/>
      <c r="Q6" s="3170"/>
      <c r="R6" s="3150"/>
      <c r="S6" s="3151"/>
      <c r="T6" s="3171"/>
      <c r="U6" s="3172"/>
      <c r="V6" s="3173"/>
      <c r="W6" s="3173"/>
      <c r="X6" s="1815"/>
      <c r="Y6" s="3171"/>
      <c r="Z6" s="3172"/>
      <c r="AA6" s="3145"/>
      <c r="AB6" s="3145"/>
      <c r="AC6" s="3145"/>
    </row>
    <row r="7" spans="1:30" s="117" customFormat="1" ht="15.75" thickBot="1">
      <c r="A7" s="408" t="s">
        <v>2506</v>
      </c>
      <c r="B7" s="409"/>
      <c r="C7" s="410">
        <f>'数据-取费表'!B2</f>
        <v>43420</v>
      </c>
      <c r="D7" s="411">
        <v>100</v>
      </c>
      <c r="E7" s="412" t="str">
        <f>土地案例!H3</f>
        <v>2018-04-26</v>
      </c>
      <c r="F7" s="413">
        <f>SUMIF(70:70,YEAR(E7)&amp;"-"&amp;INT((MONTH(E7)+2)/3),71:71)</f>
        <v>98</v>
      </c>
      <c r="G7" s="2696" t="str">
        <f>土地案例!H4</f>
        <v>2018-04-26</v>
      </c>
      <c r="H7" s="411">
        <f>SUMIF(70:70,YEAR(G7)&amp;"-"&amp;INT((MONTH(G7)+2)/3),71:71)</f>
        <v>98</v>
      </c>
      <c r="I7" s="2696" t="str">
        <f>土地案例!H6</f>
        <v>2018-04-26</v>
      </c>
      <c r="J7" s="411">
        <f>SUMIF(70:70,YEAR(I7)&amp;"-"&amp;INT((MONTH(I7)+2)/3),71:71)</f>
        <v>98</v>
      </c>
      <c r="K7" s="611"/>
      <c r="L7" s="1135"/>
      <c r="M7" s="1136"/>
      <c r="N7" s="1136"/>
      <c r="O7" s="1136"/>
      <c r="P7" s="3146" t="s">
        <v>2507</v>
      </c>
      <c r="Q7" s="3174"/>
      <c r="R7" s="770" t="s">
        <v>17</v>
      </c>
      <c r="S7" s="771">
        <f t="shared" ref="S7:S15" si="0">F7</f>
        <v>98</v>
      </c>
      <c r="T7" s="770" t="s">
        <v>17</v>
      </c>
      <c r="U7" s="771">
        <f t="shared" ref="U7:U15" si="1">H7</f>
        <v>98</v>
      </c>
      <c r="V7" s="770" t="s">
        <v>17</v>
      </c>
      <c r="W7" s="771">
        <f t="shared" ref="W7:W15" si="2">J7</f>
        <v>98</v>
      </c>
      <c r="X7" s="772"/>
      <c r="Y7" s="3146" t="s">
        <v>2507</v>
      </c>
      <c r="Z7" s="3147"/>
      <c r="AA7" s="773">
        <f>D7/F7</f>
        <v>1.0204081632653061</v>
      </c>
      <c r="AB7" s="773">
        <f>D7/H7</f>
        <v>1.0204081632653061</v>
      </c>
      <c r="AC7" s="773">
        <f>D7/J7</f>
        <v>1.0204081632653061</v>
      </c>
    </row>
    <row r="8" spans="1:30" s="117" customFormat="1" ht="15.75" thickBot="1">
      <c r="A8" s="408" t="s">
        <v>2508</v>
      </c>
      <c r="B8" s="409"/>
      <c r="C8" s="414" t="s">
        <v>2509</v>
      </c>
      <c r="D8" s="411">
        <v>100</v>
      </c>
      <c r="E8" s="414" t="s">
        <v>2509</v>
      </c>
      <c r="F8" s="413">
        <f>SUMIF(73:73,E8,74:74)-SUMIF(73:73,C8,74:74)+100</f>
        <v>100</v>
      </c>
      <c r="G8" s="414" t="s">
        <v>2509</v>
      </c>
      <c r="H8" s="411">
        <f>SUMIF(73:73,G8,74:74)-SUMIF(73:73,C8,74:74)+100</f>
        <v>100</v>
      </c>
      <c r="I8" s="414" t="s">
        <v>2509</v>
      </c>
      <c r="J8" s="411">
        <f>SUMIF(73:73,I8,74:74)-SUMIF(73:73,C8,74:74)+100</f>
        <v>100</v>
      </c>
      <c r="K8" s="611"/>
      <c r="L8" s="1135"/>
      <c r="M8" s="1136"/>
      <c r="N8" s="1136"/>
      <c r="O8" s="1136"/>
      <c r="P8" s="3146" t="s">
        <v>2510</v>
      </c>
      <c r="Q8" s="3147"/>
      <c r="R8" s="770" t="s">
        <v>17</v>
      </c>
      <c r="S8" s="771">
        <f t="shared" si="0"/>
        <v>100</v>
      </c>
      <c r="T8" s="770" t="s">
        <v>17</v>
      </c>
      <c r="U8" s="771">
        <f t="shared" si="1"/>
        <v>100</v>
      </c>
      <c r="V8" s="770" t="s">
        <v>17</v>
      </c>
      <c r="W8" s="771">
        <f t="shared" si="2"/>
        <v>100</v>
      </c>
      <c r="X8" s="772"/>
      <c r="Y8" s="3146" t="s">
        <v>2510</v>
      </c>
      <c r="Z8" s="3147"/>
      <c r="AA8" s="773">
        <f t="shared" ref="AA8:AA45" si="3">D8/F8</f>
        <v>1</v>
      </c>
      <c r="AB8" s="773">
        <f t="shared" ref="AB8:AB45" si="4">D8/H8</f>
        <v>1</v>
      </c>
      <c r="AC8" s="773">
        <f t="shared" ref="AC8:AC45" si="5">D8/J8</f>
        <v>1</v>
      </c>
    </row>
    <row r="9" spans="1:30" s="117" customFormat="1">
      <c r="A9" s="415" t="s">
        <v>2511</v>
      </c>
      <c r="B9" s="71" t="s">
        <v>2512</v>
      </c>
      <c r="C9" s="2699" t="s">
        <v>3027</v>
      </c>
      <c r="D9" s="135">
        <v>100</v>
      </c>
      <c r="E9" s="2699" t="s">
        <v>3027</v>
      </c>
      <c r="F9" s="135">
        <f>SUMIF(75:75,E9,76:76)-SUMIF(75:75,C9,76:76)+100</f>
        <v>100</v>
      </c>
      <c r="G9" s="2699" t="s">
        <v>3027</v>
      </c>
      <c r="H9" s="135">
        <f>SUMIF(75:75,G9,76:76)-SUMIF(75:75,C9,76:76)+100</f>
        <v>100</v>
      </c>
      <c r="I9" s="2699" t="s">
        <v>3027</v>
      </c>
      <c r="J9" s="135">
        <f>SUMIF(75:75,I9,76:76)-SUMIF(75:75,C9,76:76)+100</f>
        <v>100</v>
      </c>
      <c r="K9" s="611"/>
      <c r="L9" s="1135"/>
      <c r="M9" s="1136"/>
      <c r="N9" s="1136"/>
      <c r="O9" s="1137"/>
      <c r="P9" s="3160" t="s">
        <v>2513</v>
      </c>
      <c r="Q9" s="1797" t="str">
        <f t="shared" ref="Q9:Q15" si="6">B9</f>
        <v>用途</v>
      </c>
      <c r="R9" s="770" t="s">
        <v>17</v>
      </c>
      <c r="S9" s="771">
        <f t="shared" si="0"/>
        <v>100</v>
      </c>
      <c r="T9" s="770" t="s">
        <v>17</v>
      </c>
      <c r="U9" s="771">
        <f t="shared" si="1"/>
        <v>100</v>
      </c>
      <c r="V9" s="770" t="s">
        <v>17</v>
      </c>
      <c r="W9" s="771">
        <f t="shared" si="2"/>
        <v>100</v>
      </c>
      <c r="X9" s="772"/>
      <c r="Y9" s="3023" t="s">
        <v>2514</v>
      </c>
      <c r="Z9" s="55" t="str">
        <f t="shared" ref="Z9:Z15" si="7">Q9</f>
        <v>用途</v>
      </c>
      <c r="AA9" s="773">
        <f t="shared" si="3"/>
        <v>1</v>
      </c>
      <c r="AB9" s="773">
        <f t="shared" si="4"/>
        <v>1</v>
      </c>
      <c r="AC9" s="773">
        <f t="shared" si="5"/>
        <v>1</v>
      </c>
    </row>
    <row r="10" spans="1:30" s="427" customFormat="1" ht="27">
      <c r="A10" s="421"/>
      <c r="B10" s="422" t="s">
        <v>2515</v>
      </c>
      <c r="C10" s="432">
        <f>项目基本情况!D15</f>
        <v>65.14</v>
      </c>
      <c r="D10" s="136">
        <v>100</v>
      </c>
      <c r="E10" s="465" t="s">
        <v>3046</v>
      </c>
      <c r="F10" s="136">
        <f>ROUND(100/'数据-取费表'!G16,0)</f>
        <v>101</v>
      </c>
      <c r="G10" s="463" t="s">
        <v>3046</v>
      </c>
      <c r="H10" s="136">
        <f>ROUND(100/'数据-取费表'!G16,0)</f>
        <v>101</v>
      </c>
      <c r="I10" s="463" t="s">
        <v>3046</v>
      </c>
      <c r="J10" s="136">
        <f>ROUND(100/'数据-取费表'!G16,0)</f>
        <v>101</v>
      </c>
      <c r="K10" s="672"/>
      <c r="L10" s="1138"/>
      <c r="M10" s="1139"/>
      <c r="N10" s="1139"/>
      <c r="O10" s="1140"/>
      <c r="P10" s="3160"/>
      <c r="Q10" s="1797" t="str">
        <f t="shared" si="6"/>
        <v>土地使用年限（年）</v>
      </c>
      <c r="R10" s="770" t="s">
        <v>17</v>
      </c>
      <c r="S10" s="771">
        <f t="shared" si="0"/>
        <v>101</v>
      </c>
      <c r="T10" s="770" t="s">
        <v>17</v>
      </c>
      <c r="U10" s="771">
        <f t="shared" si="1"/>
        <v>101</v>
      </c>
      <c r="V10" s="770" t="s">
        <v>17</v>
      </c>
      <c r="W10" s="771">
        <f t="shared" si="2"/>
        <v>101</v>
      </c>
      <c r="X10" s="772"/>
      <c r="Y10" s="3023"/>
      <c r="Z10" s="55" t="str">
        <f t="shared" si="7"/>
        <v>土地使用年限（年）</v>
      </c>
      <c r="AA10" s="773">
        <f t="shared" si="3"/>
        <v>0.99009900990099009</v>
      </c>
      <c r="AB10" s="773">
        <f t="shared" si="4"/>
        <v>0.99009900990099009</v>
      </c>
      <c r="AC10" s="773">
        <f t="shared" si="5"/>
        <v>0.99009900990099009</v>
      </c>
    </row>
    <row r="11" spans="1:30" ht="15">
      <c r="A11" s="428"/>
      <c r="B11" s="422" t="s">
        <v>2516</v>
      </c>
      <c r="C11" s="429">
        <v>2.5</v>
      </c>
      <c r="D11" s="136">
        <v>100</v>
      </c>
      <c r="E11" s="429">
        <v>2</v>
      </c>
      <c r="F11" s="136">
        <f>LOOKUP(E11,80:80,81:81)-LOOKUP(C11,80:80,81:81)+100</f>
        <v>101</v>
      </c>
      <c r="G11" s="430">
        <v>2</v>
      </c>
      <c r="H11" s="136">
        <f>LOOKUP(G11,80:80,81:81)-LOOKUP(C11,80:80,81:81)+100</f>
        <v>101</v>
      </c>
      <c r="I11" s="429">
        <v>2</v>
      </c>
      <c r="J11" s="136">
        <f>LOOKUP(I11,80:80,81:81)-LOOKUP(C11,80:80,81:81)+100</f>
        <v>101</v>
      </c>
      <c r="K11" s="673">
        <v>1</v>
      </c>
      <c r="L11" s="1141"/>
      <c r="M11" s="1134"/>
      <c r="N11" s="1134"/>
      <c r="O11" s="1142"/>
      <c r="P11" s="3160"/>
      <c r="Q11" s="1797" t="str">
        <f t="shared" si="6"/>
        <v>容积率</v>
      </c>
      <c r="R11" s="770" t="s">
        <v>17</v>
      </c>
      <c r="S11" s="771">
        <f t="shared" si="0"/>
        <v>101</v>
      </c>
      <c r="T11" s="770" t="s">
        <v>17</v>
      </c>
      <c r="U11" s="771">
        <f t="shared" si="1"/>
        <v>101</v>
      </c>
      <c r="V11" s="770" t="s">
        <v>17</v>
      </c>
      <c r="W11" s="771">
        <f t="shared" si="2"/>
        <v>101</v>
      </c>
      <c r="X11" s="772"/>
      <c r="Y11" s="3023"/>
      <c r="Z11" s="55" t="str">
        <f t="shared" si="7"/>
        <v>容积率</v>
      </c>
      <c r="AA11" s="773">
        <f t="shared" si="3"/>
        <v>0.99009900990099009</v>
      </c>
      <c r="AB11" s="773">
        <f t="shared" si="4"/>
        <v>0.99009900990099009</v>
      </c>
      <c r="AC11" s="773">
        <f t="shared" si="5"/>
        <v>0.99009900990099009</v>
      </c>
    </row>
    <row r="12" spans="1:30" s="117" customFormat="1" ht="15">
      <c r="A12" s="431"/>
      <c r="B12" s="2601"/>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0"/>
      <c r="Q12" s="1797">
        <f t="shared" si="6"/>
        <v>0</v>
      </c>
      <c r="R12" s="770" t="s">
        <v>17</v>
      </c>
      <c r="S12" s="771">
        <f t="shared" si="0"/>
        <v>100</v>
      </c>
      <c r="T12" s="770" t="s">
        <v>17</v>
      </c>
      <c r="U12" s="771">
        <f t="shared" si="1"/>
        <v>100</v>
      </c>
      <c r="V12" s="770" t="s">
        <v>17</v>
      </c>
      <c r="W12" s="771">
        <f t="shared" si="2"/>
        <v>100</v>
      </c>
      <c r="X12" s="772"/>
      <c r="Y12" s="3023"/>
      <c r="Z12" s="55">
        <f t="shared" si="7"/>
        <v>0</v>
      </c>
      <c r="AA12" s="773">
        <f>D12/F12</f>
        <v>1</v>
      </c>
      <c r="AB12" s="773">
        <f>D12/H12</f>
        <v>1</v>
      </c>
      <c r="AC12" s="773">
        <f>D12/J12</f>
        <v>1</v>
      </c>
    </row>
    <row r="13" spans="1:30" ht="15">
      <c r="A13" s="428"/>
      <c r="B13" s="2601"/>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0"/>
      <c r="Q13" s="1797">
        <f t="shared" si="6"/>
        <v>0</v>
      </c>
      <c r="R13" s="770" t="s">
        <v>17</v>
      </c>
      <c r="S13" s="771">
        <f t="shared" si="0"/>
        <v>100</v>
      </c>
      <c r="T13" s="770" t="s">
        <v>17</v>
      </c>
      <c r="U13" s="771">
        <f t="shared" si="1"/>
        <v>100</v>
      </c>
      <c r="V13" s="770" t="s">
        <v>17</v>
      </c>
      <c r="W13" s="771">
        <f t="shared" si="2"/>
        <v>100</v>
      </c>
      <c r="X13" s="772"/>
      <c r="Y13" s="3023"/>
      <c r="Z13" s="55">
        <f t="shared" si="7"/>
        <v>0</v>
      </c>
      <c r="AA13" s="773">
        <f>D13/F13</f>
        <v>1</v>
      </c>
      <c r="AB13" s="773">
        <f>D13/H13</f>
        <v>1</v>
      </c>
      <c r="AC13" s="773">
        <f>D13/J13</f>
        <v>1</v>
      </c>
    </row>
    <row r="14" spans="1:30" ht="15.75" thickBot="1">
      <c r="A14" s="436"/>
      <c r="B14" s="2603"/>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0"/>
      <c r="Q14" s="1797">
        <f t="shared" si="6"/>
        <v>0</v>
      </c>
      <c r="R14" s="770" t="s">
        <v>17</v>
      </c>
      <c r="S14" s="771">
        <f t="shared" si="0"/>
        <v>100</v>
      </c>
      <c r="T14" s="770" t="s">
        <v>17</v>
      </c>
      <c r="U14" s="771">
        <f t="shared" si="1"/>
        <v>100</v>
      </c>
      <c r="V14" s="770" t="s">
        <v>17</v>
      </c>
      <c r="W14" s="771">
        <f t="shared" si="2"/>
        <v>100</v>
      </c>
      <c r="X14" s="772"/>
      <c r="Y14" s="3023"/>
      <c r="Z14" s="55">
        <f t="shared" si="7"/>
        <v>0</v>
      </c>
      <c r="AA14" s="773">
        <f>D14/F14</f>
        <v>1</v>
      </c>
      <c r="AB14" s="773">
        <f>D14/H14</f>
        <v>1</v>
      </c>
      <c r="AC14" s="773">
        <f>D14/J14</f>
        <v>1</v>
      </c>
    </row>
    <row r="15" spans="1:30" ht="108.75" customHeight="1">
      <c r="A15" s="440" t="s">
        <v>2517</v>
      </c>
      <c r="B15" s="69" t="s">
        <v>2053</v>
      </c>
      <c r="C15" s="2604" t="str">
        <f>估价对象房地状况!C15</f>
        <v>估价对象周边居住用地比例较好、居住小区规模和社区发展完善程度较好，周边有师范小区、公元壹号等住宅项目，综合评价居住社区成熟度较好</v>
      </c>
      <c r="D15" s="441">
        <v>100</v>
      </c>
      <c r="E15" s="3284" t="s">
        <v>3151</v>
      </c>
      <c r="F15" s="441">
        <f>SUMIF(88:88,E16,89:89)-SUMIF(88:88,C16,89:89)+100</f>
        <v>98</v>
      </c>
      <c r="G15" s="3284" t="s">
        <v>3151</v>
      </c>
      <c r="H15" s="441">
        <f>SUMIF(88:88,G16,89:89)-SUMIF(88:88,C16,89:89)+100</f>
        <v>98</v>
      </c>
      <c r="I15" s="3284" t="s">
        <v>3151</v>
      </c>
      <c r="J15" s="441">
        <f>SUMIF(88:88,I16,89:89)-SUMIF(88:88,C16,89:89)+100</f>
        <v>98</v>
      </c>
      <c r="K15" s="673">
        <v>2</v>
      </c>
      <c r="L15" s="1143"/>
      <c r="M15" s="1134"/>
      <c r="N15" s="1134"/>
      <c r="O15" s="1142"/>
      <c r="P15" s="3175" t="s">
        <v>2518</v>
      </c>
      <c r="Q15" s="1812" t="str">
        <f t="shared" si="6"/>
        <v>居住社区成熟度</v>
      </c>
      <c r="R15" s="774" t="s">
        <v>17</v>
      </c>
      <c r="S15" s="775">
        <f t="shared" si="0"/>
        <v>98</v>
      </c>
      <c r="T15" s="774" t="s">
        <v>17</v>
      </c>
      <c r="U15" s="775">
        <f t="shared" si="1"/>
        <v>98</v>
      </c>
      <c r="V15" s="774" t="s">
        <v>17</v>
      </c>
      <c r="W15" s="775">
        <f t="shared" si="2"/>
        <v>98</v>
      </c>
      <c r="X15" s="1815"/>
      <c r="Y15" s="3175" t="s">
        <v>2518</v>
      </c>
      <c r="Z15" s="1816" t="str">
        <f t="shared" si="7"/>
        <v>居住社区成熟度</v>
      </c>
      <c r="AA15" s="1813">
        <f t="shared" si="3"/>
        <v>1.0204081632653061</v>
      </c>
      <c r="AB15" s="1813">
        <f t="shared" si="4"/>
        <v>1.0204081632653061</v>
      </c>
      <c r="AC15" s="1813">
        <f t="shared" si="5"/>
        <v>1.0204081632653061</v>
      </c>
    </row>
    <row r="16" spans="1:30" ht="15">
      <c r="A16" s="428"/>
      <c r="B16" s="446"/>
      <c r="C16" s="447" t="s">
        <v>3034</v>
      </c>
      <c r="D16" s="448"/>
      <c r="E16" s="2606" t="s">
        <v>3149</v>
      </c>
      <c r="F16" s="448"/>
      <c r="G16" s="2606" t="s">
        <v>3149</v>
      </c>
      <c r="H16" s="450"/>
      <c r="I16" s="2606" t="s">
        <v>3149</v>
      </c>
      <c r="J16" s="448"/>
      <c r="K16" s="672"/>
      <c r="L16" s="1143"/>
      <c r="M16" s="1134"/>
      <c r="N16" s="1134"/>
      <c r="O16" s="1142"/>
      <c r="P16" s="3176"/>
      <c r="Q16" s="1812"/>
      <c r="R16" s="774"/>
      <c r="S16" s="775"/>
      <c r="T16" s="774"/>
      <c r="U16" s="775"/>
      <c r="V16" s="774"/>
      <c r="W16" s="775"/>
      <c r="X16" s="1815"/>
      <c r="Y16" s="3176"/>
      <c r="Z16" s="1816"/>
      <c r="AA16" s="1813">
        <v>1</v>
      </c>
      <c r="AB16" s="1813">
        <v>1</v>
      </c>
      <c r="AC16" s="1813">
        <v>1</v>
      </c>
    </row>
    <row r="17" spans="1:29" ht="71.25">
      <c r="A17" s="428"/>
      <c r="B17" s="451" t="s">
        <v>2610</v>
      </c>
      <c r="C17" s="2664" t="str">
        <f>估价对象房地状况!C16</f>
        <v>估价对象位于五一路西侧，周边商业氛围成熟度一般，周边有云天尚品广场等项目，人流量一般，商业繁华度一般</v>
      </c>
      <c r="D17" s="450">
        <v>100</v>
      </c>
      <c r="E17" s="3283" t="s">
        <v>3150</v>
      </c>
      <c r="F17" s="450">
        <f>SUMIF(90:90,E18,91:91)-SUMIF(90:90,C18,91:91)+100</f>
        <v>100</v>
      </c>
      <c r="G17" s="3283" t="s">
        <v>3150</v>
      </c>
      <c r="H17" s="455">
        <f>SUMIF(90:90,G18,91:91)-SUMIF(90:90,C18,91:91)+100</f>
        <v>100</v>
      </c>
      <c r="I17" s="3283" t="s">
        <v>3150</v>
      </c>
      <c r="J17" s="455">
        <f>SUMIF(90:90,I18,91:91)-SUMIF(90:90,C18,91:91)+100</f>
        <v>100</v>
      </c>
      <c r="K17" s="673">
        <v>1</v>
      </c>
      <c r="L17" s="1143"/>
      <c r="M17" s="1134"/>
      <c r="N17" s="1134"/>
      <c r="O17" s="1142"/>
      <c r="P17" s="3176"/>
      <c r="Q17" s="1812" t="str">
        <f>B17</f>
        <v>商业繁华度</v>
      </c>
      <c r="R17" s="774" t="s">
        <v>17</v>
      </c>
      <c r="S17" s="775">
        <f>F17</f>
        <v>100</v>
      </c>
      <c r="T17" s="774" t="s">
        <v>17</v>
      </c>
      <c r="U17" s="775">
        <f>H17</f>
        <v>100</v>
      </c>
      <c r="V17" s="774" t="s">
        <v>17</v>
      </c>
      <c r="W17" s="775">
        <f>J17</f>
        <v>100</v>
      </c>
      <c r="X17" s="1815"/>
      <c r="Y17" s="3176"/>
      <c r="Z17" s="1816" t="str">
        <f>Q17</f>
        <v>商业繁华度</v>
      </c>
      <c r="AA17" s="1813">
        <f t="shared" si="3"/>
        <v>1</v>
      </c>
      <c r="AB17" s="1813">
        <f t="shared" si="4"/>
        <v>1</v>
      </c>
      <c r="AC17" s="1813">
        <f t="shared" si="5"/>
        <v>1</v>
      </c>
    </row>
    <row r="18" spans="1:29" ht="15">
      <c r="A18" s="428"/>
      <c r="B18" s="456"/>
      <c r="C18" s="2609" t="s">
        <v>3149</v>
      </c>
      <c r="D18" s="450"/>
      <c r="E18" s="2611" t="s">
        <v>3149</v>
      </c>
      <c r="F18" s="450"/>
      <c r="G18" s="2611" t="s">
        <v>3149</v>
      </c>
      <c r="H18" s="448"/>
      <c r="I18" s="2611" t="s">
        <v>3149</v>
      </c>
      <c r="J18" s="448"/>
      <c r="K18" s="672"/>
      <c r="L18" s="1143"/>
      <c r="M18" s="1134"/>
      <c r="N18" s="1134"/>
      <c r="O18" s="1142"/>
      <c r="P18" s="3176"/>
      <c r="Q18" s="1812"/>
      <c r="R18" s="774"/>
      <c r="S18" s="775"/>
      <c r="T18" s="774"/>
      <c r="U18" s="775"/>
      <c r="V18" s="774"/>
      <c r="W18" s="775"/>
      <c r="X18" s="1815"/>
      <c r="Y18" s="3176"/>
      <c r="Z18" s="1816"/>
      <c r="AA18" s="1813">
        <v>1</v>
      </c>
      <c r="AB18" s="1813">
        <v>1</v>
      </c>
      <c r="AC18" s="1813">
        <v>1</v>
      </c>
    </row>
    <row r="19" spans="1:29" ht="15">
      <c r="A19" s="428"/>
      <c r="B19" s="451" t="s">
        <v>2644</v>
      </c>
      <c r="C19" s="2664">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3"/>
      <c r="M19" s="1134"/>
      <c r="N19" s="1134"/>
      <c r="O19" s="1142"/>
      <c r="P19" s="3176"/>
      <c r="Q19" s="1812" t="str">
        <f>B19</f>
        <v>办公集聚程度</v>
      </c>
      <c r="R19" s="774" t="s">
        <v>17</v>
      </c>
      <c r="S19" s="775">
        <f>F19</f>
        <v>100</v>
      </c>
      <c r="T19" s="774" t="s">
        <v>17</v>
      </c>
      <c r="U19" s="775">
        <f>H19</f>
        <v>100</v>
      </c>
      <c r="V19" s="774" t="s">
        <v>17</v>
      </c>
      <c r="W19" s="775">
        <f>J19</f>
        <v>100</v>
      </c>
      <c r="X19" s="1815"/>
      <c r="Y19" s="3176"/>
      <c r="Z19" s="1816" t="str">
        <f>Q19</f>
        <v>办公集聚程度</v>
      </c>
      <c r="AA19" s="1813">
        <f t="shared" si="3"/>
        <v>1</v>
      </c>
      <c r="AB19" s="1813">
        <f t="shared" si="4"/>
        <v>1</v>
      </c>
      <c r="AC19" s="1813">
        <f t="shared" si="5"/>
        <v>1</v>
      </c>
    </row>
    <row r="20" spans="1:29" ht="15">
      <c r="A20" s="428"/>
      <c r="B20" s="456"/>
      <c r="C20" s="447" t="s">
        <v>3047</v>
      </c>
      <c r="D20" s="448"/>
      <c r="E20" s="2606" t="s">
        <v>3047</v>
      </c>
      <c r="F20" s="448"/>
      <c r="G20" s="2606" t="s">
        <v>3047</v>
      </c>
      <c r="H20" s="448"/>
      <c r="I20" s="2606" t="s">
        <v>3047</v>
      </c>
      <c r="J20" s="448"/>
      <c r="K20" s="672"/>
      <c r="L20" s="1143"/>
      <c r="M20" s="1134"/>
      <c r="N20" s="1134"/>
      <c r="O20" s="1142"/>
      <c r="P20" s="3176"/>
      <c r="Q20" s="1812"/>
      <c r="R20" s="774"/>
      <c r="S20" s="775"/>
      <c r="T20" s="774"/>
      <c r="U20" s="775"/>
      <c r="V20" s="774"/>
      <c r="W20" s="775"/>
      <c r="X20" s="1815"/>
      <c r="Y20" s="3176"/>
      <c r="Z20" s="1816"/>
      <c r="AA20" s="1813">
        <v>1</v>
      </c>
      <c r="AB20" s="1813">
        <v>1</v>
      </c>
      <c r="AC20" s="1813">
        <v>1</v>
      </c>
    </row>
    <row r="21" spans="1:29" ht="94.5">
      <c r="A21" s="428"/>
      <c r="B21" s="451" t="s">
        <v>2666</v>
      </c>
      <c r="C21" s="2608" t="str">
        <f>估价对象房地状况!C18</f>
        <v>估价对象周边道路状况较好、公共交通通达情况较好、停车便捷程度较好，周边有香河203、/20路等公交线路，综合评价交通便捷度较好</v>
      </c>
      <c r="D21" s="450">
        <v>100</v>
      </c>
      <c r="E21" s="3283" t="s">
        <v>3141</v>
      </c>
      <c r="F21" s="455">
        <f>SUMIF(94:94,E22,95:95)-SUMIF(94:94,C22,95:95)+100</f>
        <v>100</v>
      </c>
      <c r="G21" s="3283" t="s">
        <v>3141</v>
      </c>
      <c r="H21" s="450">
        <f>SUMIF(94:94,G22,95:95)-SUMIF(94:94,C22,95:95)+100</f>
        <v>100</v>
      </c>
      <c r="I21" s="3283" t="s">
        <v>3141</v>
      </c>
      <c r="J21" s="450">
        <f>SUMIF(94:94,I22,95:95)-SUMIF(94:94,C22,95:95)+100</f>
        <v>100</v>
      </c>
      <c r="K21" s="673">
        <v>1</v>
      </c>
      <c r="L21" s="1143"/>
      <c r="M21" s="1134"/>
      <c r="N21" s="1134"/>
      <c r="O21" s="1142"/>
      <c r="P21" s="3176"/>
      <c r="Q21" s="1812" t="str">
        <f>B21</f>
        <v>交通便捷度</v>
      </c>
      <c r="R21" s="774" t="s">
        <v>17</v>
      </c>
      <c r="S21" s="775">
        <f>F21</f>
        <v>100</v>
      </c>
      <c r="T21" s="774" t="s">
        <v>17</v>
      </c>
      <c r="U21" s="775">
        <f>H21</f>
        <v>100</v>
      </c>
      <c r="V21" s="774" t="s">
        <v>17</v>
      </c>
      <c r="W21" s="775">
        <f>J21</f>
        <v>100</v>
      </c>
      <c r="X21" s="1815"/>
      <c r="Y21" s="3176"/>
      <c r="Z21" s="1816" t="str">
        <f>Q21</f>
        <v>交通便捷度</v>
      </c>
      <c r="AA21" s="1813">
        <f t="shared" si="3"/>
        <v>1</v>
      </c>
      <c r="AB21" s="1813">
        <f t="shared" si="4"/>
        <v>1</v>
      </c>
      <c r="AC21" s="1813">
        <f t="shared" si="5"/>
        <v>1</v>
      </c>
    </row>
    <row r="22" spans="1:29" ht="15">
      <c r="A22" s="428"/>
      <c r="B22" s="1387"/>
      <c r="C22" s="447" t="s">
        <v>3034</v>
      </c>
      <c r="D22" s="450"/>
      <c r="E22" s="2606" t="s">
        <v>3034</v>
      </c>
      <c r="F22" s="448"/>
      <c r="G22" s="2606" t="s">
        <v>3034</v>
      </c>
      <c r="H22" s="448"/>
      <c r="I22" s="2606" t="s">
        <v>3034</v>
      </c>
      <c r="J22" s="448"/>
      <c r="K22" s="672"/>
      <c r="L22" s="1143"/>
      <c r="M22" s="1134"/>
      <c r="N22" s="1134"/>
      <c r="O22" s="1142"/>
      <c r="P22" s="3176"/>
      <c r="Q22" s="1812"/>
      <c r="R22" s="774"/>
      <c r="S22" s="775"/>
      <c r="T22" s="774"/>
      <c r="U22" s="775"/>
      <c r="V22" s="774"/>
      <c r="W22" s="775"/>
      <c r="X22" s="1815"/>
      <c r="Y22" s="3176"/>
      <c r="Z22" s="1816"/>
      <c r="AA22" s="1813">
        <v>1</v>
      </c>
      <c r="AB22" s="1813">
        <v>1</v>
      </c>
      <c r="AC22" s="1813">
        <v>1</v>
      </c>
    </row>
    <row r="23" spans="1:29" ht="15">
      <c r="A23" s="404"/>
      <c r="B23" s="451" t="s">
        <v>2704</v>
      </c>
      <c r="C23" s="1392" t="str">
        <f>估价对象房地状况!C19</f>
        <v>较一致</v>
      </c>
      <c r="D23" s="455">
        <v>100</v>
      </c>
      <c r="E23" s="452" t="s">
        <v>3044</v>
      </c>
      <c r="F23" s="455">
        <f>SUMIF(96:96,E24,97:97)-SUMIF(96:96,C24,97:97)+100</f>
        <v>100</v>
      </c>
      <c r="G23" s="452" t="s">
        <v>3044</v>
      </c>
      <c r="H23" s="455">
        <f>SUMIF(96:96,G24,97:97)-SUMIF(96:96,C24,97:97)+100</f>
        <v>100</v>
      </c>
      <c r="I23" s="452" t="s">
        <v>3044</v>
      </c>
      <c r="J23" s="455">
        <f>SUMIF(96:96,I24,97:97)-SUMIF(96:96,C24,97:97)+100</f>
        <v>100</v>
      </c>
      <c r="K23" s="673">
        <v>1</v>
      </c>
      <c r="L23" s="1143"/>
      <c r="M23" s="1134"/>
      <c r="N23" s="1134"/>
      <c r="O23" s="1142"/>
      <c r="P23" s="3176"/>
      <c r="Q23" s="1812" t="str">
        <f t="shared" ref="Q23:Q37" si="8">B23</f>
        <v>区域土地利用方向</v>
      </c>
      <c r="R23" s="774" t="s">
        <v>17</v>
      </c>
      <c r="S23" s="775">
        <f>F23</f>
        <v>100</v>
      </c>
      <c r="T23" s="774" t="s">
        <v>17</v>
      </c>
      <c r="U23" s="775">
        <f>H23</f>
        <v>100</v>
      </c>
      <c r="V23" s="774" t="s">
        <v>17</v>
      </c>
      <c r="W23" s="775">
        <f>J23</f>
        <v>100</v>
      </c>
      <c r="X23" s="1815"/>
      <c r="Y23" s="3176"/>
      <c r="Z23" s="1816" t="str">
        <f>Q23</f>
        <v>区域土地利用方向</v>
      </c>
      <c r="AA23" s="1813">
        <f t="shared" si="3"/>
        <v>1</v>
      </c>
      <c r="AB23" s="1813">
        <f t="shared" si="4"/>
        <v>1</v>
      </c>
      <c r="AC23" s="1813">
        <f t="shared" si="5"/>
        <v>1</v>
      </c>
    </row>
    <row r="24" spans="1:29" ht="15">
      <c r="A24" s="404"/>
      <c r="B24" s="456"/>
      <c r="C24" s="616" t="s">
        <v>3034</v>
      </c>
      <c r="D24" s="448"/>
      <c r="E24" s="2606" t="s">
        <v>3034</v>
      </c>
      <c r="F24" s="448"/>
      <c r="G24" s="2606" t="s">
        <v>3034</v>
      </c>
      <c r="H24" s="448"/>
      <c r="I24" s="2606" t="s">
        <v>3034</v>
      </c>
      <c r="J24" s="448"/>
      <c r="K24" s="812"/>
      <c r="L24" s="1143"/>
      <c r="M24" s="1134"/>
      <c r="N24" s="1134"/>
      <c r="O24" s="1142"/>
      <c r="P24" s="3176"/>
      <c r="Q24" s="1812"/>
      <c r="R24" s="774"/>
      <c r="S24" s="775"/>
      <c r="T24" s="774"/>
      <c r="U24" s="775"/>
      <c r="V24" s="774"/>
      <c r="W24" s="775"/>
      <c r="X24" s="1815"/>
      <c r="Y24" s="3176"/>
      <c r="Z24" s="1816"/>
      <c r="AA24" s="1813"/>
      <c r="AB24" s="1813"/>
      <c r="AC24" s="1813"/>
    </row>
    <row r="25" spans="1:29" ht="71.25">
      <c r="A25" s="404"/>
      <c r="B25" s="1387" t="s">
        <v>2705</v>
      </c>
      <c r="C25" s="2664" t="str">
        <f>估价对象房地状况!C20</f>
        <v>区域自然环境较好，人文环境较好，周边有廊坊广播电视大学(香河县分校)、五一公园等；综合评价环境状况较好</v>
      </c>
      <c r="D25" s="450">
        <v>100</v>
      </c>
      <c r="E25" s="3283" t="s">
        <v>3142</v>
      </c>
      <c r="F25" s="450">
        <f>SUMIF(98:98,E26,99:99)-SUMIF(98:98,C26,99:99)+100</f>
        <v>100</v>
      </c>
      <c r="G25" s="3283" t="s">
        <v>3142</v>
      </c>
      <c r="H25" s="450">
        <f>SUMIF(98:98,G26,99:99)-SUMIF(98:98,C26,99:99)+100</f>
        <v>100</v>
      </c>
      <c r="I25" s="3283" t="s">
        <v>3142</v>
      </c>
      <c r="J25" s="450">
        <f>SUMIF(98:98,I26,99:99)-SUMIF(98:98,C26,99:99)+100</f>
        <v>100</v>
      </c>
      <c r="K25" s="673">
        <v>1</v>
      </c>
      <c r="L25" s="1143"/>
      <c r="M25" s="1134"/>
      <c r="N25" s="1134"/>
      <c r="O25" s="1142"/>
      <c r="P25" s="3176"/>
      <c r="Q25" s="1812" t="str">
        <f t="shared" si="8"/>
        <v>自然及人文环境状况</v>
      </c>
      <c r="R25" s="774" t="s">
        <v>17</v>
      </c>
      <c r="S25" s="775">
        <f>F25</f>
        <v>100</v>
      </c>
      <c r="T25" s="774" t="s">
        <v>17</v>
      </c>
      <c r="U25" s="775">
        <f>H25</f>
        <v>100</v>
      </c>
      <c r="V25" s="774" t="s">
        <v>17</v>
      </c>
      <c r="W25" s="775">
        <f>J25</f>
        <v>100</v>
      </c>
      <c r="X25" s="1815"/>
      <c r="Y25" s="3176"/>
      <c r="Z25" s="1816" t="str">
        <f>Q25</f>
        <v>自然及人文环境状况</v>
      </c>
      <c r="AA25" s="1813">
        <f t="shared" si="3"/>
        <v>1</v>
      </c>
      <c r="AB25" s="1813">
        <f t="shared" si="4"/>
        <v>1</v>
      </c>
      <c r="AC25" s="1813">
        <f t="shared" si="5"/>
        <v>1</v>
      </c>
    </row>
    <row r="26" spans="1:29" ht="15">
      <c r="A26" s="404"/>
      <c r="B26" s="456"/>
      <c r="C26" s="447" t="s">
        <v>3034</v>
      </c>
      <c r="D26" s="448"/>
      <c r="E26" s="2612" t="s">
        <v>3034</v>
      </c>
      <c r="F26" s="448"/>
      <c r="G26" s="2612" t="s">
        <v>3034</v>
      </c>
      <c r="H26" s="448"/>
      <c r="I26" s="2612" t="s">
        <v>3034</v>
      </c>
      <c r="J26" s="448"/>
      <c r="K26" s="672"/>
      <c r="L26" s="1143"/>
      <c r="M26" s="1134"/>
      <c r="N26" s="1134"/>
      <c r="O26" s="1142"/>
      <c r="P26" s="3176"/>
      <c r="Q26" s="1812"/>
      <c r="R26" s="774"/>
      <c r="S26" s="775"/>
      <c r="T26" s="774"/>
      <c r="U26" s="775"/>
      <c r="V26" s="774"/>
      <c r="W26" s="775"/>
      <c r="X26" s="1815"/>
      <c r="Y26" s="3176"/>
      <c r="Z26" s="1816"/>
      <c r="AA26" s="1813">
        <v>1</v>
      </c>
      <c r="AB26" s="1813">
        <v>1</v>
      </c>
      <c r="AC26" s="1813">
        <v>1</v>
      </c>
    </row>
    <row r="27" spans="1:29" s="117" customFormat="1" ht="40.5">
      <c r="A27" s="649"/>
      <c r="B27" s="1387" t="s">
        <v>2611</v>
      </c>
      <c r="C27" s="2608" t="str">
        <f>估价对象房地状况!C21</f>
        <v>估价对象所在区域公共配套设施齐备情况较好</v>
      </c>
      <c r="D27" s="450">
        <v>100</v>
      </c>
      <c r="E27" s="3283" t="s">
        <v>3152</v>
      </c>
      <c r="F27" s="450">
        <f>SUMIF(100:100,E28,101:101)-SUMIF(100:100,C28,101:101)+100</f>
        <v>99</v>
      </c>
      <c r="G27" s="3283" t="s">
        <v>3152</v>
      </c>
      <c r="H27" s="450">
        <f>SUMIF(100:100,G28,101:101)-SUMIF(100:100,C28,101:101)+100</f>
        <v>99</v>
      </c>
      <c r="I27" s="3283" t="s">
        <v>3152</v>
      </c>
      <c r="J27" s="450">
        <f>SUMIF(100:100,I28,101:101)-SUMIF(100:100,C28,101:101)+100</f>
        <v>99</v>
      </c>
      <c r="K27" s="673">
        <v>1</v>
      </c>
      <c r="L27" s="1135"/>
      <c r="M27" s="1136"/>
      <c r="N27" s="1136"/>
      <c r="O27" s="1137"/>
      <c r="P27" s="3176"/>
      <c r="Q27" s="1797" t="str">
        <f t="shared" si="8"/>
        <v>公共配套设施</v>
      </c>
      <c r="R27" s="770" t="s">
        <v>17</v>
      </c>
      <c r="S27" s="771">
        <f>F27</f>
        <v>99</v>
      </c>
      <c r="T27" s="770" t="s">
        <v>17</v>
      </c>
      <c r="U27" s="771">
        <f>H27</f>
        <v>99</v>
      </c>
      <c r="V27" s="770" t="s">
        <v>17</v>
      </c>
      <c r="W27" s="771">
        <f>J27</f>
        <v>99</v>
      </c>
      <c r="X27" s="772"/>
      <c r="Y27" s="3176"/>
      <c r="Z27" s="55" t="str">
        <f>Q27</f>
        <v>公共配套设施</v>
      </c>
      <c r="AA27" s="1813">
        <f>D27/F27</f>
        <v>1.0101010101010102</v>
      </c>
      <c r="AB27" s="1813">
        <f>D27/H27</f>
        <v>1.0101010101010102</v>
      </c>
      <c r="AC27" s="1813">
        <f>D27/J27</f>
        <v>1.0101010101010102</v>
      </c>
    </row>
    <row r="28" spans="1:29" s="117" customFormat="1" ht="15">
      <c r="A28" s="649"/>
      <c r="B28" s="456"/>
      <c r="C28" s="2700" t="s">
        <v>3034</v>
      </c>
      <c r="D28" s="448"/>
      <c r="E28" s="2612" t="s">
        <v>3149</v>
      </c>
      <c r="F28" s="448"/>
      <c r="G28" s="2612" t="s">
        <v>3149</v>
      </c>
      <c r="H28" s="448"/>
      <c r="I28" s="2612" t="s">
        <v>3149</v>
      </c>
      <c r="J28" s="448"/>
      <c r="K28" s="672"/>
      <c r="L28" s="1135"/>
      <c r="M28" s="1136"/>
      <c r="N28" s="1136"/>
      <c r="O28" s="1137"/>
      <c r="P28" s="3176"/>
      <c r="Q28" s="1797"/>
      <c r="R28" s="770"/>
      <c r="S28" s="771"/>
      <c r="T28" s="770"/>
      <c r="U28" s="771"/>
      <c r="V28" s="770"/>
      <c r="W28" s="771"/>
      <c r="X28" s="772"/>
      <c r="Y28" s="3176"/>
      <c r="Z28" s="55"/>
      <c r="AA28" s="1813">
        <v>1</v>
      </c>
      <c r="AB28" s="1813">
        <v>1</v>
      </c>
      <c r="AC28" s="1813">
        <v>1</v>
      </c>
    </row>
    <row r="29" spans="1:29" s="117" customFormat="1" ht="42.75">
      <c r="A29" s="649"/>
      <c r="B29" s="1387" t="s">
        <v>2612</v>
      </c>
      <c r="C29" s="2608" t="str">
        <f>估价对象房地状况!C22</f>
        <v>估价对象所在区域基础设施水平较好</v>
      </c>
      <c r="D29" s="450">
        <v>100</v>
      </c>
      <c r="E29" s="452" t="s">
        <v>3041</v>
      </c>
      <c r="F29" s="450">
        <f>SUMIF(102:102,E30,103:103)-SUMIF(102:102,C30,103:103)+100</f>
        <v>100</v>
      </c>
      <c r="G29" s="452" t="s">
        <v>3041</v>
      </c>
      <c r="H29" s="450">
        <f>SUMIF(102:102,G30,103:103)-SUMIF(102:102,C30,103:103)+100</f>
        <v>100</v>
      </c>
      <c r="I29" s="452" t="s">
        <v>3041</v>
      </c>
      <c r="J29" s="450">
        <f>SUMIF(102:102,I30,103:103)-SUMIF(102:102,C30,103:103)+100</f>
        <v>100</v>
      </c>
      <c r="K29" s="673">
        <v>1</v>
      </c>
      <c r="L29" s="1135"/>
      <c r="M29" s="1136"/>
      <c r="N29" s="1136"/>
      <c r="O29" s="1137"/>
      <c r="P29" s="3176"/>
      <c r="Q29" s="1797"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3">
        <f>D29/F29</f>
        <v>1</v>
      </c>
      <c r="AB29" s="1813">
        <f>D29/H29</f>
        <v>1</v>
      </c>
      <c r="AC29" s="1813">
        <f>D29/J29</f>
        <v>1</v>
      </c>
    </row>
    <row r="30" spans="1:29" s="117" customFormat="1" ht="15">
      <c r="A30" s="649"/>
      <c r="B30" s="456"/>
      <c r="C30" s="2700" t="s">
        <v>3036</v>
      </c>
      <c r="D30" s="448"/>
      <c r="E30" s="2701" t="s">
        <v>3036</v>
      </c>
      <c r="F30" s="448"/>
      <c r="G30" s="2701" t="s">
        <v>3036</v>
      </c>
      <c r="H30" s="448"/>
      <c r="I30" s="2701" t="s">
        <v>3036</v>
      </c>
      <c r="J30" s="448"/>
      <c r="K30" s="672"/>
      <c r="L30" s="1135"/>
      <c r="M30" s="1136"/>
      <c r="N30" s="1136"/>
      <c r="O30" s="1137"/>
      <c r="P30" s="3176"/>
      <c r="Q30" s="1797"/>
      <c r="R30" s="770"/>
      <c r="S30" s="771"/>
      <c r="T30" s="770"/>
      <c r="U30" s="771"/>
      <c r="V30" s="770"/>
      <c r="W30" s="771"/>
      <c r="X30" s="772"/>
      <c r="Y30" s="3176"/>
      <c r="Z30" s="55"/>
      <c r="AA30" s="1813">
        <v>1</v>
      </c>
      <c r="AB30" s="1813">
        <v>1</v>
      </c>
      <c r="AC30" s="1813">
        <v>1</v>
      </c>
    </row>
    <row r="31" spans="1:29" ht="15">
      <c r="A31" s="428"/>
      <c r="B31" s="456" t="s">
        <v>2613</v>
      </c>
      <c r="C31" s="616" t="s">
        <v>3043</v>
      </c>
      <c r="D31" s="435">
        <v>100</v>
      </c>
      <c r="E31" s="634" t="s">
        <v>3043</v>
      </c>
      <c r="F31" s="435">
        <f>SUMIF(104:104,E31,105:105)-SUMIF(104:104,C31,105:105)+100</f>
        <v>100</v>
      </c>
      <c r="G31" s="634" t="s">
        <v>3043</v>
      </c>
      <c r="H31" s="435">
        <f>SUMIF(104:104,G31,105:105)-SUMIF(104:104,C31,105:105)+100</f>
        <v>100</v>
      </c>
      <c r="I31" s="634" t="s">
        <v>3043</v>
      </c>
      <c r="J31" s="435">
        <f>SUMIF(104:104,I31,105:105)-SUMIF(104:104,C31,105:105)+100</f>
        <v>100</v>
      </c>
      <c r="K31" s="673">
        <v>1</v>
      </c>
      <c r="L31" s="1143"/>
      <c r="M31" s="1134"/>
      <c r="N31" s="1134"/>
      <c r="O31" s="1142"/>
      <c r="P31" s="317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6"/>
      <c r="Z31" s="1816" t="str">
        <f t="shared" ref="Z31:Z45" si="13">Q31</f>
        <v>临街状况</v>
      </c>
      <c r="AA31" s="1813">
        <f t="shared" si="3"/>
        <v>1</v>
      </c>
      <c r="AB31" s="1813">
        <f t="shared" si="4"/>
        <v>1</v>
      </c>
      <c r="AC31" s="1813">
        <f t="shared" si="5"/>
        <v>1</v>
      </c>
    </row>
    <row r="32" spans="1:29" ht="27">
      <c r="A32" s="428"/>
      <c r="B32" s="1387" t="s">
        <v>2648</v>
      </c>
      <c r="C32" s="3282" t="s">
        <v>3140</v>
      </c>
      <c r="D32" s="450">
        <v>100</v>
      </c>
      <c r="E32" s="3283" t="s">
        <v>3145</v>
      </c>
      <c r="F32" s="450">
        <f>SUMIF(106:106,E33,107:107)-SUMIF(106:106,C33,107:107)+100</f>
        <v>99</v>
      </c>
      <c r="G32" s="3283" t="s">
        <v>3146</v>
      </c>
      <c r="H32" s="450">
        <f>SUMIF(106:106,G33,107:107)-SUMIF(106:106,C33,107:107)+100</f>
        <v>99</v>
      </c>
      <c r="I32" s="3283" t="s">
        <v>3146</v>
      </c>
      <c r="J32" s="450">
        <f>SUMIF(106:106,I33,107:107)-SUMIF(106:106,C33,107:107)+100</f>
        <v>99</v>
      </c>
      <c r="K32" s="673">
        <v>1</v>
      </c>
      <c r="L32" s="1143"/>
      <c r="M32" s="1134"/>
      <c r="N32" s="1134"/>
      <c r="O32" s="1142"/>
      <c r="P32" s="3176"/>
      <c r="Q32" s="1812" t="str">
        <f t="shared" si="8"/>
        <v>毗邻道路的类型与等级</v>
      </c>
      <c r="R32" s="774" t="s">
        <v>17</v>
      </c>
      <c r="S32" s="775">
        <f t="shared" si="10"/>
        <v>99</v>
      </c>
      <c r="T32" s="774" t="s">
        <v>17</v>
      </c>
      <c r="U32" s="775">
        <f t="shared" si="11"/>
        <v>99</v>
      </c>
      <c r="V32" s="774" t="s">
        <v>17</v>
      </c>
      <c r="W32" s="775">
        <f t="shared" si="12"/>
        <v>99</v>
      </c>
      <c r="X32" s="1815"/>
      <c r="Y32" s="3176"/>
      <c r="Z32" s="1816" t="str">
        <f t="shared" si="13"/>
        <v>毗邻道路的类型与等级</v>
      </c>
      <c r="AA32" s="1813">
        <f t="shared" si="3"/>
        <v>1.0101010101010102</v>
      </c>
      <c r="AB32" s="1813">
        <f t="shared" si="4"/>
        <v>1.0101010101010102</v>
      </c>
      <c r="AC32" s="1813">
        <f t="shared" si="5"/>
        <v>1.0101010101010102</v>
      </c>
    </row>
    <row r="33" spans="1:29" ht="15">
      <c r="A33" s="428"/>
      <c r="B33" s="456"/>
      <c r="C33" s="447" t="s">
        <v>3029</v>
      </c>
      <c r="D33" s="448"/>
      <c r="E33" s="2612" t="s">
        <v>3143</v>
      </c>
      <c r="F33" s="448"/>
      <c r="G33" s="2612" t="s">
        <v>3143</v>
      </c>
      <c r="H33" s="448"/>
      <c r="I33" s="447" t="s">
        <v>3143</v>
      </c>
      <c r="J33" s="448"/>
      <c r="K33" s="613"/>
      <c r="L33" s="1143"/>
      <c r="M33" s="1134"/>
      <c r="N33" s="1134"/>
      <c r="O33" s="1142"/>
      <c r="P33" s="3176"/>
      <c r="Q33" s="1812"/>
      <c r="R33" s="774"/>
      <c r="S33" s="775"/>
      <c r="T33" s="774"/>
      <c r="U33" s="775"/>
      <c r="V33" s="774"/>
      <c r="W33" s="775"/>
      <c r="X33" s="1815"/>
      <c r="Y33" s="3176"/>
      <c r="Z33" s="1816"/>
      <c r="AA33" s="1813">
        <v>1</v>
      </c>
      <c r="AB33" s="1813">
        <v>1</v>
      </c>
      <c r="AC33" s="1813">
        <v>1</v>
      </c>
    </row>
    <row r="34" spans="1:29" ht="15">
      <c r="A34" s="428"/>
      <c r="B34" s="422" t="s">
        <v>2706</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176"/>
      <c r="Q34" s="1812" t="str">
        <f t="shared" si="8"/>
        <v>土地级别</v>
      </c>
      <c r="R34" s="774" t="s">
        <v>17</v>
      </c>
      <c r="S34" s="775">
        <f t="shared" si="10"/>
        <v>100</v>
      </c>
      <c r="T34" s="774" t="s">
        <v>17</v>
      </c>
      <c r="U34" s="775">
        <f t="shared" si="11"/>
        <v>100</v>
      </c>
      <c r="V34" s="774" t="s">
        <v>17</v>
      </c>
      <c r="W34" s="775">
        <f t="shared" si="12"/>
        <v>100</v>
      </c>
      <c r="X34" s="1815"/>
      <c r="Y34" s="3176"/>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6"/>
      <c r="Q35" s="1812">
        <f t="shared" si="8"/>
        <v>0</v>
      </c>
      <c r="R35" s="774" t="s">
        <v>17</v>
      </c>
      <c r="S35" s="775">
        <f t="shared" si="10"/>
        <v>100</v>
      </c>
      <c r="T35" s="774" t="s">
        <v>17</v>
      </c>
      <c r="U35" s="775">
        <f t="shared" si="11"/>
        <v>100</v>
      </c>
      <c r="V35" s="774" t="s">
        <v>17</v>
      </c>
      <c r="W35" s="775">
        <f t="shared" si="12"/>
        <v>100</v>
      </c>
      <c r="X35" s="1815"/>
      <c r="Y35" s="3176"/>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7" t="s">
        <v>2523</v>
      </c>
      <c r="Q36" s="1812">
        <f t="shared" si="8"/>
        <v>0</v>
      </c>
      <c r="R36" s="774" t="s">
        <v>17</v>
      </c>
      <c r="S36" s="775">
        <f t="shared" si="10"/>
        <v>100</v>
      </c>
      <c r="T36" s="774" t="s">
        <v>17</v>
      </c>
      <c r="U36" s="775">
        <f t="shared" si="11"/>
        <v>100</v>
      </c>
      <c r="V36" s="774" t="s">
        <v>17</v>
      </c>
      <c r="W36" s="775">
        <f t="shared" si="12"/>
        <v>100</v>
      </c>
      <c r="X36" s="1815"/>
      <c r="Y36" s="3178" t="s">
        <v>2523</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2">
        <f t="shared" si="8"/>
        <v>0</v>
      </c>
      <c r="R37" s="777" t="s">
        <v>17</v>
      </c>
      <c r="S37" s="778">
        <f t="shared" si="10"/>
        <v>100</v>
      </c>
      <c r="T37" s="777" t="s">
        <v>17</v>
      </c>
      <c r="U37" s="778">
        <f t="shared" si="11"/>
        <v>100</v>
      </c>
      <c r="V37" s="777" t="s">
        <v>17</v>
      </c>
      <c r="W37" s="778">
        <f t="shared" si="12"/>
        <v>100</v>
      </c>
      <c r="X37" s="779"/>
      <c r="Y37" s="3178"/>
      <c r="Z37" s="780">
        <f t="shared" si="13"/>
        <v>0</v>
      </c>
      <c r="AA37" s="1813">
        <f t="shared" si="3"/>
        <v>1</v>
      </c>
      <c r="AB37" s="1813">
        <f t="shared" si="4"/>
        <v>1</v>
      </c>
      <c r="AC37" s="1813">
        <f t="shared" si="5"/>
        <v>1</v>
      </c>
    </row>
    <row r="38" spans="1:29" ht="15">
      <c r="A38" s="472" t="s">
        <v>2521</v>
      </c>
      <c r="B38" s="456" t="s">
        <v>2707</v>
      </c>
      <c r="C38" s="679">
        <v>59249.63</v>
      </c>
      <c r="D38" s="467">
        <v>100</v>
      </c>
      <c r="E38" s="679">
        <f>土地案例!F3</f>
        <v>12387.68</v>
      </c>
      <c r="F38" s="467">
        <f>LOOKUP(E38,117:117,118:118)-LOOKUP(C38,117:117,118:118)+100</f>
        <v>99</v>
      </c>
      <c r="G38" s="679">
        <f>土地案例!F4</f>
        <v>952.58</v>
      </c>
      <c r="H38" s="467">
        <f>LOOKUP(G38,117:117,118:118)-LOOKUP(C38,117:117,118:118)+100</f>
        <v>98</v>
      </c>
      <c r="I38" s="530">
        <f>土地案例!F6</f>
        <v>2124.38</v>
      </c>
      <c r="J38" s="467">
        <f>LOOKUP(I38,117:117,118:118)-LOOKUP(C38,117:117,118:118)+100</f>
        <v>98</v>
      </c>
      <c r="K38" s="613"/>
      <c r="L38" s="1143"/>
      <c r="M38" s="1134"/>
      <c r="N38" s="1134"/>
      <c r="O38" s="1142"/>
      <c r="P38" s="3178"/>
      <c r="Q38" s="1812" t="str">
        <f>B38</f>
        <v>宗地面积</v>
      </c>
      <c r="R38" s="774" t="s">
        <v>17</v>
      </c>
      <c r="S38" s="775">
        <f t="shared" si="10"/>
        <v>99</v>
      </c>
      <c r="T38" s="774" t="s">
        <v>17</v>
      </c>
      <c r="U38" s="775">
        <f t="shared" si="11"/>
        <v>98</v>
      </c>
      <c r="V38" s="774" t="s">
        <v>17</v>
      </c>
      <c r="W38" s="775">
        <f t="shared" si="12"/>
        <v>98</v>
      </c>
      <c r="X38" s="1815"/>
      <c r="Y38" s="3178"/>
      <c r="Z38" s="1816" t="str">
        <f t="shared" si="13"/>
        <v>宗地面积</v>
      </c>
      <c r="AA38" s="1813">
        <f t="shared" si="3"/>
        <v>1.0101010101010102</v>
      </c>
      <c r="AB38" s="1813">
        <f t="shared" si="4"/>
        <v>1.0204081632653061</v>
      </c>
      <c r="AC38" s="1813">
        <f t="shared" si="5"/>
        <v>1.0204081632653061</v>
      </c>
    </row>
    <row r="39" spans="1:29" ht="15">
      <c r="A39" s="472"/>
      <c r="B39" s="422" t="s">
        <v>2708</v>
      </c>
      <c r="C39" s="2614" t="s">
        <v>3032</v>
      </c>
      <c r="D39" s="435">
        <v>100</v>
      </c>
      <c r="E39" s="2614" t="s">
        <v>3032</v>
      </c>
      <c r="F39" s="435">
        <f>SUMIF(119:119,E39,120:120)-SUMIF(119:119,C39,120:120)+100</f>
        <v>100</v>
      </c>
      <c r="G39" s="2614" t="s">
        <v>3032</v>
      </c>
      <c r="H39" s="435">
        <f>SUMIF(119:119,G39,120:120)-SUMIF(119:119,C39,120:120)+100</f>
        <v>100</v>
      </c>
      <c r="I39" s="2614" t="s">
        <v>3032</v>
      </c>
      <c r="J39" s="435">
        <f>SUMIF(119:119,I39,120:120)-SUMIF(119:119,C39,120:120)+100</f>
        <v>100</v>
      </c>
      <c r="K39" s="612">
        <v>1</v>
      </c>
      <c r="L39" s="1143"/>
      <c r="M39" s="1134"/>
      <c r="N39" s="1134"/>
      <c r="O39" s="1142"/>
      <c r="P39" s="3178"/>
      <c r="Q39" s="1812" t="str">
        <f t="shared" ref="Q39:Q45" si="14">B39</f>
        <v>宗地形状</v>
      </c>
      <c r="R39" s="774" t="s">
        <v>17</v>
      </c>
      <c r="S39" s="775">
        <f t="shared" si="10"/>
        <v>100</v>
      </c>
      <c r="T39" s="774" t="s">
        <v>17</v>
      </c>
      <c r="U39" s="775">
        <f t="shared" si="11"/>
        <v>100</v>
      </c>
      <c r="V39" s="774" t="s">
        <v>17</v>
      </c>
      <c r="W39" s="775">
        <f t="shared" si="12"/>
        <v>100</v>
      </c>
      <c r="X39" s="1815"/>
      <c r="Y39" s="3178"/>
      <c r="Z39" s="1816" t="str">
        <f t="shared" si="13"/>
        <v>宗地形状</v>
      </c>
      <c r="AA39" s="1813">
        <f t="shared" si="3"/>
        <v>1</v>
      </c>
      <c r="AB39" s="1813">
        <f t="shared" si="4"/>
        <v>1</v>
      </c>
      <c r="AC39" s="1813">
        <f t="shared" si="5"/>
        <v>1</v>
      </c>
    </row>
    <row r="40" spans="1:29" ht="15">
      <c r="A40" s="472"/>
      <c r="B40" s="422" t="s">
        <v>2709</v>
      </c>
      <c r="C40" s="2614" t="s">
        <v>3034</v>
      </c>
      <c r="D40" s="435">
        <v>100</v>
      </c>
      <c r="E40" s="2614" t="s">
        <v>3034</v>
      </c>
      <c r="F40" s="435">
        <f>SUMIF(121:121,E40,122:122)-SUMIF(121:121,C40,122:122)+100</f>
        <v>100</v>
      </c>
      <c r="G40" s="2614" t="s">
        <v>3034</v>
      </c>
      <c r="H40" s="435">
        <f>SUMIF(121:121,G40,122:122)-SUMIF(121:121,C40,122:122)+100</f>
        <v>100</v>
      </c>
      <c r="I40" s="2614" t="s">
        <v>3034</v>
      </c>
      <c r="J40" s="435">
        <f>SUMIF(121:121,I40,122:122)-SUMIF(121:121,C40,122:122)+100</f>
        <v>100</v>
      </c>
      <c r="K40" s="612">
        <v>1</v>
      </c>
      <c r="L40" s="1143"/>
      <c r="M40" s="1134"/>
      <c r="N40" s="1134"/>
      <c r="O40" s="1142"/>
      <c r="P40" s="3178"/>
      <c r="Q40" s="1812" t="str">
        <f t="shared" si="14"/>
        <v>临街宽度及深度</v>
      </c>
      <c r="R40" s="774" t="s">
        <v>17</v>
      </c>
      <c r="S40" s="775">
        <f t="shared" si="10"/>
        <v>100</v>
      </c>
      <c r="T40" s="774" t="s">
        <v>17</v>
      </c>
      <c r="U40" s="775">
        <f t="shared" si="11"/>
        <v>100</v>
      </c>
      <c r="V40" s="774" t="s">
        <v>17</v>
      </c>
      <c r="W40" s="775">
        <f t="shared" si="12"/>
        <v>100</v>
      </c>
      <c r="X40" s="1815"/>
      <c r="Y40" s="3178"/>
      <c r="Z40" s="1816" t="str">
        <f t="shared" si="13"/>
        <v>临街宽度及深度</v>
      </c>
      <c r="AA40" s="1813">
        <f t="shared" si="3"/>
        <v>1</v>
      </c>
      <c r="AB40" s="1813">
        <f t="shared" si="4"/>
        <v>1</v>
      </c>
      <c r="AC40" s="1813">
        <f t="shared" si="5"/>
        <v>1</v>
      </c>
    </row>
    <row r="41" spans="1:29" s="117" customFormat="1" ht="15">
      <c r="A41" s="473"/>
      <c r="B41" s="422" t="s">
        <v>2710</v>
      </c>
      <c r="C41" s="2702" t="s">
        <v>3036</v>
      </c>
      <c r="D41" s="136">
        <v>100</v>
      </c>
      <c r="E41" s="2702" t="s">
        <v>3036</v>
      </c>
      <c r="F41" s="435">
        <f>SUMIF(123:123,E41,124:124)-SUMIF(123:123,C41,124:124)+100</f>
        <v>100</v>
      </c>
      <c r="G41" s="2702" t="s">
        <v>3036</v>
      </c>
      <c r="H41" s="435">
        <f>SUMIF(123:123,G41,124:124)-SUMIF(123:123,C41,124:124)+100</f>
        <v>100</v>
      </c>
      <c r="I41" s="2702" t="s">
        <v>3036</v>
      </c>
      <c r="J41" s="435">
        <f>SUMIF(123:123,I41,124:124)-SUMIF(123:123,C41,124:124)+100</f>
        <v>100</v>
      </c>
      <c r="K41" s="612">
        <v>1</v>
      </c>
      <c r="L41" s="1135"/>
      <c r="M41" s="1136"/>
      <c r="N41" s="1136"/>
      <c r="O41" s="1137"/>
      <c r="P41" s="3178"/>
      <c r="Q41" s="1812"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2711</v>
      </c>
      <c r="C42" s="2614" t="s">
        <v>3034</v>
      </c>
      <c r="D42" s="435">
        <v>100</v>
      </c>
      <c r="E42" s="2614" t="s">
        <v>3034</v>
      </c>
      <c r="F42" s="435">
        <f>SUMIF(125:125,E42,126:126)-SUMIF(125:125,C42,126:126)+100</f>
        <v>100</v>
      </c>
      <c r="G42" s="2614" t="s">
        <v>3034</v>
      </c>
      <c r="H42" s="435">
        <f>SUMIF(125:125,G42,126:126)-SUMIF(125:125,C42,126:126)+100</f>
        <v>100</v>
      </c>
      <c r="I42" s="2614" t="s">
        <v>3034</v>
      </c>
      <c r="J42" s="435">
        <f>SUMIF(125:125,I42,126:126)-SUMIF(125:125,C42,126:126)+100</f>
        <v>100</v>
      </c>
      <c r="K42" s="612">
        <v>1</v>
      </c>
      <c r="L42" s="1143"/>
      <c r="M42" s="1134"/>
      <c r="N42" s="1134"/>
      <c r="O42" s="1142"/>
      <c r="P42" s="3178" t="s">
        <v>2523</v>
      </c>
      <c r="Q42" s="1812" t="str">
        <f t="shared" si="14"/>
        <v>工程地质条件</v>
      </c>
      <c r="R42" s="774" t="s">
        <v>17</v>
      </c>
      <c r="S42" s="775">
        <f t="shared" si="10"/>
        <v>100</v>
      </c>
      <c r="T42" s="774" t="s">
        <v>17</v>
      </c>
      <c r="U42" s="775">
        <f t="shared" si="11"/>
        <v>100</v>
      </c>
      <c r="V42" s="774" t="s">
        <v>17</v>
      </c>
      <c r="W42" s="775">
        <f t="shared" si="12"/>
        <v>100</v>
      </c>
      <c r="X42" s="1815"/>
      <c r="Y42" s="3178" t="s">
        <v>2523</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2">
        <f t="shared" si="14"/>
        <v>0</v>
      </c>
      <c r="R43" s="774" t="s">
        <v>17</v>
      </c>
      <c r="S43" s="775">
        <f t="shared" si="10"/>
        <v>100</v>
      </c>
      <c r="T43" s="774" t="s">
        <v>17</v>
      </c>
      <c r="U43" s="775">
        <f t="shared" si="11"/>
        <v>100</v>
      </c>
      <c r="V43" s="774" t="s">
        <v>17</v>
      </c>
      <c r="W43" s="775">
        <f t="shared" si="12"/>
        <v>100</v>
      </c>
      <c r="X43" s="1815"/>
      <c r="Y43" s="3178"/>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2">
        <f t="shared" si="14"/>
        <v>0</v>
      </c>
      <c r="R44" s="774" t="s">
        <v>17</v>
      </c>
      <c r="S44" s="775">
        <f t="shared" si="10"/>
        <v>100</v>
      </c>
      <c r="T44" s="774" t="s">
        <v>17</v>
      </c>
      <c r="U44" s="775">
        <f t="shared" si="11"/>
        <v>100</v>
      </c>
      <c r="V44" s="774" t="s">
        <v>17</v>
      </c>
      <c r="W44" s="775">
        <f t="shared" si="12"/>
        <v>100</v>
      </c>
      <c r="X44" s="1815"/>
      <c r="Y44" s="3178"/>
      <c r="Z44" s="1816">
        <f t="shared" si="13"/>
        <v>0</v>
      </c>
      <c r="AA44" s="1813">
        <f t="shared" si="3"/>
        <v>1</v>
      </c>
      <c r="AB44" s="1813">
        <f t="shared" si="4"/>
        <v>1</v>
      </c>
      <c r="AC44" s="1813">
        <f t="shared" si="5"/>
        <v>1</v>
      </c>
    </row>
    <row r="45" spans="1:29" s="471" customFormat="1" ht="15.75" thickBot="1">
      <c r="A45" s="468"/>
      <c r="B45" s="1390"/>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2">
        <f t="shared" si="14"/>
        <v>0</v>
      </c>
      <c r="R45" s="777" t="s">
        <v>17</v>
      </c>
      <c r="S45" s="778">
        <f t="shared" si="10"/>
        <v>100</v>
      </c>
      <c r="T45" s="777" t="s">
        <v>17</v>
      </c>
      <c r="U45" s="778">
        <f t="shared" si="11"/>
        <v>100</v>
      </c>
      <c r="V45" s="777" t="s">
        <v>17</v>
      </c>
      <c r="W45" s="778">
        <f t="shared" si="12"/>
        <v>100</v>
      </c>
      <c r="X45" s="779"/>
      <c r="Y45" s="3178"/>
      <c r="Z45" s="780">
        <f t="shared" si="13"/>
        <v>0</v>
      </c>
      <c r="AA45" s="1813">
        <f t="shared" si="3"/>
        <v>1</v>
      </c>
      <c r="AB45" s="1813">
        <f t="shared" si="4"/>
        <v>1</v>
      </c>
      <c r="AC45" s="1813">
        <f t="shared" si="5"/>
        <v>1</v>
      </c>
    </row>
    <row r="46" spans="1:29" ht="15">
      <c r="A46" s="479" t="s">
        <v>2677</v>
      </c>
      <c r="B46" s="2704" t="s">
        <v>2712</v>
      </c>
      <c r="C46" s="682" t="s">
        <v>1</v>
      </c>
      <c r="D46" s="481"/>
      <c r="E46" s="482">
        <f>ROUND(土地案例!J3,0)</f>
        <v>2646</v>
      </c>
      <c r="F46" s="483"/>
      <c r="G46" s="484">
        <f>ROUND(土地案例!J4,0)</f>
        <v>2729</v>
      </c>
      <c r="H46" s="485"/>
      <c r="I46" s="482">
        <f>ROUND(土地案例!J6,0)</f>
        <v>2683</v>
      </c>
      <c r="J46" s="485"/>
      <c r="K46" s="783"/>
      <c r="L46" s="1146"/>
      <c r="M46" s="1147"/>
      <c r="N46" s="1134"/>
      <c r="O46" s="1147"/>
      <c r="P46" s="3160" t="str">
        <f>A46</f>
        <v>成交单价</v>
      </c>
      <c r="Q46" s="3160"/>
      <c r="R46" s="3173">
        <f>E46</f>
        <v>2646</v>
      </c>
      <c r="S46" s="3173"/>
      <c r="T46" s="3173">
        <f>G46</f>
        <v>2729</v>
      </c>
      <c r="U46" s="3173"/>
      <c r="V46" s="3173">
        <f>I46</f>
        <v>2683</v>
      </c>
      <c r="W46" s="3173"/>
      <c r="X46" s="759"/>
      <c r="Y46" s="781"/>
      <c r="Z46" s="759"/>
      <c r="AA46" s="759"/>
      <c r="AB46" s="759"/>
      <c r="AC46" s="759"/>
    </row>
    <row r="47" spans="1:29" ht="15.75" thickBot="1">
      <c r="A47" s="486" t="s">
        <v>2626</v>
      </c>
      <c r="B47" s="683"/>
      <c r="C47" s="490">
        <f>R48</f>
        <v>2845</v>
      </c>
      <c r="D47" s="489"/>
      <c r="E47" s="490">
        <f>R47</f>
        <v>2783</v>
      </c>
      <c r="F47" s="491"/>
      <c r="G47" s="488">
        <f>T47</f>
        <v>2900</v>
      </c>
      <c r="H47" s="489"/>
      <c r="I47" s="490">
        <f>V47</f>
        <v>2851</v>
      </c>
      <c r="J47" s="489"/>
      <c r="K47" s="784"/>
      <c r="L47" s="1146"/>
      <c r="M47" s="1147"/>
      <c r="N47" s="1147"/>
      <c r="O47" s="1147"/>
      <c r="P47" s="3160" t="str">
        <f>A47</f>
        <v>比较价值（元/平方米）</v>
      </c>
      <c r="Q47" s="3160"/>
      <c r="R47" s="3179">
        <f>ROUND(PRODUCT(R46,AA7:AA45),0)</f>
        <v>2783</v>
      </c>
      <c r="S47" s="3179"/>
      <c r="T47" s="3179">
        <f>ROUND(PRODUCT(T46,AB7:AB45),0)</f>
        <v>2900</v>
      </c>
      <c r="U47" s="3179"/>
      <c r="V47" s="3179">
        <f>ROUND(PRODUCT(V46,AC7:AC45),0)</f>
        <v>2851</v>
      </c>
      <c r="W47" s="3179"/>
      <c r="X47" s="759"/>
      <c r="Y47" s="759"/>
      <c r="Z47" s="759"/>
      <c r="AA47" s="759"/>
      <c r="AB47" s="759"/>
      <c r="AC47" s="759"/>
    </row>
    <row r="48" spans="1:29" ht="15.75" thickBot="1">
      <c r="A48" s="492" t="s">
        <v>3127</v>
      </c>
      <c r="B48" s="493"/>
      <c r="C48" s="494">
        <f>R48</f>
        <v>2845</v>
      </c>
      <c r="D48" s="494"/>
      <c r="E48" s="494"/>
      <c r="F48" s="494"/>
      <c r="G48" s="494"/>
      <c r="H48" s="494"/>
      <c r="I48" s="494"/>
      <c r="J48" s="494"/>
      <c r="K48" s="785"/>
      <c r="L48" s="1146"/>
      <c r="M48" s="1147"/>
      <c r="N48" s="1147"/>
      <c r="O48" s="1147"/>
      <c r="P48" s="3180" t="str">
        <f>A48</f>
        <v>估价对象住宅用房的比较价值（楼面单价，元/平方米）</v>
      </c>
      <c r="Q48" s="3181"/>
      <c r="R48" s="3182">
        <f>ROUND(AVERAGE(R47:V47),0)</f>
        <v>2845</v>
      </c>
      <c r="S48" s="3182"/>
      <c r="T48" s="3182"/>
      <c r="U48" s="3182"/>
      <c r="V48" s="3182"/>
      <c r="W48" s="318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2628</v>
      </c>
      <c r="D51" s="498"/>
      <c r="E51" s="499">
        <f>IF(E46&lt;E47,E47/E46-1,E46/E47-1)</f>
        <v>5.1776266061980269E-2</v>
      </c>
      <c r="F51" s="500" t="str">
        <f>IF(OR(E51&gt;=0.3,E51&lt;=-0.3),"超过30%","")</f>
        <v/>
      </c>
      <c r="G51" s="499">
        <f>IF(G46&lt;G47,G47/G46-1,G46/G47-1)</f>
        <v>6.266031513374859E-2</v>
      </c>
      <c r="H51" s="500" t="str">
        <f>IF(OR(G51&gt;=0.3,G51&lt;=-0.3),"超过30%","")</f>
        <v/>
      </c>
      <c r="I51" s="499">
        <f>IF(I46&lt;I47,I47/I46-1,I46/I47-1)</f>
        <v>6.2616474096161001E-2</v>
      </c>
      <c r="J51" s="500" t="str">
        <f>IF(OR(I51&gt;=0.3,I51&lt;=-0.3),"超过30%","")</f>
        <v/>
      </c>
      <c r="K51" s="1108"/>
      <c r="L51" s="1109"/>
      <c r="M51" s="1147"/>
      <c r="N51" s="1147"/>
      <c r="O51" s="1147"/>
    </row>
    <row r="52" spans="1:15" ht="13.5" customHeight="1">
      <c r="A52" s="1147"/>
      <c r="B52" s="1147"/>
      <c r="C52" s="497" t="s">
        <v>2629</v>
      </c>
      <c r="D52" s="501"/>
      <c r="E52" s="499">
        <f>IF(E47&lt;G47,G47/E47-1,E47/G47-1)</f>
        <v>4.2040962989579489E-2</v>
      </c>
      <c r="F52" s="500" t="str">
        <f>IF(OR(E52&gt;=0.2,E52&lt;=-0.2),"超过20%","")</f>
        <v/>
      </c>
      <c r="G52" s="499">
        <f>IF(G47&lt;I47,I47/G47-1,G47/I47-1)</f>
        <v>1.7186951946685403E-2</v>
      </c>
      <c r="H52" s="500" t="str">
        <f>IF(OR(G52&gt;=0.2,G52&lt;=-0.2),"超过20%","")</f>
        <v/>
      </c>
      <c r="I52" s="499">
        <f>IF(I47&lt;E47,E47/I47-1,I47/E47-1)</f>
        <v>2.4434063959755559E-2</v>
      </c>
      <c r="J52" s="500" t="str">
        <f>IF(OR(I52&gt;=0.2,I52&lt;=-0.2),"超过20%","")</f>
        <v/>
      </c>
      <c r="K52" s="1108"/>
      <c r="L52" s="1109"/>
      <c r="M52" s="1147"/>
      <c r="N52" s="1147"/>
      <c r="O52" s="1147"/>
    </row>
    <row r="53" spans="1:15" s="502" customFormat="1" ht="13.5" customHeight="1">
      <c r="A53" s="1148"/>
      <c r="B53" s="1148"/>
      <c r="C53" s="497" t="s">
        <v>2630</v>
      </c>
      <c r="D53" s="501"/>
      <c r="E53" s="499">
        <f>IF(E46&lt;G46,G46/E46-1,E46/G46-1)</f>
        <v>3.1368102796674124E-2</v>
      </c>
      <c r="F53" s="500" t="str">
        <f>IF(OR(E53&gt;=0.3,E53&lt;=-0.3),"超过30%","")</f>
        <v/>
      </c>
      <c r="G53" s="499">
        <f>IF(G46&lt;I46,I46/G46-1,G46/I46-1)</f>
        <v>1.7144986954901187E-2</v>
      </c>
      <c r="H53" s="500" t="str">
        <f>IF(OR(G53&gt;=0.3,G53&lt;=-0.3),"超过30%","")</f>
        <v/>
      </c>
      <c r="I53" s="499">
        <f>IF(I46&lt;E46,E46/I46-1,I46/E46-1)</f>
        <v>1.3983371126228272E-2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2713</v>
      </c>
      <c r="B55" s="685" t="s">
        <v>2714</v>
      </c>
      <c r="C55" s="2705" t="s">
        <v>2715</v>
      </c>
      <c r="D55" s="2706" t="s">
        <v>2716</v>
      </c>
      <c r="E55" s="686" t="s">
        <v>2717</v>
      </c>
      <c r="F55" s="1110" t="s">
        <v>2718</v>
      </c>
      <c r="G55" s="3161" t="s">
        <v>2719</v>
      </c>
      <c r="H55" s="3183"/>
      <c r="I55" s="144" t="s">
        <v>2720</v>
      </c>
      <c r="J55" s="2707" t="str">
        <f>项目基本情况!F35</f>
        <v>河北省廊坊市</v>
      </c>
      <c r="K55" s="2708" t="s">
        <v>2721</v>
      </c>
      <c r="L55" s="1109"/>
      <c r="M55" s="1147"/>
      <c r="N55" s="1147"/>
      <c r="O55" s="1147"/>
    </row>
    <row r="56" spans="1:15" s="692" customFormat="1">
      <c r="A56" s="688" t="s">
        <v>2722</v>
      </c>
      <c r="B56" s="689">
        <f>C48</f>
        <v>2845</v>
      </c>
      <c r="C56" s="690">
        <v>1</v>
      </c>
      <c r="D56" s="1166">
        <v>1</v>
      </c>
      <c r="E56" s="690">
        <f>'数据-汇总表'!E8+'数据-汇总表'!E9</f>
        <v>17457.14</v>
      </c>
      <c r="F56" s="1106">
        <f t="shared" ref="F56:F65" si="15">ROUND(B56*E56/10000,0)</f>
        <v>4967</v>
      </c>
      <c r="G56" s="3184"/>
      <c r="H56" s="3160"/>
      <c r="I56" s="1111">
        <v>1</v>
      </c>
      <c r="J56" s="1114">
        <v>1</v>
      </c>
      <c r="K56" s="1148"/>
      <c r="L56" s="944"/>
      <c r="M56" s="944"/>
      <c r="N56" s="944"/>
      <c r="O56" s="944"/>
    </row>
    <row r="57" spans="1:15" s="692" customFormat="1">
      <c r="A57" s="693" t="s">
        <v>2723</v>
      </c>
      <c r="B57" s="262">
        <f>ROUND($C$48*C57*D57,0)</f>
        <v>0</v>
      </c>
      <c r="C57" s="200">
        <f t="shared" ref="C57:C65" si="16">IF($C$55="北京市系数",I57,J57)</f>
        <v>0</v>
      </c>
      <c r="D57" s="1167">
        <v>0.25</v>
      </c>
      <c r="E57" s="694"/>
      <c r="F57" s="1106">
        <f t="shared" si="15"/>
        <v>0</v>
      </c>
      <c r="G57" s="3185" t="s">
        <v>2724</v>
      </c>
      <c r="H57" s="1107">
        <f>项目基本情况!B37</f>
        <v>0</v>
      </c>
      <c r="I57" s="1111">
        <f>SUMIF(修正!A45:A56,H57,修正!B45:B56)</f>
        <v>0</v>
      </c>
      <c r="J57" s="1115"/>
      <c r="K57" s="1147"/>
      <c r="L57" s="944"/>
      <c r="M57" s="944"/>
      <c r="N57" s="944"/>
      <c r="O57" s="944"/>
    </row>
    <row r="58" spans="1:15" s="692" customFormat="1">
      <c r="A58" s="693" t="s">
        <v>2725</v>
      </c>
      <c r="B58" s="262">
        <f t="shared" ref="B58:B65" si="17">ROUND($C$48*C58*D58,0)</f>
        <v>0</v>
      </c>
      <c r="C58" s="200">
        <f t="shared" si="16"/>
        <v>0</v>
      </c>
      <c r="D58" s="1167">
        <v>0.25</v>
      </c>
      <c r="E58" s="694"/>
      <c r="F58" s="1106">
        <f t="shared" si="15"/>
        <v>0</v>
      </c>
      <c r="G58" s="3185"/>
      <c r="H58" s="1107">
        <f>项目基本情况!B37</f>
        <v>0</v>
      </c>
      <c r="I58" s="1111">
        <f>SUMIF(修正!A45:A56,H58,修正!C45:C56)</f>
        <v>0</v>
      </c>
      <c r="J58" s="1115"/>
      <c r="K58" s="1148"/>
      <c r="L58" s="944"/>
      <c r="M58" s="944"/>
      <c r="N58" s="944"/>
      <c r="O58" s="944"/>
    </row>
    <row r="59" spans="1:15" s="692" customFormat="1">
      <c r="A59" s="693" t="s">
        <v>2726</v>
      </c>
      <c r="B59" s="262">
        <f t="shared" si="17"/>
        <v>0</v>
      </c>
      <c r="C59" s="200">
        <f t="shared" si="16"/>
        <v>0</v>
      </c>
      <c r="D59" s="1167">
        <v>0.25</v>
      </c>
      <c r="E59" s="694"/>
      <c r="F59" s="1106">
        <f t="shared" si="15"/>
        <v>0</v>
      </c>
      <c r="G59" s="3185"/>
      <c r="H59" s="1107">
        <f>项目基本情况!B37</f>
        <v>0</v>
      </c>
      <c r="I59" s="1111">
        <f>SUMIF(修正!A45:A56,H59,修正!D45:D56)</f>
        <v>0</v>
      </c>
      <c r="J59" s="1115"/>
      <c r="K59" s="1147"/>
      <c r="L59" s="944"/>
      <c r="M59" s="944"/>
      <c r="N59" s="944"/>
      <c r="O59" s="944"/>
    </row>
    <row r="60" spans="1:15" s="692" customFormat="1">
      <c r="A60" s="693" t="s">
        <v>2727</v>
      </c>
      <c r="B60" s="262">
        <f t="shared" si="17"/>
        <v>0</v>
      </c>
      <c r="C60" s="200">
        <f t="shared" si="16"/>
        <v>0</v>
      </c>
      <c r="D60" s="1167">
        <v>0.25</v>
      </c>
      <c r="E60" s="694"/>
      <c r="F60" s="1106">
        <f t="shared" si="15"/>
        <v>0</v>
      </c>
      <c r="G60" s="3185"/>
      <c r="H60" s="1107">
        <f>项目基本情况!B37</f>
        <v>0</v>
      </c>
      <c r="I60" s="1111">
        <f>SUMIF(修正!A45:A56,H60,修正!E45:E56)</f>
        <v>0</v>
      </c>
      <c r="J60" s="1115"/>
      <c r="K60" s="1148"/>
      <c r="L60" s="944"/>
      <c r="M60" s="944"/>
      <c r="N60" s="944"/>
      <c r="O60" s="944"/>
    </row>
    <row r="61" spans="1:15" s="692" customFormat="1">
      <c r="A61" s="693" t="s">
        <v>2728</v>
      </c>
      <c r="B61" s="262">
        <f t="shared" si="17"/>
        <v>0</v>
      </c>
      <c r="C61" s="200">
        <f t="shared" si="16"/>
        <v>0</v>
      </c>
      <c r="D61" s="1167">
        <v>0.25</v>
      </c>
      <c r="E61" s="261">
        <f>'数据-汇总表'!E11</f>
        <v>0</v>
      </c>
      <c r="F61" s="1106">
        <f t="shared" si="15"/>
        <v>0</v>
      </c>
      <c r="G61" s="2709" t="s">
        <v>2729</v>
      </c>
      <c r="H61" s="1107">
        <f>项目基本情况!C37</f>
        <v>0</v>
      </c>
      <c r="I61" s="1111">
        <f>SUMIF(修正!A45:A56,H61,修正!F45:F56)</f>
        <v>0</v>
      </c>
      <c r="J61" s="1115"/>
      <c r="K61" s="1147"/>
      <c r="L61" s="944"/>
      <c r="M61" s="944"/>
      <c r="N61" s="944"/>
      <c r="O61" s="944"/>
    </row>
    <row r="62" spans="1:15" s="692" customFormat="1">
      <c r="A62" s="693" t="s">
        <v>2730</v>
      </c>
      <c r="B62" s="262">
        <f t="shared" si="17"/>
        <v>0</v>
      </c>
      <c r="C62" s="200">
        <f t="shared" si="16"/>
        <v>0</v>
      </c>
      <c r="D62" s="1167">
        <v>0.25</v>
      </c>
      <c r="E62" s="261">
        <f>'数据-汇总表'!E12</f>
        <v>0</v>
      </c>
      <c r="F62" s="1106">
        <f t="shared" si="15"/>
        <v>0</v>
      </c>
      <c r="G62" s="1112" t="s">
        <v>2731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2732</v>
      </c>
      <c r="B63" s="262">
        <f t="shared" si="17"/>
        <v>0</v>
      </c>
      <c r="C63" s="200">
        <f t="shared" si="16"/>
        <v>0</v>
      </c>
      <c r="D63" s="1167">
        <v>0.25</v>
      </c>
      <c r="E63" s="261">
        <f>'数据-汇总表'!E13</f>
        <v>0</v>
      </c>
      <c r="F63" s="1106">
        <f t="shared" si="15"/>
        <v>0</v>
      </c>
      <c r="G63" s="1112" t="s">
        <v>2733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2734</v>
      </c>
      <c r="B64" s="262">
        <f t="shared" si="17"/>
        <v>0</v>
      </c>
      <c r="C64" s="200">
        <f t="shared" si="16"/>
        <v>0</v>
      </c>
      <c r="D64" s="1167">
        <v>0.25</v>
      </c>
      <c r="E64" s="261">
        <f>'数据-汇总表'!E14</f>
        <v>0</v>
      </c>
      <c r="F64" s="1106">
        <f t="shared" si="15"/>
        <v>0</v>
      </c>
      <c r="G64" s="2709" t="s">
        <v>2724</v>
      </c>
      <c r="H64" s="1107">
        <f>项目基本情况!B37</f>
        <v>0</v>
      </c>
      <c r="I64" s="1111">
        <f>SUMIF(修正!A45:A56,H64,修正!H45:H56)</f>
        <v>0</v>
      </c>
      <c r="J64" s="1115"/>
      <c r="K64" s="1148"/>
      <c r="L64" s="944"/>
      <c r="M64" s="944"/>
      <c r="N64" s="944"/>
      <c r="O64" s="944"/>
    </row>
    <row r="65" spans="1:17" s="692" customFormat="1" ht="15" thickBot="1">
      <c r="A65" s="693" t="s">
        <v>2735</v>
      </c>
      <c r="B65" s="262">
        <f t="shared" si="17"/>
        <v>0</v>
      </c>
      <c r="C65" s="200">
        <f t="shared" si="16"/>
        <v>0</v>
      </c>
      <c r="D65" s="1167">
        <v>0.25</v>
      </c>
      <c r="E65" s="261">
        <f>'数据-汇总表'!E15</f>
        <v>0</v>
      </c>
      <c r="F65" s="1106">
        <f t="shared" si="15"/>
        <v>0</v>
      </c>
      <c r="G65" s="2710" t="s">
        <v>2729</v>
      </c>
      <c r="H65" s="1117">
        <f>项目基本情况!C37</f>
        <v>0</v>
      </c>
      <c r="I65" s="1113">
        <f>SUMIF(修正!A45:A56,H65,修正!H45:H56)</f>
        <v>0</v>
      </c>
      <c r="J65" s="1116"/>
      <c r="K65" s="1147"/>
      <c r="L65" s="944"/>
      <c r="M65" s="944"/>
      <c r="N65" s="944"/>
      <c r="O65" s="944"/>
    </row>
    <row r="66" spans="1:17" s="692" customFormat="1" ht="13.5" thickBot="1">
      <c r="A66" s="695" t="s">
        <v>2736</v>
      </c>
      <c r="B66" s="696" t="s">
        <v>28</v>
      </c>
      <c r="C66" s="696" t="s">
        <v>29</v>
      </c>
      <c r="D66" s="696" t="s">
        <v>1028</v>
      </c>
      <c r="E66" s="696">
        <f>IF(B46="楼面地价",SUM(E56:E65),'数据-汇总表'!D3)</f>
        <v>17457.14</v>
      </c>
      <c r="F66" s="697">
        <f>IF(B46="楼面地价",SUM(F56:F65),ROUND(C48*E66/10000,0))</f>
        <v>4967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2631</v>
      </c>
      <c r="B69" s="759"/>
      <c r="C69" s="764"/>
      <c r="D69" s="764"/>
      <c r="E69" s="764"/>
      <c r="F69" s="765"/>
      <c r="G69" s="765"/>
      <c r="H69" s="764"/>
      <c r="I69" s="764"/>
      <c r="J69" s="1162"/>
      <c r="K69" s="1163"/>
      <c r="L69" s="1164"/>
      <c r="M69" s="1162"/>
      <c r="N69" s="1162"/>
      <c r="O69" s="1162"/>
      <c r="P69" s="503"/>
      <c r="Q69" s="504"/>
    </row>
    <row r="70" spans="1:17" s="508" customFormat="1" ht="15">
      <c r="A70" s="2711" t="s">
        <v>2737</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2738</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2542</v>
      </c>
      <c r="B72" s="516"/>
      <c r="C72" s="517"/>
      <c r="D72" s="518"/>
      <c r="E72" s="518"/>
      <c r="F72" s="518"/>
      <c r="G72" s="518"/>
      <c r="H72" s="518"/>
      <c r="I72" s="518"/>
      <c r="J72" s="518"/>
      <c r="K72" s="518"/>
      <c r="L72" s="518"/>
      <c r="M72" s="519"/>
      <c r="N72" s="518"/>
      <c r="O72" s="1165"/>
      <c r="P72" s="504"/>
      <c r="Q72" s="504"/>
    </row>
    <row r="73" spans="1:17" s="117" customFormat="1" ht="15">
      <c r="A73" s="521" t="s">
        <v>2508</v>
      </c>
      <c r="B73" s="510"/>
      <c r="C73" s="522" t="s">
        <v>2609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2545</v>
      </c>
      <c r="B75" s="528" t="s">
        <v>2512</v>
      </c>
      <c r="C75" s="2946" t="s">
        <v>3038</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2516</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3（含）-3.5</v>
      </c>
      <c r="J79" s="547" t="str">
        <f t="shared" si="20"/>
        <v>3.5（含）-4</v>
      </c>
      <c r="K79" s="547" t="str">
        <f t="shared" si="20"/>
        <v>4（含）-4.5</v>
      </c>
      <c r="L79" s="547" t="str">
        <f t="shared" si="20"/>
        <v>4.5（含）-5</v>
      </c>
      <c r="M79" s="448" t="str">
        <f>M80&amp;"（含）"&amp;"-"&amp;P80</f>
        <v>5（含）-</v>
      </c>
      <c r="N79" s="1156"/>
      <c r="O79" s="1156"/>
      <c r="P79" s="45"/>
      <c r="Q79" s="504"/>
    </row>
    <row r="80" spans="1:17" ht="15">
      <c r="A80" s="534"/>
      <c r="B80" s="548"/>
      <c r="C80" s="549">
        <v>0</v>
      </c>
      <c r="D80" s="549">
        <v>0.5</v>
      </c>
      <c r="E80" s="549">
        <v>1</v>
      </c>
      <c r="F80" s="549">
        <v>1.5</v>
      </c>
      <c r="G80" s="549">
        <v>2</v>
      </c>
      <c r="H80" s="549">
        <v>2.5</v>
      </c>
      <c r="I80" s="549">
        <v>3</v>
      </c>
      <c r="J80" s="549">
        <v>3.5</v>
      </c>
      <c r="K80" s="549">
        <v>4</v>
      </c>
      <c r="L80" s="549">
        <v>4.5</v>
      </c>
      <c r="M80" s="549">
        <v>5</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f>B12</f>
        <v>0</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2517</v>
      </c>
      <c r="B88" s="528" t="s">
        <v>2553</v>
      </c>
      <c r="C88" s="573" t="s">
        <v>2554</v>
      </c>
      <c r="D88" s="573" t="s">
        <v>2555</v>
      </c>
      <c r="E88" s="573" t="s">
        <v>2556</v>
      </c>
      <c r="F88" s="573" t="s">
        <v>2557</v>
      </c>
      <c r="G88" s="573" t="s">
        <v>2558</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2739</v>
      </c>
      <c r="C90" s="578" t="s">
        <v>2554</v>
      </c>
      <c r="D90" s="578" t="s">
        <v>2555</v>
      </c>
      <c r="E90" s="578" t="s">
        <v>2556</v>
      </c>
      <c r="F90" s="578" t="s">
        <v>2557</v>
      </c>
      <c r="G90" s="578" t="s">
        <v>2558</v>
      </c>
      <c r="H90" s="539"/>
      <c r="I90" s="539"/>
      <c r="J90" s="539"/>
      <c r="K90" s="540"/>
      <c r="L90" s="541"/>
      <c r="M90" s="542"/>
      <c r="N90" s="1155"/>
      <c r="O90" s="1155"/>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6"/>
      <c r="O91" s="1156"/>
      <c r="P91" s="45"/>
      <c r="Q91" s="504"/>
    </row>
    <row r="92" spans="1:17" ht="15.75" thickTop="1">
      <c r="A92" s="534"/>
      <c r="B92" s="538" t="s">
        <v>2654</v>
      </c>
      <c r="C92" s="578" t="s">
        <v>2554</v>
      </c>
      <c r="D92" s="578" t="s">
        <v>2555</v>
      </c>
      <c r="E92" s="578" t="s">
        <v>2556</v>
      </c>
      <c r="F92" s="578" t="s">
        <v>2557</v>
      </c>
      <c r="G92" s="578" t="s">
        <v>2558</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2559</v>
      </c>
      <c r="C94" s="578" t="s">
        <v>2554</v>
      </c>
      <c r="D94" s="578" t="s">
        <v>2555</v>
      </c>
      <c r="E94" s="578" t="s">
        <v>2556</v>
      </c>
      <c r="F94" s="578" t="s">
        <v>2557</v>
      </c>
      <c r="G94" s="578" t="s">
        <v>2558</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2740</v>
      </c>
      <c r="C96" s="578" t="s">
        <v>2554</v>
      </c>
      <c r="D96" s="578" t="s">
        <v>2555</v>
      </c>
      <c r="E96" s="578" t="s">
        <v>2556</v>
      </c>
      <c r="F96" s="578" t="s">
        <v>2557</v>
      </c>
      <c r="G96" s="578" t="s">
        <v>2558</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2741</v>
      </c>
      <c r="C98" s="573" t="s">
        <v>2554</v>
      </c>
      <c r="D98" s="573" t="s">
        <v>2555</v>
      </c>
      <c r="E98" s="573" t="s">
        <v>2556</v>
      </c>
      <c r="F98" s="573" t="s">
        <v>2557</v>
      </c>
      <c r="G98" s="573" t="s">
        <v>2558</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2611</v>
      </c>
      <c r="C100" s="573" t="s">
        <v>2554</v>
      </c>
      <c r="D100" s="573" t="s">
        <v>2555</v>
      </c>
      <c r="E100" s="573" t="s">
        <v>2556</v>
      </c>
      <c r="F100" s="573" t="s">
        <v>2557</v>
      </c>
      <c r="G100" s="573" t="s">
        <v>2558</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2612</v>
      </c>
      <c r="C102" s="660" t="s">
        <v>2632</v>
      </c>
      <c r="D102" s="660" t="s">
        <v>2633</v>
      </c>
      <c r="E102" s="660" t="s">
        <v>2634</v>
      </c>
      <c r="F102" s="660" t="s">
        <v>2635</v>
      </c>
      <c r="G102" s="660" t="s">
        <v>2636</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2742</v>
      </c>
      <c r="D104" s="539" t="s">
        <v>2743</v>
      </c>
      <c r="E104" s="539" t="s">
        <v>2744</v>
      </c>
      <c r="F104" s="539" t="s">
        <v>2745</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2648</v>
      </c>
      <c r="C106" s="2944" t="s">
        <v>3030</v>
      </c>
      <c r="D106" s="2944" t="s">
        <v>3144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2706</v>
      </c>
      <c r="C108" s="583" t="s">
        <v>3031</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2521</v>
      </c>
      <c r="B116" s="528" t="s">
        <v>2746</v>
      </c>
      <c r="C116" s="529" t="str">
        <f>C117&amp;"(含)"&amp;"-"&amp;D117</f>
        <v>0(含)-10000</v>
      </c>
      <c r="D116" s="529" t="str">
        <f t="shared" ref="D116:M116" si="25">D117&amp;"(含)"&amp;"-"&amp;E117</f>
        <v>10000(含)-20000</v>
      </c>
      <c r="E116" s="529" t="str">
        <f t="shared" si="25"/>
        <v>20000(含)-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c r="G117" s="595"/>
      <c r="H117" s="595"/>
      <c r="I117" s="595"/>
      <c r="J117" s="596"/>
      <c r="K117" s="596"/>
      <c r="L117" s="597"/>
      <c r="M117" s="598"/>
      <c r="N117" s="1155"/>
      <c r="O117" s="1155"/>
      <c r="P117" s="45"/>
      <c r="Q117" s="504"/>
    </row>
    <row r="118" spans="1:17" ht="15.75" thickBot="1">
      <c r="A118" s="534"/>
      <c r="B118" s="543"/>
      <c r="C118" s="570">
        <v>100</v>
      </c>
      <c r="D118" s="591">
        <v>101</v>
      </c>
      <c r="E118" s="570">
        <v>102</v>
      </c>
      <c r="F118" s="591"/>
      <c r="G118" s="591"/>
      <c r="H118" s="591"/>
      <c r="I118" s="591"/>
      <c r="J118" s="591"/>
      <c r="K118" s="591"/>
      <c r="L118" s="591"/>
      <c r="M118" s="592"/>
      <c r="N118" s="1156"/>
      <c r="O118" s="1156"/>
      <c r="P118" s="45"/>
      <c r="Q118" s="504"/>
    </row>
    <row r="119" spans="1:17" ht="15" thickTop="1">
      <c r="A119" s="599"/>
      <c r="B119" s="538" t="s">
        <v>2747</v>
      </c>
      <c r="C119" s="2945" t="s">
        <v>3033</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2748</v>
      </c>
      <c r="C121" s="2944" t="s">
        <v>3035</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2749</v>
      </c>
      <c r="C123" s="2944" t="s">
        <v>3037</v>
      </c>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2750</v>
      </c>
      <c r="C125" s="2944" t="s">
        <v>3035</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57" t="str">
        <f>项目基本情况!B1</f>
        <v>河北省廊坊市香河县出让国有建设用地使用权及在建建筑物房地产抵押价值预评估</v>
      </c>
      <c r="C37" s="2957"/>
      <c r="D37" s="2957"/>
      <c r="E37" s="2957"/>
      <c r="F37" s="2957"/>
      <c r="G37" s="2957"/>
      <c r="H37" s="2957"/>
      <c r="I37" s="2957"/>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崔锴（注册号：1120100036)、郑燚（注册号：1120070131)</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5" sqref="J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2287</v>
      </c>
      <c r="B1" s="1939"/>
      <c r="C1" s="242"/>
      <c r="D1" s="242"/>
      <c r="E1" s="242"/>
      <c r="F1" s="242"/>
      <c r="G1" s="1382">
        <f>MATCH(B1,'数据-取费表'!A6:A16,0)+5</f>
        <v>7</v>
      </c>
    </row>
    <row r="2" spans="1:9" s="244" customFormat="1" ht="18" customHeight="1">
      <c r="A2" s="245" t="s">
        <v>2288</v>
      </c>
      <c r="B2" s="246">
        <f ca="1">IF(D2="——",C52,C52-E2)</f>
        <v>9593</v>
      </c>
      <c r="C2" s="243" t="s">
        <v>2289</v>
      </c>
      <c r="D2" s="2548" t="s">
        <v>70</v>
      </c>
      <c r="E2" s="1443" t="e">
        <f ca="1">SUMIF(INDIRECT("'"&amp;G2&amp;"'"&amp;"!A:A"),"承租人权益价值",INDIRECT("'"&amp;G2&amp;"'"&amp;"!c:c"))</f>
        <v>#REF!</v>
      </c>
      <c r="F2" s="2549" t="s">
        <v>2289</v>
      </c>
      <c r="G2" s="2550"/>
    </row>
    <row r="3" spans="1:9" s="244" customFormat="1" ht="18" customHeight="1" thickBot="1">
      <c r="A3" s="247" t="s">
        <v>2290</v>
      </c>
      <c r="B3" s="248">
        <f ca="1">ROUND(B2*10000/(IF(B1="",'数据-汇总表'!E3,INDIRECT("'数据-取费表'!k"&amp;$G$1))),0)</f>
        <v>4872</v>
      </c>
      <c r="C3" s="243" t="s">
        <v>2291</v>
      </c>
      <c r="D3" s="243"/>
      <c r="E3" s="243"/>
      <c r="F3" s="243"/>
      <c r="G3" s="243"/>
    </row>
    <row r="4" spans="1:9" s="252" customFormat="1" ht="15.75">
      <c r="A4" s="249" t="s">
        <v>2292</v>
      </c>
      <c r="B4" s="250"/>
      <c r="C4" s="250"/>
      <c r="D4" s="250"/>
      <c r="E4" s="250"/>
      <c r="F4" s="250"/>
      <c r="G4" s="251"/>
    </row>
    <row r="5" spans="1:9" s="258" customFormat="1" ht="13.5" customHeight="1">
      <c r="A5" s="299" t="s">
        <v>2293</v>
      </c>
      <c r="B5" s="254" t="s">
        <v>2294</v>
      </c>
      <c r="C5" s="255">
        <f>C6+C7+C8</f>
        <v>5168</v>
      </c>
      <c r="D5" s="255" t="s">
        <v>2295</v>
      </c>
      <c r="E5" s="256" t="s">
        <v>2296</v>
      </c>
      <c r="F5" s="256" t="s">
        <v>2297</v>
      </c>
      <c r="G5" s="257"/>
    </row>
    <row r="6" spans="1:9" s="258" customFormat="1" ht="13.5" customHeight="1">
      <c r="A6" s="952" t="s">
        <v>2298</v>
      </c>
      <c r="B6" s="259" t="s">
        <v>2299</v>
      </c>
      <c r="C6" s="260">
        <f>'土地比较法-住宅、综合'!B2</f>
        <v>4967</v>
      </c>
      <c r="D6" s="261"/>
      <c r="E6" s="262"/>
      <c r="F6" s="262"/>
      <c r="G6" s="263"/>
    </row>
    <row r="7" spans="1:9" s="258" customFormat="1" ht="13.5" customHeight="1">
      <c r="A7" s="952" t="s">
        <v>2300</v>
      </c>
      <c r="B7" s="259" t="s">
        <v>2301</v>
      </c>
      <c r="C7" s="264">
        <f>ROUND(C6*F7,0)</f>
        <v>201</v>
      </c>
      <c r="D7" s="264"/>
      <c r="E7" s="262"/>
      <c r="F7" s="265">
        <f>'数据-取费表'!B48+'数据-取费表'!B49</f>
        <v>4.0500000000000001E-2</v>
      </c>
      <c r="G7" s="263"/>
    </row>
    <row r="8" spans="1:9" s="267" customFormat="1">
      <c r="A8" s="952" t="s">
        <v>2302</v>
      </c>
      <c r="B8" s="259" t="s">
        <v>2303</v>
      </c>
      <c r="C8" s="264" t="str">
        <f>IF(G8="已包含在土地购买价格中","0",IF(B1="",'数据-取费表'!B29,IF(G9="全部缴纳",C9+C10,H9)))</f>
        <v>0</v>
      </c>
      <c r="D8" s="266"/>
      <c r="E8" s="264"/>
      <c r="F8" s="265"/>
      <c r="G8" s="2551" t="s">
        <v>1144</v>
      </c>
    </row>
    <row r="9" spans="1:9" s="258" customFormat="1" ht="13.5" customHeight="1">
      <c r="A9" s="953" t="s">
        <v>799</v>
      </c>
      <c r="B9" s="268" t="s">
        <v>2304</v>
      </c>
      <c r="C9" s="269">
        <f ca="1">ROUND(D9*E9/10000,0)</f>
        <v>58</v>
      </c>
      <c r="D9" s="1035">
        <f ca="1">IF(B1="",'数据-汇总表'!E5,IF(INDIRECT("'数据-取费表'!c"&amp;$G$1)="住宅",INDIRECT("'数据-取费表'!k"&amp;$G$1),0))</f>
        <v>17457.14</v>
      </c>
      <c r="E9" s="269">
        <f>'数据-取费表'!B27</f>
        <v>33.200000000000003</v>
      </c>
      <c r="F9" s="265"/>
      <c r="G9" s="2552" t="s">
        <v>3048</v>
      </c>
      <c r="H9" s="1393"/>
      <c r="I9" s="2553" t="s">
        <v>2305</v>
      </c>
    </row>
    <row r="10" spans="1:9" s="258" customFormat="1" ht="13.5" customHeight="1">
      <c r="A10" s="953" t="s">
        <v>800</v>
      </c>
      <c r="B10" s="268" t="s">
        <v>2306</v>
      </c>
      <c r="C10" s="269">
        <f ca="1">ROUND(D10*E10/10000,0)</f>
        <v>5</v>
      </c>
      <c r="D10" s="1035">
        <f ca="1">IF(B1="",'数据-汇总表'!E6,IF(INDIRECT("'数据-取费表'!c"&amp;$G$1)="住宅",INDIRECT("'数据-取费表'!s"&amp;$G$1),INDIRECT("'数据-取费表'!k"&amp;$G$1)+INDIRECT("'数据-取费表'!s"&amp;$G$1)))</f>
        <v>2232.8499999999985</v>
      </c>
      <c r="E10" s="269">
        <f>'数据-取费表'!B28</f>
        <v>21.6</v>
      </c>
      <c r="F10" s="265"/>
      <c r="G10" s="270"/>
    </row>
    <row r="11" spans="1:9" s="258" customFormat="1" ht="13.5" hidden="1" customHeight="1">
      <c r="A11" s="271" t="s">
        <v>7</v>
      </c>
      <c r="B11" s="259" t="s">
        <v>2307</v>
      </c>
      <c r="C11" s="255"/>
      <c r="D11" s="1037"/>
      <c r="E11" s="262"/>
      <c r="F11" s="262"/>
      <c r="G11" s="263"/>
    </row>
    <row r="12" spans="1:9" s="258" customFormat="1" ht="13.5" hidden="1" customHeight="1">
      <c r="A12" s="271" t="s">
        <v>8</v>
      </c>
      <c r="B12" s="259" t="s">
        <v>2308</v>
      </c>
      <c r="C12" s="255">
        <v>0</v>
      </c>
      <c r="D12" s="1037"/>
      <c r="E12" s="272"/>
      <c r="F12" s="265">
        <v>3.0499999999999999E-2</v>
      </c>
      <c r="G12" s="263"/>
    </row>
    <row r="13" spans="1:9" s="258" customFormat="1" ht="13.5" hidden="1" customHeight="1">
      <c r="A13" s="271" t="s">
        <v>9</v>
      </c>
      <c r="B13" s="259" t="s">
        <v>2309</v>
      </c>
      <c r="C13" s="255"/>
      <c r="D13" s="1037"/>
      <c r="E13" s="262"/>
      <c r="F13" s="262"/>
      <c r="G13" s="263"/>
    </row>
    <row r="14" spans="1:9" s="258" customFormat="1" ht="13.5" hidden="1" customHeight="1">
      <c r="A14" s="271" t="s">
        <v>10</v>
      </c>
      <c r="B14" s="259" t="s">
        <v>2310</v>
      </c>
      <c r="C14" s="255"/>
      <c r="D14" s="1037"/>
      <c r="E14" s="262"/>
      <c r="F14" s="262"/>
      <c r="G14" s="263" t="s">
        <v>2311</v>
      </c>
    </row>
    <row r="15" spans="1:9" s="258" customFormat="1" ht="13.5" hidden="1" customHeight="1">
      <c r="A15" s="271" t="s">
        <v>11</v>
      </c>
      <c r="B15" s="259" t="s">
        <v>2312</v>
      </c>
      <c r="C15" s="264"/>
      <c r="D15" s="1037"/>
      <c r="E15" s="262"/>
      <c r="F15" s="262"/>
      <c r="G15" s="263" t="s">
        <v>2313</v>
      </c>
    </row>
    <row r="16" spans="1:9" s="258" customFormat="1" ht="13.5" hidden="1" customHeight="1">
      <c r="A16" s="271" t="s">
        <v>12</v>
      </c>
      <c r="B16" s="259" t="s">
        <v>2310</v>
      </c>
      <c r="C16" s="264"/>
      <c r="D16" s="1037"/>
      <c r="E16" s="262"/>
      <c r="F16" s="262"/>
      <c r="G16" s="263"/>
    </row>
    <row r="17" spans="1:7" s="258" customFormat="1" ht="13.5" hidden="1" customHeight="1">
      <c r="A17" s="271" t="s">
        <v>13</v>
      </c>
      <c r="B17" s="259" t="s">
        <v>2314</v>
      </c>
      <c r="C17" s="273"/>
      <c r="D17" s="1038"/>
      <c r="E17" s="273"/>
      <c r="F17" s="273"/>
      <c r="G17" s="263" t="s">
        <v>2313</v>
      </c>
    </row>
    <row r="18" spans="1:7" s="258" customFormat="1" ht="13.5" hidden="1" customHeight="1">
      <c r="A18" s="271" t="s">
        <v>14</v>
      </c>
      <c r="B18" s="259" t="s">
        <v>2315</v>
      </c>
      <c r="C18" s="264">
        <v>0</v>
      </c>
      <c r="D18" s="1037"/>
      <c r="E18" s="262"/>
      <c r="F18" s="265">
        <v>3.0499999999999999E-2</v>
      </c>
      <c r="G18" s="263" t="s">
        <v>2316</v>
      </c>
    </row>
    <row r="19" spans="1:7" s="267" customFormat="1" ht="13.5" customHeight="1">
      <c r="A19" s="299" t="s">
        <v>2317</v>
      </c>
      <c r="B19" s="254" t="s">
        <v>2318</v>
      </c>
      <c r="C19" s="255" t="str">
        <f>IF(G19="已包含在土地取得成本中","0",ROUND(D19*E19/10000,0))</f>
        <v>0</v>
      </c>
      <c r="D19" s="1039">
        <f ca="1">D9+D10</f>
        <v>19689.989999999998</v>
      </c>
      <c r="E19" s="255">
        <f>'数据-取费表'!B31</f>
        <v>200</v>
      </c>
      <c r="F19" s="275"/>
      <c r="G19" s="2551" t="s">
        <v>3128</v>
      </c>
    </row>
    <row r="20" spans="1:7" s="258" customFormat="1" ht="13.5" customHeight="1">
      <c r="A20" s="299" t="s">
        <v>2319</v>
      </c>
      <c r="B20" s="254" t="s">
        <v>2320</v>
      </c>
      <c r="C20" s="276">
        <f>ROUND((C5+C19)*F20,0)</f>
        <v>103</v>
      </c>
      <c r="D20" s="276"/>
      <c r="E20" s="276"/>
      <c r="F20" s="277">
        <f>'数据-取费表'!B37</f>
        <v>0.02</v>
      </c>
      <c r="G20" s="278" t="s">
        <v>2321</v>
      </c>
    </row>
    <row r="21" spans="1:7" s="258" customFormat="1" ht="13.5" customHeight="1">
      <c r="A21" s="299" t="s">
        <v>2322</v>
      </c>
      <c r="B21" s="254" t="s">
        <v>2323</v>
      </c>
      <c r="C21" s="279">
        <f>F21</f>
        <v>0.02</v>
      </c>
      <c r="D21" s="280" t="s">
        <v>2324</v>
      </c>
      <c r="E21" s="276"/>
      <c r="F21" s="277">
        <f>'数据-取费表'!B38</f>
        <v>0.02</v>
      </c>
      <c r="G21" s="278" t="s">
        <v>2325</v>
      </c>
    </row>
    <row r="22" spans="1:7" s="258" customFormat="1" ht="13.5" customHeight="1">
      <c r="A22" s="299" t="s">
        <v>2326</v>
      </c>
      <c r="B22" s="254" t="s">
        <v>2327</v>
      </c>
      <c r="C22" s="1357">
        <f ca="1">ROUND(SUM(C23:C25),0)</f>
        <v>147</v>
      </c>
      <c r="D22" s="279">
        <f ca="1">C26</f>
        <v>2.9999999999999997E-4</v>
      </c>
      <c r="E22" s="280" t="s">
        <v>2324</v>
      </c>
      <c r="F22" s="281">
        <f ca="1">'数据-取费表'!B40</f>
        <v>4.7500000000000001E-2</v>
      </c>
      <c r="G22" s="278" t="str">
        <f>IF('数据-取费表'!B22&lt;=1,"单利计息","复利计息")</f>
        <v>复利计息</v>
      </c>
    </row>
    <row r="23" spans="1:7" s="258" customFormat="1" ht="13.5" customHeight="1">
      <c r="A23" s="954" t="s">
        <v>2328</v>
      </c>
      <c r="B23" s="259" t="s">
        <v>2329</v>
      </c>
      <c r="C23" s="1358">
        <f ca="1">ROUND(IF('数据-取费表'!B22&lt;=1,C5*F22*'数据-取费表'!B23,C5*(POWER((1+F22),'数据-取费表'!B23)-1)),0)</f>
        <v>146</v>
      </c>
      <c r="D23" s="282"/>
      <c r="E23" s="282"/>
      <c r="F23" s="283"/>
      <c r="G23" s="284" t="s">
        <v>2330</v>
      </c>
    </row>
    <row r="24" spans="1:7" s="258" customFormat="1" ht="13.5" customHeight="1">
      <c r="A24" s="954" t="s">
        <v>2331</v>
      </c>
      <c r="B24" s="259" t="s">
        <v>2332</v>
      </c>
      <c r="C24" s="1358">
        <f ca="1">ROUND(IF('数据-取费表'!B22&lt;=1,C19*F22*('数据-取费表'!B19/2+'数据-取费表'!B21),C19*(POWER((1+F22),('数据-取费表'!B19/2+'数据-取费表'!B21))-1)),0)</f>
        <v>0</v>
      </c>
      <c r="D24" s="282"/>
      <c r="E24" s="282"/>
      <c r="F24" s="283"/>
      <c r="G24" s="284" t="s">
        <v>2333</v>
      </c>
    </row>
    <row r="25" spans="1:7" s="258" customFormat="1" ht="24">
      <c r="A25" s="954" t="s">
        <v>2334</v>
      </c>
      <c r="B25" s="259" t="s">
        <v>2335</v>
      </c>
      <c r="C25" s="1358">
        <f ca="1">ROUND(IF('数据-取费表'!B22&lt;=1,C20*F22*'数据-取费表'!B23/2,C20*(POWER((1+F22),'数据-取费表'!B23/2)-1)),0)</f>
        <v>1</v>
      </c>
      <c r="D25" s="282"/>
      <c r="E25" s="285"/>
      <c r="F25" s="283"/>
      <c r="G25" s="286" t="s">
        <v>2336</v>
      </c>
    </row>
    <row r="26" spans="1:7" s="258" customFormat="1">
      <c r="A26" s="954" t="s">
        <v>794</v>
      </c>
      <c r="B26" s="259" t="s">
        <v>2337</v>
      </c>
      <c r="C26" s="282">
        <f ca="1">ROUND(IF('数据-取费表'!B22&lt;=1,F21*F22*'数据-取费表'!B23/2,F21*(POWER((1+F22),'数据-取费表'!B23/2)-1)),4)</f>
        <v>2.9999999999999997E-4</v>
      </c>
      <c r="D26" s="282"/>
      <c r="E26" s="285"/>
      <c r="F26" s="283"/>
      <c r="G26" s="287"/>
    </row>
    <row r="27" spans="1:7" s="258" customFormat="1" ht="24.75">
      <c r="A27" s="299" t="s">
        <v>2338</v>
      </c>
      <c r="B27" s="288" t="s">
        <v>2339</v>
      </c>
      <c r="C27" s="289">
        <f ca="1">C28</f>
        <v>474</v>
      </c>
      <c r="D27" s="279">
        <f ca="1">C29</f>
        <v>1.8E-3</v>
      </c>
      <c r="E27" s="280" t="s">
        <v>2340</v>
      </c>
      <c r="F27" s="290">
        <f ca="1">IF(B1="",'数据-取费表'!Q16,INDIRECT("'数据-取费表'!q"&amp;$G$1))</f>
        <v>0.3</v>
      </c>
      <c r="G27" s="291" t="s">
        <v>2341</v>
      </c>
    </row>
    <row r="28" spans="1:7" s="258" customFormat="1" ht="13.5" customHeight="1">
      <c r="A28" s="954" t="s">
        <v>790</v>
      </c>
      <c r="B28" s="292" t="s">
        <v>2342</v>
      </c>
      <c r="C28" s="293">
        <f ca="1">ROUND((C5+C19+C20)*F27*'数据-取费表'!B21/'数据-取费表'!B20,0)</f>
        <v>474</v>
      </c>
      <c r="D28" s="279"/>
      <c r="E28" s="280"/>
      <c r="F28" s="290"/>
      <c r="G28" s="291"/>
    </row>
    <row r="29" spans="1:7" s="258" customFormat="1" ht="13.5" customHeight="1">
      <c r="A29" s="954" t="s">
        <v>791</v>
      </c>
      <c r="B29" s="292" t="s">
        <v>2343</v>
      </c>
      <c r="C29" s="282">
        <f ca="1">ROUND(C21*F27*'数据-取费表'!B21/'数据-取费表'!B20,4)</f>
        <v>1.8E-3</v>
      </c>
      <c r="D29" s="279"/>
      <c r="E29" s="280"/>
      <c r="F29" s="290"/>
      <c r="G29" s="291"/>
    </row>
    <row r="30" spans="1:7" s="258" customFormat="1" ht="13.5" customHeight="1">
      <c r="A30" s="299" t="s">
        <v>2344</v>
      </c>
      <c r="B30" s="254" t="s">
        <v>2345</v>
      </c>
      <c r="C30" s="279">
        <f>ROUND(F30/(1+'数据-取费表'!C42),4)</f>
        <v>5.2400000000000002E-2</v>
      </c>
      <c r="D30" s="280" t="s">
        <v>2340</v>
      </c>
      <c r="E30" s="285"/>
      <c r="F30" s="281">
        <f>'数据-取费表'!B41</f>
        <v>5.5000000000000007E-2</v>
      </c>
      <c r="G30" s="278" t="s">
        <v>2346</v>
      </c>
    </row>
    <row r="31" spans="1:7" ht="16.5" customHeight="1">
      <c r="A31" s="253">
        <v>1</v>
      </c>
      <c r="B31" s="254" t="s">
        <v>2347</v>
      </c>
      <c r="C31" s="255">
        <f ca="1">ROUND((C5+C19+C20+C22+C27)/(1-C21-D22-D27-C30),0)</f>
        <v>6366</v>
      </c>
      <c r="D31" s="274"/>
      <c r="E31" s="255"/>
      <c r="F31" s="294"/>
      <c r="G31" s="278" t="s">
        <v>2348</v>
      </c>
    </row>
    <row r="32" spans="1:7" s="252" customFormat="1" ht="15.75">
      <c r="A32" s="296" t="s">
        <v>2349</v>
      </c>
      <c r="B32" s="297"/>
      <c r="C32" s="297"/>
      <c r="D32" s="297"/>
      <c r="E32" s="297"/>
      <c r="F32" s="297"/>
      <c r="G32" s="298"/>
    </row>
    <row r="33" spans="1:7" s="258" customFormat="1" ht="13.5" customHeight="1">
      <c r="A33" s="299" t="s">
        <v>781</v>
      </c>
      <c r="B33" s="254" t="s">
        <v>2350</v>
      </c>
      <c r="C33" s="300">
        <f ca="1">SUM(C34:C38)</f>
        <v>2218</v>
      </c>
      <c r="D33" s="276"/>
      <c r="E33" s="256"/>
      <c r="F33" s="285"/>
      <c r="G33" s="278"/>
    </row>
    <row r="34" spans="1:7" s="302" customFormat="1" ht="13.5" customHeight="1">
      <c r="A34" s="954" t="s">
        <v>790</v>
      </c>
      <c r="B34" s="259" t="s">
        <v>2351</v>
      </c>
      <c r="C34" s="264">
        <f ca="1">IF(B1="",IF(F34=100%,'数据-取费表'!M16,'数据-取费表'!O16),IF(F34=100%,INDIRECT("'数据-取费表'!m"&amp;$G$1)+INDIRECT("'数据-取费表'!t"&amp;$G$1),INDIRECT("'数据-取费表'!o"&amp;$G$1)+INDIRECT("'数据-取费表'!aq"&amp;$G$1)))</f>
        <v>1833</v>
      </c>
      <c r="D34" s="261"/>
      <c r="E34" s="264"/>
      <c r="F34" s="301">
        <f ca="1">IF('数据-取费表'!B24=0,1,IF(B1="",'数据-取费表'!N16,INDIRECT("'数据-取费表'!n"&amp;$G$1)))</f>
        <v>0.35</v>
      </c>
      <c r="G34" s="263" t="s">
        <v>2352</v>
      </c>
    </row>
    <row r="35" spans="1:7" ht="13.5" customHeight="1">
      <c r="A35" s="954" t="s">
        <v>795</v>
      </c>
      <c r="B35" s="259" t="s">
        <v>2353</v>
      </c>
      <c r="C35" s="264">
        <f ca="1">ROUND(C34*F35,0)</f>
        <v>73</v>
      </c>
      <c r="D35" s="264"/>
      <c r="E35" s="264"/>
      <c r="F35" s="303">
        <f>'数据-取费表'!B33</f>
        <v>0.04</v>
      </c>
      <c r="G35" s="263" t="s">
        <v>2354</v>
      </c>
    </row>
    <row r="36" spans="1:7" ht="24">
      <c r="A36" s="954" t="s">
        <v>796</v>
      </c>
      <c r="B36" s="259" t="s">
        <v>2355</v>
      </c>
      <c r="C36" s="264">
        <f ca="1">ROUND(IF(B1="",SUMIF('数据-取费表'!C:C,"住宅",IF(F34=100%,'数据-取费表'!M:M,'数据-取费表'!O:O))*F36,IF(INDIRECT("'数据-取费表'!c"&amp;$G$1)="住宅",IF(F34=100%,INDIRECT("'数据-取费表'!m"&amp;$G$1)*F36,INDIRECT("'数据-取费表'!o"&amp;$G$1)*F36),0)),0)</f>
        <v>147</v>
      </c>
      <c r="D36" s="264"/>
      <c r="E36" s="264"/>
      <c r="F36" s="303">
        <f>'数据-取费表'!B34</f>
        <v>0.08</v>
      </c>
      <c r="G36" s="304" t="s">
        <v>2356</v>
      </c>
    </row>
    <row r="37" spans="1:7" s="302" customFormat="1" ht="13.5" customHeight="1">
      <c r="A37" s="954" t="s">
        <v>797</v>
      </c>
      <c r="B37" s="259" t="s">
        <v>2357</v>
      </c>
      <c r="C37" s="293">
        <f ca="1">ROUND(E37*D37*F34/10000,0)</f>
        <v>138</v>
      </c>
      <c r="D37" s="261">
        <f ca="1">D19</f>
        <v>19689.989999999998</v>
      </c>
      <c r="E37" s="293">
        <f>'数据-取费表'!B35</f>
        <v>200</v>
      </c>
      <c r="F37" s="303"/>
      <c r="G37" s="305" t="s">
        <v>2358</v>
      </c>
    </row>
    <row r="38" spans="1:7" ht="13.5" customHeight="1">
      <c r="A38" s="954" t="s">
        <v>798</v>
      </c>
      <c r="B38" s="259" t="s">
        <v>2359</v>
      </c>
      <c r="C38" s="264">
        <f ca="1">ROUND(C34*F38,0)</f>
        <v>27</v>
      </c>
      <c r="D38" s="264"/>
      <c r="E38" s="264"/>
      <c r="F38" s="303">
        <f>'数据-取费表'!B36</f>
        <v>1.4999999999999999E-2</v>
      </c>
      <c r="G38" s="263" t="s">
        <v>2354</v>
      </c>
    </row>
    <row r="39" spans="1:7" s="258" customFormat="1" ht="13.5" customHeight="1">
      <c r="A39" s="299" t="s">
        <v>2360</v>
      </c>
      <c r="B39" s="254" t="s">
        <v>2361</v>
      </c>
      <c r="C39" s="276">
        <f ca="1">ROUND(C33*F20,0)</f>
        <v>44</v>
      </c>
      <c r="D39" s="276"/>
      <c r="E39" s="276"/>
      <c r="F39" s="277"/>
      <c r="G39" s="278" t="s">
        <v>2362</v>
      </c>
    </row>
    <row r="40" spans="1:7" s="258" customFormat="1" ht="13.5" customHeight="1">
      <c r="A40" s="299" t="s">
        <v>2363</v>
      </c>
      <c r="B40" s="254" t="s">
        <v>2364</v>
      </c>
      <c r="C40" s="1730">
        <f>F21</f>
        <v>0.02</v>
      </c>
      <c r="D40" s="280" t="s">
        <v>2365</v>
      </c>
      <c r="E40" s="276"/>
      <c r="F40" s="277"/>
      <c r="G40" s="278" t="s">
        <v>2366</v>
      </c>
    </row>
    <row r="41" spans="1:7" s="258" customFormat="1" ht="13.5" customHeight="1">
      <c r="A41" s="299" t="s">
        <v>2367</v>
      </c>
      <c r="B41" s="254" t="s">
        <v>2368</v>
      </c>
      <c r="C41" s="276">
        <f ca="1">ROUND(SUM(C42:C43),0)</f>
        <v>32</v>
      </c>
      <c r="D41" s="279">
        <f ca="1">C44</f>
        <v>2.9999999999999997E-4</v>
      </c>
      <c r="E41" s="280" t="s">
        <v>2365</v>
      </c>
      <c r="F41" s="281"/>
      <c r="G41" s="278" t="str">
        <f>IF('数据-取费表'!B22&lt;=1,"单利计息","复利计息")</f>
        <v>复利计息</v>
      </c>
    </row>
    <row r="42" spans="1:7" ht="13.5" customHeight="1">
      <c r="A42" s="954" t="s">
        <v>790</v>
      </c>
      <c r="B42" s="259" t="s">
        <v>2369</v>
      </c>
      <c r="C42" s="282">
        <f ca="1">ROUND(IF('数据-取费表'!B22&lt;=1,C33*F22*'数据-取费表'!B21/2,C33*(POWER((1+F22),'数据-取费表'!B21/2)-1)),0)</f>
        <v>31</v>
      </c>
      <c r="D42" s="282"/>
      <c r="E42" s="282"/>
      <c r="F42" s="283"/>
      <c r="G42" s="3186" t="s">
        <v>2370</v>
      </c>
    </row>
    <row r="43" spans="1:7" ht="13.5" customHeight="1">
      <c r="A43" s="954" t="s">
        <v>791</v>
      </c>
      <c r="B43" s="259" t="s">
        <v>2371</v>
      </c>
      <c r="C43" s="282">
        <f ca="1">ROUND(IF('数据-取费表'!B22&lt;=1,C39*F22*'数据-取费表'!B21/2,C39*(POWER((1+F22),'数据-取费表'!B21/2)-1)),0)</f>
        <v>1</v>
      </c>
      <c r="D43" s="282"/>
      <c r="E43" s="282"/>
      <c r="F43" s="283"/>
      <c r="G43" s="3187"/>
    </row>
    <row r="44" spans="1:7" ht="13.5" customHeight="1">
      <c r="A44" s="954" t="s">
        <v>792</v>
      </c>
      <c r="B44" s="259" t="s">
        <v>2372</v>
      </c>
      <c r="C44" s="282">
        <f ca="1">ROUND(IF('数据-取费表'!B22&lt;=1,C40*F22*'数据-取费表'!B21/2,C40*(POWER((1+F22),'数据-取费表'!B21/2)-1)),4)</f>
        <v>2.9999999999999997E-4</v>
      </c>
      <c r="D44" s="282"/>
      <c r="E44" s="282"/>
      <c r="F44" s="283"/>
      <c r="G44" s="3188"/>
    </row>
    <row r="45" spans="1:7" s="258" customFormat="1" ht="13.5" customHeight="1">
      <c r="A45" s="299" t="s">
        <v>2373</v>
      </c>
      <c r="B45" s="288" t="s">
        <v>2339</v>
      </c>
      <c r="C45" s="289">
        <f ca="1">C46</f>
        <v>679</v>
      </c>
      <c r="D45" s="279">
        <f ca="1">C47</f>
        <v>6.0000000000000001E-3</v>
      </c>
      <c r="E45" s="280" t="s">
        <v>2365</v>
      </c>
      <c r="F45" s="290"/>
      <c r="G45" s="291" t="s">
        <v>2374</v>
      </c>
    </row>
    <row r="46" spans="1:7" s="258" customFormat="1" ht="13.5" customHeight="1">
      <c r="A46" s="954" t="s">
        <v>790</v>
      </c>
      <c r="B46" s="292" t="s">
        <v>2375</v>
      </c>
      <c r="C46" s="293">
        <f ca="1">ROUND((C33+C39)*F27,0)</f>
        <v>679</v>
      </c>
      <c r="D46" s="307"/>
      <c r="E46" s="280"/>
      <c r="F46" s="290"/>
      <c r="G46" s="291"/>
    </row>
    <row r="47" spans="1:7" s="258" customFormat="1" ht="13.5" customHeight="1">
      <c r="A47" s="954" t="s">
        <v>791</v>
      </c>
      <c r="B47" s="292" t="s">
        <v>2376</v>
      </c>
      <c r="C47" s="282">
        <f ca="1">ROUND(C40*F27,4)</f>
        <v>6.0000000000000001E-3</v>
      </c>
      <c r="D47" s="307"/>
      <c r="E47" s="280"/>
      <c r="F47" s="290"/>
      <c r="G47" s="291"/>
    </row>
    <row r="48" spans="1:7" s="258" customFormat="1" ht="13.5" customHeight="1">
      <c r="A48" s="299" t="s">
        <v>2338</v>
      </c>
      <c r="B48" s="254" t="s">
        <v>2377</v>
      </c>
      <c r="C48" s="1730">
        <f>ROUND(F30/(1+'数据-取费表'!C42),4)</f>
        <v>5.2400000000000002E-2</v>
      </c>
      <c r="D48" s="280" t="s">
        <v>2365</v>
      </c>
      <c r="E48" s="276"/>
      <c r="F48" s="281"/>
      <c r="G48" s="278" t="s">
        <v>2378</v>
      </c>
    </row>
    <row r="49" spans="1:7" ht="16.5" customHeight="1">
      <c r="A49" s="299" t="s">
        <v>2344</v>
      </c>
      <c r="B49" s="254" t="s">
        <v>2379</v>
      </c>
      <c r="C49" s="276">
        <f ca="1">ROUND((C33+C39+C41+C45)/(1-C40-D41-D45-C48),0)</f>
        <v>3227</v>
      </c>
      <c r="D49" s="276"/>
      <c r="E49" s="276"/>
      <c r="F49" s="308"/>
      <c r="G49" s="278" t="s">
        <v>2380</v>
      </c>
    </row>
    <row r="50" spans="1:7" s="302" customFormat="1" ht="24">
      <c r="A50" s="299" t="s">
        <v>2381</v>
      </c>
      <c r="B50" s="254" t="s">
        <v>2382</v>
      </c>
      <c r="C50" s="276"/>
      <c r="D50" s="276"/>
      <c r="E50" s="276"/>
      <c r="F50" s="308">
        <f>IF('数据-取费表'!B24=0,'数据-取费表'!N16,1)</f>
        <v>1</v>
      </c>
      <c r="G50" s="291" t="s">
        <v>2383</v>
      </c>
    </row>
    <row r="51" spans="1:7" ht="16.5" customHeight="1">
      <c r="A51" s="299" t="s">
        <v>2384</v>
      </c>
      <c r="B51" s="254" t="s">
        <v>2385</v>
      </c>
      <c r="C51" s="276">
        <f ca="1">ROUND(C49*F50,0)</f>
        <v>3227</v>
      </c>
      <c r="D51" s="276"/>
      <c r="E51" s="276"/>
      <c r="F51" s="308"/>
      <c r="G51" s="278" t="s">
        <v>2386</v>
      </c>
    </row>
    <row r="52" spans="1:7" s="252" customFormat="1" ht="16.5" thickBot="1">
      <c r="A52" s="309" t="s">
        <v>2387</v>
      </c>
      <c r="B52" s="310"/>
      <c r="C52" s="311">
        <f ca="1">C31+C51</f>
        <v>9593</v>
      </c>
      <c r="D52" s="310"/>
      <c r="E52" s="310"/>
      <c r="F52" s="310"/>
      <c r="G52" s="312"/>
    </row>
    <row r="55" spans="1:7" ht="15">
      <c r="B55" s="314" t="s">
        <v>2388</v>
      </c>
      <c r="C55" s="315"/>
    </row>
    <row r="56" spans="1:7">
      <c r="B56" s="317" t="s">
        <v>1509</v>
      </c>
      <c r="C56" s="319">
        <f ca="1">1-C57</f>
        <v>0.66399999999999992</v>
      </c>
    </row>
    <row r="57" spans="1:7">
      <c r="B57" s="317" t="s">
        <v>1510</v>
      </c>
      <c r="C57" s="318">
        <f ca="1">ROUND(C51/C52,3)</f>
        <v>0.33600000000000002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2287</v>
      </c>
      <c r="B1" s="1939"/>
      <c r="C1" s="2554" t="s">
        <v>2389</v>
      </c>
      <c r="D1" s="242"/>
      <c r="E1" s="242"/>
      <c r="F1" s="242"/>
      <c r="G1" s="1382">
        <f>MATCH(B1,'数据-取费表'!A6:A16,0)+5</f>
        <v>7</v>
      </c>
      <c r="H1" s="1285" t="str">
        <f>IF(ISERROR(FIND("住宅",B1)),"非住宅","住宅")</f>
        <v>非住宅</v>
      </c>
    </row>
    <row r="2" spans="1:8" s="244" customFormat="1" ht="18" customHeight="1">
      <c r="A2" s="245" t="s">
        <v>2288</v>
      </c>
      <c r="B2" s="246">
        <f ca="1">ROUND(IF(D2="——",C52/10000,C52/10000-E2),0)</f>
        <v>10169</v>
      </c>
      <c r="C2" s="243" t="s">
        <v>2289</v>
      </c>
      <c r="D2" s="2548" t="s">
        <v>70</v>
      </c>
      <c r="E2" s="1443" t="e">
        <f ca="1">SUMIF(INDIRECT("'"&amp;G2&amp;"'"&amp;"!A:A"),"承租人权益价值",INDIRECT("'"&amp;G2&amp;"'"&amp;"!c:c"))</f>
        <v>#REF!</v>
      </c>
      <c r="F2" s="2549" t="s">
        <v>2289</v>
      </c>
      <c r="G2" s="2550"/>
    </row>
    <row r="3" spans="1:8" s="244" customFormat="1" ht="18" customHeight="1" thickBot="1">
      <c r="A3" s="247" t="s">
        <v>2290</v>
      </c>
      <c r="B3" s="248">
        <f ca="1">ROUND(B2*10000/(IF(B1="",'数据-汇总表'!E3,INDIRECT("'数据-取费表'!k"&amp;$G$1))),0)</f>
        <v>5165</v>
      </c>
      <c r="C3" s="243" t="s">
        <v>2291</v>
      </c>
      <c r="D3" s="243"/>
      <c r="E3" s="243"/>
      <c r="F3" s="243"/>
      <c r="G3" s="243"/>
    </row>
    <row r="4" spans="1:8" s="252" customFormat="1" ht="15.75">
      <c r="A4" s="249" t="s">
        <v>2292</v>
      </c>
      <c r="B4" s="250"/>
      <c r="C4" s="250"/>
      <c r="D4" s="250"/>
      <c r="E4" s="250"/>
      <c r="F4" s="250"/>
      <c r="G4" s="251"/>
    </row>
    <row r="5" spans="1:8" s="258" customFormat="1" ht="13.5" customHeight="1">
      <c r="A5" s="299" t="s">
        <v>2293</v>
      </c>
      <c r="B5" s="254" t="s">
        <v>2294</v>
      </c>
      <c r="C5" s="255">
        <f ca="1">C6+C7+C8</f>
        <v>627807</v>
      </c>
      <c r="D5" s="255" t="s">
        <v>2295</v>
      </c>
      <c r="E5" s="256" t="s">
        <v>2296</v>
      </c>
      <c r="F5" s="256" t="s">
        <v>2297</v>
      </c>
      <c r="G5" s="257"/>
    </row>
    <row r="6" spans="1:8" s="258" customFormat="1" ht="13.5" customHeight="1">
      <c r="A6" s="952" t="s">
        <v>2298</v>
      </c>
      <c r="B6" s="259" t="s">
        <v>2299</v>
      </c>
      <c r="C6" s="260"/>
      <c r="D6" s="261"/>
      <c r="E6" s="262"/>
      <c r="F6" s="262"/>
      <c r="G6" s="263"/>
    </row>
    <row r="7" spans="1:8" s="258" customFormat="1" ht="13.5" customHeight="1">
      <c r="A7" s="952" t="s">
        <v>2300</v>
      </c>
      <c r="B7" s="259" t="s">
        <v>2301</v>
      </c>
      <c r="C7" s="264">
        <f>ROUND(C6*F7,0)</f>
        <v>0</v>
      </c>
      <c r="D7" s="264"/>
      <c r="E7" s="262"/>
      <c r="F7" s="265">
        <f>'数据-取费表'!B48+'数据-取费表'!B49</f>
        <v>4.0500000000000001E-2</v>
      </c>
      <c r="G7" s="263"/>
    </row>
    <row r="8" spans="1:8" s="267" customFormat="1">
      <c r="A8" s="952" t="s">
        <v>2302</v>
      </c>
      <c r="B8" s="259" t="s">
        <v>2303</v>
      </c>
      <c r="C8" s="264">
        <f ca="1">IF(G8="已包含在土地购买价格中",0,C9+C10)</f>
        <v>627807</v>
      </c>
      <c r="D8" s="266"/>
      <c r="E8" s="264"/>
      <c r="F8" s="265"/>
      <c r="G8" s="2551"/>
    </row>
    <row r="9" spans="1:8" s="258" customFormat="1" ht="13.5" customHeight="1">
      <c r="A9" s="953" t="s">
        <v>799</v>
      </c>
      <c r="B9" s="268" t="s">
        <v>2304</v>
      </c>
      <c r="C9" s="269">
        <f ca="1">ROUND(D9*E9,0)</f>
        <v>579577</v>
      </c>
      <c r="D9" s="1035">
        <f ca="1">IF(B1="",'数据-汇总表'!E5,IF(INDIRECT("'数据-取费表'!c"&amp;$G$1)="住宅",INDIRECT("'数据-取费表'!k"&amp;$G$1),0))</f>
        <v>17457.14</v>
      </c>
      <c r="E9" s="269">
        <f>'数据-取费表'!B27</f>
        <v>33.200000000000003</v>
      </c>
      <c r="F9" s="265"/>
      <c r="G9" s="270"/>
    </row>
    <row r="10" spans="1:8" s="258" customFormat="1" ht="13.5" customHeight="1">
      <c r="A10" s="953" t="s">
        <v>800</v>
      </c>
      <c r="B10" s="268" t="s">
        <v>2306</v>
      </c>
      <c r="C10" s="269">
        <f ca="1">ROUND(D10*E10,0)</f>
        <v>48230</v>
      </c>
      <c r="D10" s="1035">
        <f ca="1">IF(B1="",'数据-汇总表'!E6,IF(INDIRECT("'数据-取费表'!c"&amp;$G$1)="住宅",INDIRECT("'数据-取费表'!s"&amp;$G$1),INDIRECT("'数据-取费表'!k"&amp;$G$1)+INDIRECT("'数据-取费表'!s"&amp;$G$1)))</f>
        <v>2232.8499999999985</v>
      </c>
      <c r="E10" s="269">
        <f>'数据-取费表'!B28</f>
        <v>21.6</v>
      </c>
      <c r="F10" s="265"/>
      <c r="G10" s="270"/>
    </row>
    <row r="11" spans="1:8" s="258" customFormat="1" ht="13.5" hidden="1" customHeight="1">
      <c r="A11" s="271" t="s">
        <v>7</v>
      </c>
      <c r="B11" s="259" t="s">
        <v>2307</v>
      </c>
      <c r="C11" s="255"/>
      <c r="D11" s="1037"/>
      <c r="E11" s="262"/>
      <c r="F11" s="262"/>
      <c r="G11" s="263"/>
    </row>
    <row r="12" spans="1:8" s="258" customFormat="1" ht="13.5" hidden="1" customHeight="1">
      <c r="A12" s="271" t="s">
        <v>8</v>
      </c>
      <c r="B12" s="259" t="s">
        <v>2390</v>
      </c>
      <c r="C12" s="255">
        <v>0</v>
      </c>
      <c r="D12" s="1037"/>
      <c r="E12" s="272"/>
      <c r="F12" s="265">
        <v>3.0499999999999999E-2</v>
      </c>
      <c r="G12" s="263"/>
    </row>
    <row r="13" spans="1:8" s="258" customFormat="1" ht="13.5" hidden="1" customHeight="1">
      <c r="A13" s="271" t="s">
        <v>9</v>
      </c>
      <c r="B13" s="259" t="s">
        <v>2391</v>
      </c>
      <c r="C13" s="255"/>
      <c r="D13" s="1037"/>
      <c r="E13" s="262"/>
      <c r="F13" s="262"/>
      <c r="G13" s="263"/>
    </row>
    <row r="14" spans="1:8" s="258" customFormat="1" ht="13.5" hidden="1" customHeight="1">
      <c r="A14" s="271" t="s">
        <v>10</v>
      </c>
      <c r="B14" s="259" t="s">
        <v>2303</v>
      </c>
      <c r="C14" s="255"/>
      <c r="D14" s="1037"/>
      <c r="E14" s="262"/>
      <c r="F14" s="262"/>
      <c r="G14" s="263" t="s">
        <v>2392</v>
      </c>
    </row>
    <row r="15" spans="1:8" s="258" customFormat="1" ht="13.5" hidden="1" customHeight="1">
      <c r="A15" s="271" t="s">
        <v>11</v>
      </c>
      <c r="B15" s="259" t="s">
        <v>2393</v>
      </c>
      <c r="C15" s="264"/>
      <c r="D15" s="1037"/>
      <c r="E15" s="262"/>
      <c r="F15" s="262"/>
      <c r="G15" s="263" t="s">
        <v>2394</v>
      </c>
    </row>
    <row r="16" spans="1:8" s="258" customFormat="1" ht="13.5" hidden="1" customHeight="1">
      <c r="A16" s="271" t="s">
        <v>12</v>
      </c>
      <c r="B16" s="259" t="s">
        <v>2303</v>
      </c>
      <c r="C16" s="264"/>
      <c r="D16" s="1037"/>
      <c r="E16" s="262"/>
      <c r="F16" s="262"/>
      <c r="G16" s="263"/>
    </row>
    <row r="17" spans="1:7" s="258" customFormat="1" ht="13.5" hidden="1" customHeight="1">
      <c r="A17" s="271" t="s">
        <v>13</v>
      </c>
      <c r="B17" s="259" t="s">
        <v>2395</v>
      </c>
      <c r="C17" s="273"/>
      <c r="D17" s="1038"/>
      <c r="E17" s="273"/>
      <c r="F17" s="273"/>
      <c r="G17" s="263" t="s">
        <v>2394</v>
      </c>
    </row>
    <row r="18" spans="1:7" s="258" customFormat="1" ht="13.5" hidden="1" customHeight="1">
      <c r="A18" s="271" t="s">
        <v>14</v>
      </c>
      <c r="B18" s="259" t="s">
        <v>2396</v>
      </c>
      <c r="C18" s="264">
        <v>0</v>
      </c>
      <c r="D18" s="1037"/>
      <c r="E18" s="262"/>
      <c r="F18" s="265">
        <v>3.0499999999999999E-2</v>
      </c>
      <c r="G18" s="263" t="s">
        <v>2397</v>
      </c>
    </row>
    <row r="19" spans="1:7" s="267" customFormat="1" ht="13.5" customHeight="1">
      <c r="A19" s="299" t="s">
        <v>2398</v>
      </c>
      <c r="B19" s="254" t="s">
        <v>2399</v>
      </c>
      <c r="C19" s="255">
        <f ca="1">IF(G19="已包含在土地取得成本中","0",ROUND(D19*E19,0))</f>
        <v>3937998</v>
      </c>
      <c r="D19" s="1039">
        <f ca="1">D9+D10</f>
        <v>19689.989999999998</v>
      </c>
      <c r="E19" s="255">
        <f>'数据-取费表'!B31</f>
        <v>200</v>
      </c>
      <c r="F19" s="275"/>
      <c r="G19" s="2551"/>
    </row>
    <row r="20" spans="1:7" s="258" customFormat="1" ht="13.5" customHeight="1">
      <c r="A20" s="299" t="s">
        <v>2400</v>
      </c>
      <c r="B20" s="254" t="s">
        <v>2401</v>
      </c>
      <c r="C20" s="276">
        <f ca="1">ROUND((C5+C19)*F20,0)</f>
        <v>91316</v>
      </c>
      <c r="D20" s="276"/>
      <c r="E20" s="276"/>
      <c r="F20" s="277">
        <f>'数据-取费表'!B37</f>
        <v>0.02</v>
      </c>
      <c r="G20" s="278" t="s">
        <v>2402</v>
      </c>
    </row>
    <row r="21" spans="1:7" s="258" customFormat="1" ht="13.5" customHeight="1">
      <c r="A21" s="299" t="s">
        <v>2403</v>
      </c>
      <c r="B21" s="254" t="s">
        <v>2404</v>
      </c>
      <c r="C21" s="279">
        <f>F21</f>
        <v>0.02</v>
      </c>
      <c r="D21" s="280" t="s">
        <v>2405</v>
      </c>
      <c r="E21" s="276"/>
      <c r="F21" s="277">
        <f>'数据-取费表'!B38</f>
        <v>0.02</v>
      </c>
      <c r="G21" s="278" t="s">
        <v>2406</v>
      </c>
    </row>
    <row r="22" spans="1:7" s="258" customFormat="1" ht="13.5" customHeight="1">
      <c r="A22" s="299" t="s">
        <v>2407</v>
      </c>
      <c r="B22" s="254" t="s">
        <v>2408</v>
      </c>
      <c r="C22" s="1383">
        <f ca="1">ROUND(SUM(C23:C25),0)</f>
        <v>448391</v>
      </c>
      <c r="D22" s="279">
        <f ca="1">C26</f>
        <v>1E-3</v>
      </c>
      <c r="E22" s="280" t="s">
        <v>2405</v>
      </c>
      <c r="F22" s="281">
        <f ca="1">'数据-取费表'!B40</f>
        <v>4.7500000000000001E-2</v>
      </c>
      <c r="G22" s="278" t="str">
        <f>IF('数据-取费表'!B22&lt;=1,"单利计息","复利计息")</f>
        <v>复利计息</v>
      </c>
    </row>
    <row r="23" spans="1:7" s="258" customFormat="1" ht="13.5" customHeight="1">
      <c r="A23" s="954" t="s">
        <v>2298</v>
      </c>
      <c r="B23" s="259" t="s">
        <v>2409</v>
      </c>
      <c r="C23" s="1384">
        <f ca="1">ROUND(IF('数据-取费表'!B22&lt;=1,C5*F22*'数据-取费表'!B22,C5*(POWER((1+F22),'数据-取费表'!B22)-1)),0)</f>
        <v>61058</v>
      </c>
      <c r="D23" s="282"/>
      <c r="E23" s="282"/>
      <c r="F23" s="283"/>
      <c r="G23" s="284" t="s">
        <v>2410</v>
      </c>
    </row>
    <row r="24" spans="1:7" s="258" customFormat="1" ht="13.5" customHeight="1">
      <c r="A24" s="954" t="s">
        <v>2300</v>
      </c>
      <c r="B24" s="259" t="s">
        <v>2411</v>
      </c>
      <c r="C24" s="1384">
        <f ca="1">ROUND(IF('数据-取费表'!B22&lt;=1,C19*F22*('数据-取费表'!B19/2+'数据-取费表'!B20),C19*(POWER((1+F22),('数据-取费表'!B19/2+'数据-取费表'!B20))-1)),0)</f>
        <v>382995</v>
      </c>
      <c r="D24" s="282"/>
      <c r="E24" s="282"/>
      <c r="F24" s="283"/>
      <c r="G24" s="284" t="s">
        <v>2412</v>
      </c>
    </row>
    <row r="25" spans="1:7" s="258" customFormat="1" ht="24">
      <c r="A25" s="954" t="s">
        <v>2302</v>
      </c>
      <c r="B25" s="259" t="s">
        <v>2413</v>
      </c>
      <c r="C25" s="1384">
        <f ca="1">ROUND(IF('数据-取费表'!B22&lt;=1,C20*F22*'数据-取费表'!B22/2,C20*(POWER((1+F22),'数据-取费表'!B22/2)-1)),0)</f>
        <v>4338</v>
      </c>
      <c r="D25" s="282"/>
      <c r="E25" s="285"/>
      <c r="F25" s="283"/>
      <c r="G25" s="286" t="s">
        <v>2414</v>
      </c>
    </row>
    <row r="26" spans="1:7" s="258" customFormat="1">
      <c r="A26" s="954" t="s">
        <v>794</v>
      </c>
      <c r="B26" s="259" t="s">
        <v>2337</v>
      </c>
      <c r="C26" s="282">
        <f ca="1">ROUND(IF('数据-取费表'!B22&lt;=1,F21*F22*'数据-取费表'!B22/2,F21*(POWER((1+F22),'数据-取费表'!B22/2)-1)),4)</f>
        <v>1E-3</v>
      </c>
      <c r="D26" s="282"/>
      <c r="E26" s="285"/>
      <c r="F26" s="283"/>
      <c r="G26" s="287"/>
    </row>
    <row r="27" spans="1:7" s="258" customFormat="1" ht="24.75">
      <c r="A27" s="299" t="s">
        <v>2338</v>
      </c>
      <c r="B27" s="288" t="s">
        <v>2339</v>
      </c>
      <c r="C27" s="289">
        <f ca="1">C28</f>
        <v>1397136</v>
      </c>
      <c r="D27" s="279">
        <f ca="1">C29</f>
        <v>6.0000000000000001E-3</v>
      </c>
      <c r="E27" s="280" t="s">
        <v>2340</v>
      </c>
      <c r="F27" s="290">
        <f ca="1">IF(B1="",'数据-取费表'!Q16,INDIRECT("'数据-取费表'!q"&amp;$G$1))</f>
        <v>0.3</v>
      </c>
      <c r="G27" s="291" t="s">
        <v>2341</v>
      </c>
    </row>
    <row r="28" spans="1:7" s="258" customFormat="1" ht="13.5" customHeight="1">
      <c r="A28" s="954" t="s">
        <v>790</v>
      </c>
      <c r="B28" s="292" t="s">
        <v>2342</v>
      </c>
      <c r="C28" s="293">
        <f ca="1">ROUND((C5+C19+C20)*F27,0)</f>
        <v>1397136</v>
      </c>
      <c r="D28" s="279"/>
      <c r="E28" s="280"/>
      <c r="F28" s="290"/>
      <c r="G28" s="291"/>
    </row>
    <row r="29" spans="1:7" s="258" customFormat="1" ht="13.5" customHeight="1">
      <c r="A29" s="954" t="s">
        <v>791</v>
      </c>
      <c r="B29" s="292" t="s">
        <v>2343</v>
      </c>
      <c r="C29" s="282">
        <f ca="1">ROUND(C21*F27,4)</f>
        <v>6.0000000000000001E-3</v>
      </c>
      <c r="D29" s="279"/>
      <c r="E29" s="280"/>
      <c r="F29" s="290"/>
      <c r="G29" s="291"/>
    </row>
    <row r="30" spans="1:7" s="258" customFormat="1" ht="13.5" customHeight="1">
      <c r="A30" s="299" t="s">
        <v>2344</v>
      </c>
      <c r="B30" s="254" t="s">
        <v>2345</v>
      </c>
      <c r="C30" s="279">
        <f>ROUND(F30/(1+'数据-取费表'!C42),4)</f>
        <v>5.2400000000000002E-2</v>
      </c>
      <c r="D30" s="280" t="s">
        <v>2340</v>
      </c>
      <c r="E30" s="285"/>
      <c r="F30" s="281">
        <f>'数据-取费表'!B41</f>
        <v>5.5000000000000007E-2</v>
      </c>
      <c r="G30" s="278" t="s">
        <v>2346</v>
      </c>
    </row>
    <row r="31" spans="1:7" ht="16.5" customHeight="1">
      <c r="A31" s="253">
        <v>1</v>
      </c>
      <c r="B31" s="254" t="s">
        <v>2347</v>
      </c>
      <c r="C31" s="255">
        <f ca="1">ROUND((C5+C19+C20+C22+C27)/(1-C21-D22-D27-C30),0)</f>
        <v>7063489</v>
      </c>
      <c r="D31" s="274"/>
      <c r="E31" s="255"/>
      <c r="F31" s="294"/>
      <c r="G31" s="278" t="s">
        <v>2348</v>
      </c>
    </row>
    <row r="32" spans="1:7" s="252" customFormat="1" ht="15.75">
      <c r="A32" s="296" t="s">
        <v>2415</v>
      </c>
      <c r="B32" s="297"/>
      <c r="C32" s="297"/>
      <c r="D32" s="297"/>
      <c r="E32" s="297"/>
      <c r="F32" s="297"/>
      <c r="G32" s="298"/>
    </row>
    <row r="33" spans="1:7" s="258" customFormat="1" ht="13.5" customHeight="1">
      <c r="A33" s="299" t="s">
        <v>781</v>
      </c>
      <c r="B33" s="254" t="s">
        <v>2416</v>
      </c>
      <c r="C33" s="300">
        <f ca="1">SUM(C34:C38)</f>
        <v>63379560</v>
      </c>
      <c r="D33" s="276"/>
      <c r="E33" s="256"/>
      <c r="F33" s="285"/>
      <c r="G33" s="278"/>
    </row>
    <row r="34" spans="1:7" s="302" customFormat="1" ht="13.5" customHeight="1">
      <c r="A34" s="954" t="s">
        <v>790</v>
      </c>
      <c r="B34" s="259" t="s">
        <v>2351</v>
      </c>
      <c r="C34" s="264">
        <f ca="1">ROUND(IF(B1="",SUMPRODUCT('数据-取费表'!K6:K14,'数据-取费表'!L6:L14),INDIRECT("'数据-取费表'!l"&amp;$G$1)*INDIRECT("'数据-取费表'!k"&amp;$G$1)+'数据-取费表'!L14*INDIRECT("'数据-取费表'!S"&amp;$G$1)),0)</f>
        <v>52371420</v>
      </c>
      <c r="D34" s="261"/>
      <c r="E34" s="264"/>
      <c r="F34" s="301"/>
      <c r="G34" s="263"/>
    </row>
    <row r="35" spans="1:7" ht="13.5" customHeight="1">
      <c r="A35" s="954" t="s">
        <v>795</v>
      </c>
      <c r="B35" s="259" t="s">
        <v>2353</v>
      </c>
      <c r="C35" s="264">
        <f ca="1">ROUND(C34*F35,0)</f>
        <v>2094857</v>
      </c>
      <c r="D35" s="264"/>
      <c r="E35" s="264"/>
      <c r="F35" s="303">
        <f>'数据-取费表'!B33</f>
        <v>0.04</v>
      </c>
      <c r="G35" s="263" t="s">
        <v>2354</v>
      </c>
    </row>
    <row r="36" spans="1:7" ht="24">
      <c r="A36" s="954" t="s">
        <v>796</v>
      </c>
      <c r="B36" s="259" t="s">
        <v>2355</v>
      </c>
      <c r="C36" s="264">
        <f ca="1">ROUND(IF(B1="",SUM('数据-取费表'!AP6:AP13)*F36,IF(INDIRECT("'数据-取费表'!c"&amp;$G$1)="住宅",INDIRECT("'数据-取费表'!k"&amp;$G$1)*INDIRECT("'数据-取费表'!l"&amp;$G$1)*F36,0)),0)</f>
        <v>4189714</v>
      </c>
      <c r="D36" s="264"/>
      <c r="E36" s="264"/>
      <c r="F36" s="303">
        <f>'数据-取费表'!B34</f>
        <v>0.08</v>
      </c>
      <c r="G36" s="304" t="s">
        <v>2356</v>
      </c>
    </row>
    <row r="37" spans="1:7" s="302" customFormat="1" ht="13.5" customHeight="1">
      <c r="A37" s="954" t="s">
        <v>797</v>
      </c>
      <c r="B37" s="259" t="s">
        <v>2357</v>
      </c>
      <c r="C37" s="293">
        <f ca="1">ROUND(E37*D37,0)</f>
        <v>3937998</v>
      </c>
      <c r="D37" s="261">
        <f ca="1">D19</f>
        <v>19689.989999999998</v>
      </c>
      <c r="E37" s="293">
        <f>'数据-取费表'!B35</f>
        <v>200</v>
      </c>
      <c r="F37" s="303"/>
      <c r="G37" s="305"/>
    </row>
    <row r="38" spans="1:7" ht="13.5" customHeight="1">
      <c r="A38" s="954" t="s">
        <v>798</v>
      </c>
      <c r="B38" s="259" t="s">
        <v>2359</v>
      </c>
      <c r="C38" s="264">
        <f ca="1">ROUND(C34*F38,0)</f>
        <v>785571</v>
      </c>
      <c r="D38" s="264"/>
      <c r="E38" s="264"/>
      <c r="F38" s="303">
        <f>'数据-取费表'!B36</f>
        <v>1.4999999999999999E-2</v>
      </c>
      <c r="G38" s="263" t="s">
        <v>2354</v>
      </c>
    </row>
    <row r="39" spans="1:7" s="258" customFormat="1" ht="13.5" customHeight="1">
      <c r="A39" s="299" t="s">
        <v>2360</v>
      </c>
      <c r="B39" s="254" t="s">
        <v>2361</v>
      </c>
      <c r="C39" s="276">
        <f ca="1">ROUND(C33*F20,0)</f>
        <v>1267591</v>
      </c>
      <c r="D39" s="276"/>
      <c r="E39" s="276"/>
      <c r="F39" s="277"/>
      <c r="G39" s="278" t="s">
        <v>2362</v>
      </c>
    </row>
    <row r="40" spans="1:7" s="258" customFormat="1" ht="13.5" customHeight="1">
      <c r="A40" s="299" t="s">
        <v>2363</v>
      </c>
      <c r="B40" s="254" t="s">
        <v>2364</v>
      </c>
      <c r="C40" s="1730">
        <f>F21</f>
        <v>0.02</v>
      </c>
      <c r="D40" s="280" t="s">
        <v>2365</v>
      </c>
      <c r="E40" s="276"/>
      <c r="F40" s="277"/>
      <c r="G40" s="278" t="s">
        <v>2366</v>
      </c>
    </row>
    <row r="41" spans="1:7" s="258" customFormat="1" ht="13.5" customHeight="1">
      <c r="A41" s="299" t="s">
        <v>2367</v>
      </c>
      <c r="B41" s="254" t="s">
        <v>2368</v>
      </c>
      <c r="C41" s="276">
        <f ca="1">ROUND(SUM(C42:C43),0)</f>
        <v>3070740</v>
      </c>
      <c r="D41" s="279">
        <f ca="1">C44</f>
        <v>1E-3</v>
      </c>
      <c r="E41" s="280" t="s">
        <v>2365</v>
      </c>
      <c r="F41" s="281"/>
      <c r="G41" s="278" t="str">
        <f>IF('数据-取费表'!B22&lt;=1,"单利计息","复利计息")</f>
        <v>复利计息</v>
      </c>
    </row>
    <row r="42" spans="1:7" ht="13.5" customHeight="1">
      <c r="A42" s="954" t="s">
        <v>790</v>
      </c>
      <c r="B42" s="259" t="s">
        <v>2369</v>
      </c>
      <c r="C42" s="282">
        <f ca="1">ROUND(IF('数据-取费表'!B22&lt;=1,C33*F22*'数据-取费表'!B20/2,C33*(POWER((1+F22),'数据-取费表'!B20/2)-1)),0)</f>
        <v>3010529</v>
      </c>
      <c r="D42" s="282"/>
      <c r="E42" s="282"/>
      <c r="F42" s="283"/>
      <c r="G42" s="3186" t="s">
        <v>2417</v>
      </c>
    </row>
    <row r="43" spans="1:7" ht="13.5" customHeight="1">
      <c r="A43" s="954" t="s">
        <v>791</v>
      </c>
      <c r="B43" s="259" t="s">
        <v>2371</v>
      </c>
      <c r="C43" s="282">
        <f ca="1">ROUND(IF('数据-取费表'!B22&lt;=1,C39*F22*'数据-取费表'!B20/2,C39*(POWER((1+F22),'数据-取费表'!B20/2)-1)),0)</f>
        <v>60211</v>
      </c>
      <c r="D43" s="282"/>
      <c r="E43" s="282"/>
      <c r="F43" s="283"/>
      <c r="G43" s="3187"/>
    </row>
    <row r="44" spans="1:7" ht="13.5" customHeight="1">
      <c r="A44" s="954" t="s">
        <v>792</v>
      </c>
      <c r="B44" s="259" t="s">
        <v>2372</v>
      </c>
      <c r="C44" s="282">
        <f ca="1">ROUND(IF('数据-取费表'!B22&lt;=1,C40*F22*'数据-取费表'!B20/2,C40*(POWER((1+F22),'数据-取费表'!B20/2)-1)),4)</f>
        <v>1E-3</v>
      </c>
      <c r="D44" s="282"/>
      <c r="E44" s="282"/>
      <c r="F44" s="283"/>
      <c r="G44" s="3188"/>
    </row>
    <row r="45" spans="1:7" s="258" customFormat="1" ht="13.5" customHeight="1">
      <c r="A45" s="299" t="s">
        <v>2373</v>
      </c>
      <c r="B45" s="288" t="s">
        <v>2339</v>
      </c>
      <c r="C45" s="289">
        <f ca="1">C46</f>
        <v>19394145</v>
      </c>
      <c r="D45" s="279">
        <f ca="1">C47</f>
        <v>6.0000000000000001E-3</v>
      </c>
      <c r="E45" s="280" t="s">
        <v>2365</v>
      </c>
      <c r="F45" s="290"/>
      <c r="G45" s="291" t="s">
        <v>2374</v>
      </c>
    </row>
    <row r="46" spans="1:7" s="258" customFormat="1" ht="13.5" customHeight="1">
      <c r="A46" s="954" t="s">
        <v>790</v>
      </c>
      <c r="B46" s="292" t="s">
        <v>2375</v>
      </c>
      <c r="C46" s="293">
        <f ca="1">ROUND((C33+C39)*F27,0)</f>
        <v>19394145</v>
      </c>
      <c r="D46" s="307"/>
      <c r="E46" s="280"/>
      <c r="F46" s="290"/>
      <c r="G46" s="291"/>
    </row>
    <row r="47" spans="1:7" s="258" customFormat="1" ht="13.5" customHeight="1">
      <c r="A47" s="954" t="s">
        <v>791</v>
      </c>
      <c r="B47" s="292" t="s">
        <v>2376</v>
      </c>
      <c r="C47" s="282">
        <f ca="1">ROUND(C40*F27,4)</f>
        <v>6.0000000000000001E-3</v>
      </c>
      <c r="D47" s="307"/>
      <c r="E47" s="280"/>
      <c r="F47" s="290"/>
      <c r="G47" s="291"/>
    </row>
    <row r="48" spans="1:7" s="258" customFormat="1" ht="13.5" customHeight="1">
      <c r="A48" s="299" t="s">
        <v>2338</v>
      </c>
      <c r="B48" s="254" t="s">
        <v>2377</v>
      </c>
      <c r="C48" s="306">
        <f>ROUND(F30/(1+'数据-取费表'!C42),4)</f>
        <v>5.2400000000000002E-2</v>
      </c>
      <c r="D48" s="280" t="s">
        <v>2365</v>
      </c>
      <c r="E48" s="276"/>
      <c r="F48" s="281"/>
      <c r="G48" s="278" t="s">
        <v>2378</v>
      </c>
    </row>
    <row r="49" spans="1:7" ht="16.5" customHeight="1">
      <c r="A49" s="299" t="s">
        <v>2344</v>
      </c>
      <c r="B49" s="254" t="s">
        <v>2418</v>
      </c>
      <c r="C49" s="276">
        <f ca="1">ROUND((C33+C39+C41+C45)/(1-C40-D41-D45-C48),0)</f>
        <v>94625284</v>
      </c>
      <c r="D49" s="276"/>
      <c r="E49" s="276"/>
      <c r="F49" s="308"/>
      <c r="G49" s="278" t="s">
        <v>2380</v>
      </c>
    </row>
    <row r="50" spans="1:7" s="302" customFormat="1">
      <c r="A50" s="299" t="s">
        <v>2381</v>
      </c>
      <c r="B50" s="254" t="s">
        <v>2382</v>
      </c>
      <c r="C50" s="276"/>
      <c r="D50" s="276"/>
      <c r="E50" s="276"/>
      <c r="F50" s="308">
        <f>IF('数据-取费表'!B24=0,'数据-取费表'!N16,1)</f>
        <v>1</v>
      </c>
      <c r="G50" s="291"/>
    </row>
    <row r="51" spans="1:7" ht="16.5" customHeight="1">
      <c r="A51" s="299" t="s">
        <v>2384</v>
      </c>
      <c r="B51" s="254" t="s">
        <v>2419</v>
      </c>
      <c r="C51" s="276">
        <f ca="1">ROUND(C49*F50,0)</f>
        <v>94625284</v>
      </c>
      <c r="D51" s="276"/>
      <c r="E51" s="276"/>
      <c r="F51" s="308"/>
      <c r="G51" s="278" t="s">
        <v>2386</v>
      </c>
    </row>
    <row r="52" spans="1:7" s="252" customFormat="1" ht="16.5" thickBot="1">
      <c r="A52" s="309" t="s">
        <v>2387</v>
      </c>
      <c r="B52" s="310"/>
      <c r="C52" s="311">
        <f ca="1">C31+C51</f>
        <v>101688773</v>
      </c>
      <c r="D52" s="310"/>
      <c r="E52" s="310"/>
      <c r="F52" s="310"/>
      <c r="G52" s="312"/>
    </row>
    <row r="55" spans="1:7" ht="15">
      <c r="B55" s="314" t="s">
        <v>2388</v>
      </c>
      <c r="C55" s="315"/>
    </row>
    <row r="56" spans="1:7">
      <c r="B56" s="317" t="s">
        <v>1509</v>
      </c>
      <c r="C56" s="319">
        <f ca="1">1-C57</f>
        <v>6.899999999999995E-2</v>
      </c>
    </row>
    <row r="57" spans="1:7">
      <c r="B57" s="317" t="s">
        <v>1510</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6" sqref="M1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2420</v>
      </c>
      <c r="B1" s="1583"/>
      <c r="C1" s="1584"/>
      <c r="D1" s="1582"/>
      <c r="E1" s="320"/>
      <c r="F1" s="320"/>
      <c r="G1" s="1583"/>
      <c r="H1" s="320"/>
      <c r="I1" s="320"/>
      <c r="J1" s="320"/>
      <c r="K1" s="320">
        <f>MATCH(C1,'数据-取费表'!A6:A16,0)+5</f>
        <v>7</v>
      </c>
    </row>
    <row r="2" spans="1:33" ht="18" customHeight="1">
      <c r="A2" s="245" t="s">
        <v>2288</v>
      </c>
      <c r="B2" s="248">
        <f ca="1">C32</f>
        <v>17755</v>
      </c>
      <c r="C2" s="320" t="s">
        <v>2421</v>
      </c>
      <c r="D2" s="320"/>
      <c r="E2" s="320"/>
      <c r="F2" s="320"/>
      <c r="G2" s="320"/>
      <c r="H2" s="320"/>
      <c r="I2" s="320"/>
      <c r="J2" s="320"/>
      <c r="K2" s="320"/>
    </row>
    <row r="3" spans="1:33" ht="18" customHeight="1" thickBot="1">
      <c r="A3" s="247" t="s">
        <v>2290</v>
      </c>
      <c r="B3" s="248">
        <f ca="1">ROUND(B2*10000/IF(C1="",'数据-汇总表'!E3,INDIRECT("'数据-取费表'!K"&amp;$K$1)),0)</f>
        <v>9017</v>
      </c>
      <c r="C3" s="320" t="s">
        <v>2422</v>
      </c>
      <c r="D3" s="320"/>
      <c r="E3" s="320"/>
      <c r="F3" s="320"/>
      <c r="G3" s="320"/>
      <c r="H3" s="320"/>
      <c r="I3" s="320"/>
      <c r="J3" s="320"/>
      <c r="K3" s="320"/>
    </row>
    <row r="4" spans="1:33" s="959" customFormat="1" ht="16.5" customHeight="1">
      <c r="A4" s="956" t="s">
        <v>2423</v>
      </c>
      <c r="B4" s="957"/>
      <c r="C4" s="999">
        <f>SUM(C8:K8)</f>
        <v>31428</v>
      </c>
      <c r="D4" s="957"/>
      <c r="E4" s="957"/>
      <c r="F4" s="957"/>
      <c r="G4" s="957"/>
      <c r="H4" s="957"/>
      <c r="I4" s="957"/>
      <c r="J4" s="957"/>
      <c r="K4" s="958"/>
    </row>
    <row r="5" spans="1:33" s="963" customFormat="1" ht="15">
      <c r="A5" s="960" t="s">
        <v>2424</v>
      </c>
      <c r="B5" s="961" t="s">
        <v>2425</v>
      </c>
      <c r="C5" s="2555" t="s">
        <v>3025</v>
      </c>
      <c r="D5" s="2555"/>
      <c r="E5" s="2555"/>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2426</v>
      </c>
      <c r="C6" s="965">
        <f>'比较法-住宅'!B3</f>
        <v>18003</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2427</v>
      </c>
      <c r="B7" s="140" t="s">
        <v>2428</v>
      </c>
      <c r="C7" s="321">
        <f>SUMIF('数据-汇总表'!$C19:$C33,假设开发法!C5,'数据-汇总表'!$E19:$E33)</f>
        <v>17457.14</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2429</v>
      </c>
      <c r="B8" s="177" t="s">
        <v>2430</v>
      </c>
      <c r="C8" s="1000">
        <f>'比较法-住宅'!B2</f>
        <v>31428</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2431</v>
      </c>
      <c r="B9" s="957"/>
      <c r="C9" s="957"/>
      <c r="D9" s="957"/>
      <c r="E9" s="957"/>
      <c r="F9" s="957"/>
      <c r="G9" s="957"/>
      <c r="H9" s="957"/>
      <c r="I9" s="957"/>
      <c r="J9" s="957"/>
      <c r="K9" s="958"/>
    </row>
    <row r="10" spans="1:33" s="973" customFormat="1" ht="13.5" customHeight="1">
      <c r="A10" s="960" t="s">
        <v>2432</v>
      </c>
      <c r="B10" s="8" t="s">
        <v>2433</v>
      </c>
      <c r="C10" s="969" t="s">
        <v>2434</v>
      </c>
      <c r="D10" s="970" t="s">
        <v>2435</v>
      </c>
      <c r="E10" s="970" t="s">
        <v>2436</v>
      </c>
      <c r="F10" s="970" t="s">
        <v>2437</v>
      </c>
      <c r="G10" s="8"/>
      <c r="H10" s="971"/>
      <c r="I10" s="971"/>
      <c r="J10" s="971"/>
      <c r="K10" s="972"/>
    </row>
    <row r="11" spans="1:33" s="978" customFormat="1" ht="13.5" customHeight="1">
      <c r="A11" s="974" t="s">
        <v>1330</v>
      </c>
      <c r="B11" s="975" t="s">
        <v>2438</v>
      </c>
      <c r="C11" s="323">
        <f ca="1">IF(C1="",'数据-取费表'!P16,INDIRECT("'数据-取费表'!p"&amp;$K$1)+INDIRECT("'数据-取费表'!ar"&amp;$K$1))</f>
        <v>3404</v>
      </c>
      <c r="D11" s="976"/>
      <c r="E11" s="375"/>
      <c r="F11" s="977">
        <f ca="1">1-IF('数据-取费表'!B24=0,1,IF(C1="",'数据-取费表'!N16,INDIRECT("'数据-取费表'!n"&amp;$K$1)))</f>
        <v>0.65</v>
      </c>
      <c r="G11" s="8"/>
      <c r="H11" s="971"/>
      <c r="I11" s="971"/>
      <c r="J11" s="971"/>
      <c r="K11" s="972"/>
    </row>
    <row r="12" spans="1:33" s="978" customFormat="1" ht="13.5" customHeight="1">
      <c r="A12" s="974" t="s">
        <v>1331</v>
      </c>
      <c r="B12" s="975" t="s">
        <v>2439</v>
      </c>
      <c r="C12" s="24">
        <f ca="1">ROUND(C11*F12,0)</f>
        <v>136</v>
      </c>
      <c r="D12" s="976"/>
      <c r="E12" s="375"/>
      <c r="F12" s="979">
        <f>'数据-取费表'!B33</f>
        <v>0.04</v>
      </c>
      <c r="G12" s="8" t="s">
        <v>2440</v>
      </c>
      <c r="H12" s="971"/>
      <c r="I12" s="971"/>
      <c r="J12" s="971"/>
      <c r="K12" s="972"/>
    </row>
    <row r="13" spans="1:33" s="978" customFormat="1" ht="13.5" customHeight="1">
      <c r="A13" s="974" t="s">
        <v>1332</v>
      </c>
      <c r="B13" s="975" t="s">
        <v>2441</v>
      </c>
      <c r="C13" s="24">
        <f ca="1">ROUND(IF(C1="",SUMIF('数据-取费表'!C:C,"住宅",'数据-取费表'!P:P)*F13,IF(INDIRECT("'数据-取费表'!c"&amp;$K$1)="住宅",INDIRECT("'数据-取费表'!P"&amp;$K$1)*F13,0)),0)</f>
        <v>272</v>
      </c>
      <c r="D13" s="1036"/>
      <c r="E13" s="375"/>
      <c r="F13" s="979">
        <f>'数据-取费表'!B34</f>
        <v>0.08</v>
      </c>
      <c r="G13" s="8" t="s">
        <v>2442</v>
      </c>
      <c r="H13" s="971"/>
      <c r="I13" s="971"/>
      <c r="J13" s="971"/>
      <c r="K13" s="972"/>
    </row>
    <row r="14" spans="1:33" s="980" customFormat="1" ht="13.5" customHeight="1">
      <c r="A14" s="974" t="s">
        <v>1333</v>
      </c>
      <c r="B14" s="975" t="s">
        <v>2443</v>
      </c>
      <c r="C14" s="24">
        <f ca="1">ROUND(D14*E14*F11/10000,0)</f>
        <v>256</v>
      </c>
      <c r="D14" s="1036">
        <f ca="1">IF(C1="",'数据-汇总表'!E3,INDIRECT("'数据-取费表'!K"&amp;$K$1)+INDIRECT("'数据-取费表'!S"&amp;$K$1))</f>
        <v>19689.989999999998</v>
      </c>
      <c r="E14" s="24">
        <f>'数据-取费表'!B35</f>
        <v>200</v>
      </c>
      <c r="F14" s="979"/>
      <c r="G14" s="8" t="s">
        <v>2444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2445</v>
      </c>
      <c r="C15" s="986">
        <f ca="1">ROUND(C11*F15,0)</f>
        <v>51</v>
      </c>
      <c r="D15" s="981"/>
      <c r="E15" s="986"/>
      <c r="F15" s="987">
        <f>'数据-取费表'!B36</f>
        <v>1.4999999999999999E-2</v>
      </c>
      <c r="G15" s="140" t="s">
        <v>2446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2447</v>
      </c>
      <c r="C16" s="986">
        <f ca="1">SUM(C11:C15)</f>
        <v>4119</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2448</v>
      </c>
      <c r="C17" s="24">
        <f ca="1">ROUND(D17*E17/10000,0)</f>
        <v>0</v>
      </c>
      <c r="D17" s="1036">
        <f ca="1">D14</f>
        <v>19689.989999999998</v>
      </c>
      <c r="E17" s="24">
        <f>'数据-取费表'!B32</f>
        <v>0</v>
      </c>
      <c r="F17" s="981"/>
      <c r="G17" s="140" t="s">
        <v>2449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2450</v>
      </c>
      <c r="C18" s="24">
        <f ca="1">C19+C20-IF(C1="",'数据-取费表'!B29,IF(G18="已全部缴纳",C19+C20,H18))</f>
        <v>63</v>
      </c>
      <c r="D18" s="1036"/>
      <c r="E18" s="24"/>
      <c r="F18" s="979"/>
      <c r="G18" s="2557" t="s">
        <v>3129</v>
      </c>
      <c r="H18" s="1579"/>
      <c r="I18" s="2558" t="s">
        <v>2451</v>
      </c>
      <c r="J18" s="982"/>
      <c r="K18" s="983"/>
    </row>
    <row r="19" spans="1:33" s="978" customFormat="1" ht="13.5" customHeight="1">
      <c r="A19" s="974" t="s">
        <v>804</v>
      </c>
      <c r="B19" s="975" t="s">
        <v>2452</v>
      </c>
      <c r="C19" s="24">
        <f ca="1">ROUND(D19*E19/10000,0)</f>
        <v>58</v>
      </c>
      <c r="D19" s="1036">
        <f ca="1">IF(C1="",'数据-汇总表'!E5,IF(INDIRECT("'数据-取费表'!c"&amp;$K$1)="住宅",INDIRECT("'数据-取费表'!k"&amp;$K$1),0))</f>
        <v>17457.14</v>
      </c>
      <c r="E19" s="24">
        <f>'数据-取费表'!B27</f>
        <v>33.200000000000003</v>
      </c>
      <c r="F19" s="979"/>
      <c r="G19" s="15"/>
      <c r="H19" s="1581"/>
      <c r="I19" s="984"/>
      <c r="J19" s="984"/>
      <c r="K19" s="985"/>
    </row>
    <row r="20" spans="1:33" s="978" customFormat="1" ht="13.5" customHeight="1">
      <c r="A20" s="974" t="s">
        <v>805</v>
      </c>
      <c r="B20" s="975" t="s">
        <v>2453</v>
      </c>
      <c r="C20" s="24">
        <f ca="1">ROUND(D20*E20/10000,0)</f>
        <v>5</v>
      </c>
      <c r="D20" s="1036">
        <f ca="1">IF(C1="",'数据-汇总表'!E6,IF(INDIRECT("'数据-取费表'!c"&amp;$K$1)="住宅",INDIRECT("'数据-取费表'!s"&amp;$K$1),INDIRECT("'数据-取费表'!k"&amp;$K$1)+INDIRECT("'数据-取费表'!s"&amp;$K$1)))</f>
        <v>2232.8499999999985</v>
      </c>
      <c r="E20" s="24">
        <f>'数据-取费表'!B28</f>
        <v>21.6</v>
      </c>
      <c r="F20" s="979"/>
      <c r="G20" s="15"/>
      <c r="H20" s="984"/>
      <c r="I20" s="984"/>
      <c r="J20" s="984"/>
      <c r="K20" s="985"/>
    </row>
    <row r="21" spans="1:33" s="978" customFormat="1" ht="13.5" customHeight="1">
      <c r="A21" s="964" t="s">
        <v>801</v>
      </c>
      <c r="B21" s="988" t="s">
        <v>2454</v>
      </c>
      <c r="C21" s="989">
        <f ca="1">C16+C17+C18</f>
        <v>4182</v>
      </c>
      <c r="D21" s="990"/>
      <c r="E21" s="325"/>
      <c r="F21" s="325"/>
      <c r="G21" s="140" t="s">
        <v>2455</v>
      </c>
      <c r="H21" s="982"/>
      <c r="I21" s="982"/>
      <c r="J21" s="982"/>
      <c r="K21" s="983"/>
    </row>
    <row r="22" spans="1:33" s="978" customFormat="1" ht="13.5" customHeight="1">
      <c r="A22" s="964" t="s">
        <v>2427</v>
      </c>
      <c r="B22" s="988" t="s">
        <v>2456</v>
      </c>
      <c r="C22" s="989">
        <f ca="1">ROUND(C21*F22,0)</f>
        <v>84</v>
      </c>
      <c r="D22" s="325"/>
      <c r="E22" s="325"/>
      <c r="F22" s="991">
        <f>'数据-取费表'!B37</f>
        <v>0.02</v>
      </c>
      <c r="G22" s="8" t="s">
        <v>2457</v>
      </c>
      <c r="H22" s="971"/>
      <c r="I22" s="971"/>
      <c r="J22" s="971"/>
      <c r="K22" s="972"/>
    </row>
    <row r="23" spans="1:33" s="978" customFormat="1" ht="13.5" customHeight="1">
      <c r="A23" s="964" t="s">
        <v>2429</v>
      </c>
      <c r="B23" s="988" t="s">
        <v>2458</v>
      </c>
      <c r="C23" s="989">
        <f ca="1">ROUND(C4*F23*F11,0)</f>
        <v>409</v>
      </c>
      <c r="D23" s="325"/>
      <c r="E23" s="325"/>
      <c r="F23" s="991">
        <f>'数据-取费表'!B38</f>
        <v>0.02</v>
      </c>
      <c r="G23" s="8" t="s">
        <v>2459</v>
      </c>
      <c r="H23" s="971"/>
      <c r="I23" s="971"/>
      <c r="J23" s="971"/>
      <c r="K23" s="972"/>
    </row>
    <row r="24" spans="1:33" s="978" customFormat="1" ht="13.5" customHeight="1">
      <c r="A24" s="964" t="s">
        <v>2460</v>
      </c>
      <c r="B24" s="988" t="s">
        <v>2461</v>
      </c>
      <c r="C24" s="324">
        <f>ROUND(F24/(1+'数据-取费表'!C42),4)</f>
        <v>3.8600000000000002E-2</v>
      </c>
      <c r="D24" s="325" t="s">
        <v>15</v>
      </c>
      <c r="E24" s="325"/>
      <c r="F24" s="991">
        <f>'数据-取费表'!B48+'数据-取费表'!B49</f>
        <v>4.0500000000000001E-2</v>
      </c>
      <c r="G24" s="8" t="s">
        <v>2462</v>
      </c>
      <c r="H24" s="993"/>
      <c r="I24" s="993"/>
      <c r="J24" s="993"/>
      <c r="K24" s="994"/>
    </row>
    <row r="25" spans="1:33" s="978" customFormat="1" ht="13.5" customHeight="1">
      <c r="A25" s="964" t="s">
        <v>2463</v>
      </c>
      <c r="B25" s="990" t="s">
        <v>2464</v>
      </c>
      <c r="C25" s="1359">
        <f ca="1">C27</f>
        <v>154</v>
      </c>
      <c r="D25" s="324">
        <f ca="1">C26</f>
        <v>6.9699999999999998E-2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2465</v>
      </c>
      <c r="C26" s="1360">
        <f ca="1">ROUND(IF('数据-取费表'!B22&lt;=1,(1+C24)*F25*'数据-取费表'!B24,(1+C24)*(POWER((1+F25),'数据-取费表'!B24)-1)),4)</f>
        <v>6.9699999999999998E-2</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2466</v>
      </c>
      <c r="C27" s="1361">
        <f ca="1">ROUND(IF('数据-取费表'!B22&lt;=1,(C21+C22+C23)*F25*'数据-取费表'!B24/2,(C21+C22+C23)*(POWER((1+F25),'数据-取费表'!B24/2)-1)),0)</f>
        <v>154</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2467</v>
      </c>
      <c r="B28" s="2560" t="s">
        <v>2468</v>
      </c>
      <c r="C28" s="331">
        <f ca="1">C30</f>
        <v>1403</v>
      </c>
      <c r="D28" s="324">
        <f ca="1">C29</f>
        <v>0.21809999999999999</v>
      </c>
      <c r="E28" s="326" t="s">
        <v>15</v>
      </c>
      <c r="F28" s="332">
        <f ca="1">IF(C1="",'数据-取费表'!Q16,INDIRECT("'数据-取费表'!q"&amp;$K$1))</f>
        <v>0.3</v>
      </c>
      <c r="G28" s="992"/>
      <c r="H28" s="993"/>
      <c r="I28" s="993"/>
      <c r="J28" s="993"/>
      <c r="K28" s="994"/>
    </row>
    <row r="29" spans="1:33" s="335" customFormat="1" ht="13.5" customHeight="1">
      <c r="A29" s="974" t="s">
        <v>802</v>
      </c>
      <c r="B29" s="997" t="s">
        <v>2469</v>
      </c>
      <c r="C29" s="328">
        <f ca="1">ROUND((1+C24)*F28*'数据-取费表'!B24/'数据-取费表'!B20,4)</f>
        <v>0.21809999999999999</v>
      </c>
      <c r="D29" s="328"/>
      <c r="E29" s="329"/>
      <c r="F29" s="334"/>
      <c r="G29" s="140" t="s">
        <v>2470</v>
      </c>
      <c r="H29" s="982"/>
      <c r="I29" s="982"/>
      <c r="J29" s="982"/>
      <c r="K29" s="983"/>
    </row>
    <row r="30" spans="1:33" s="335" customFormat="1" ht="13.5" customHeight="1">
      <c r="A30" s="974" t="s">
        <v>803</v>
      </c>
      <c r="B30" s="997" t="s">
        <v>2471</v>
      </c>
      <c r="C30" s="336">
        <f ca="1">ROUND((C21+C22+C23)*F28,0)</f>
        <v>1403</v>
      </c>
      <c r="D30" s="328"/>
      <c r="E30" s="329"/>
      <c r="F30" s="334"/>
      <c r="G30" s="140"/>
      <c r="H30" s="982"/>
      <c r="I30" s="982"/>
      <c r="J30" s="982"/>
      <c r="K30" s="983"/>
    </row>
    <row r="31" spans="1:33" s="978" customFormat="1" ht="13.5" customHeight="1" thickBot="1">
      <c r="A31" s="2561" t="s">
        <v>2472</v>
      </c>
      <c r="B31" s="1008" t="s">
        <v>2473</v>
      </c>
      <c r="C31" s="1009">
        <f>ROUND(C4*F31/(1+'数据-取费表'!C42),0)</f>
        <v>1646</v>
      </c>
      <c r="D31" s="1010"/>
      <c r="E31" s="1011"/>
      <c r="F31" s="1012">
        <f>'数据-取费表'!B41</f>
        <v>5.5000000000000007E-2</v>
      </c>
      <c r="G31" s="1013" t="s">
        <v>2474</v>
      </c>
      <c r="H31" s="1014"/>
      <c r="I31" s="1014"/>
      <c r="J31" s="1014"/>
      <c r="K31" s="1015"/>
    </row>
    <row r="32" spans="1:33" s="973" customFormat="1" ht="13.5" customHeight="1" thickBot="1">
      <c r="A32" s="1003" t="s">
        <v>2475</v>
      </c>
      <c r="B32" s="1004"/>
      <c r="C32" s="1005">
        <f ca="1">ROUND((C4-C21-C22-C23-C25-C28-C31)/(1+C24+D25+D28),0)</f>
        <v>17755</v>
      </c>
      <c r="D32" s="1004"/>
      <c r="E32" s="1004"/>
      <c r="F32" s="1004"/>
      <c r="G32" s="1006" t="s">
        <v>2476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1034</v>
      </c>
      <c r="B6" s="3191" t="s">
        <v>1399</v>
      </c>
      <c r="C6" s="1299">
        <f ca="1">ROUND(F6*F8*F7*(1-F9)/10000,0)</f>
        <v>0</v>
      </c>
      <c r="D6" s="164" t="s">
        <v>2989</v>
      </c>
      <c r="E6" s="347" t="s">
        <v>1401</v>
      </c>
      <c r="F6" s="348">
        <f ca="1">INDIRECT("'数据-取费表'!u"&amp;$G$1)</f>
        <v>0</v>
      </c>
      <c r="G6" s="1853"/>
      <c r="H6" s="1294" t="s">
        <v>1034</v>
      </c>
      <c r="I6" s="3191" t="s">
        <v>1399</v>
      </c>
      <c r="J6" s="346">
        <f ca="1">ROUND(M6*M8*M7*(1-M9)/10000,0)</f>
        <v>0</v>
      </c>
      <c r="K6" s="164" t="s">
        <v>2988</v>
      </c>
      <c r="L6" s="347" t="s">
        <v>1401</v>
      </c>
      <c r="M6" s="348">
        <f ca="1">INDIRECT("'数据-取费表'!z"&amp;$G$1)</f>
        <v>0</v>
      </c>
    </row>
    <row r="7" spans="1:37" ht="18" customHeight="1">
      <c r="A7" s="1298"/>
      <c r="B7" s="3192"/>
      <c r="C7" s="1300"/>
      <c r="D7" s="352"/>
      <c r="E7" s="1301" t="s">
        <v>1402</v>
      </c>
      <c r="F7" s="348">
        <f ca="1">IF(INDIRECT("'数据-取费表'!ah"&amp;$G$1)="",INDIRECT("'数据-取费表'!k"&amp;$G$1),INDIRECT("'数据-取费表'!ah"&amp;$G$1))</f>
        <v>0</v>
      </c>
      <c r="G7" s="1853"/>
      <c r="H7" s="349"/>
      <c r="I7" s="3192"/>
      <c r="J7" s="351"/>
      <c r="K7" s="352"/>
      <c r="L7" s="347" t="s">
        <v>1402</v>
      </c>
      <c r="M7" s="348">
        <f ca="1">F7</f>
        <v>0</v>
      </c>
    </row>
    <row r="8" spans="1:37" ht="18" customHeight="1">
      <c r="A8" s="349"/>
      <c r="B8" s="3192"/>
      <c r="C8" s="351"/>
      <c r="D8" s="352"/>
      <c r="E8" s="347" t="s">
        <v>1403</v>
      </c>
      <c r="F8" s="348">
        <f ca="1">INDIRECT("'数据-取费表'!ai"&amp;$G$1)</f>
        <v>0</v>
      </c>
      <c r="G8" s="1853"/>
      <c r="H8" s="349"/>
      <c r="I8" s="3192"/>
      <c r="J8" s="351"/>
      <c r="K8" s="352"/>
      <c r="L8" s="347" t="s">
        <v>1403</v>
      </c>
      <c r="M8" s="348">
        <f ca="1">INDIRECT("'数据-取费表'!ai"&amp;$G$1)</f>
        <v>0</v>
      </c>
    </row>
    <row r="9" spans="1:37" ht="18" customHeight="1">
      <c r="A9" s="349"/>
      <c r="B9" s="3193"/>
      <c r="C9" s="351"/>
      <c r="D9" s="352"/>
      <c r="E9" s="347" t="s">
        <v>1404</v>
      </c>
      <c r="F9" s="357">
        <f ca="1">INDIRECT("'数据-取费表'!w"&amp;$G$1)</f>
        <v>0</v>
      </c>
      <c r="G9" s="1853"/>
      <c r="H9" s="349"/>
      <c r="I9" s="3193"/>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2998</v>
      </c>
      <c r="E10" s="358" t="s">
        <v>1406</v>
      </c>
      <c r="F10" s="1369"/>
      <c r="G10" s="1853"/>
      <c r="H10" s="1294" t="s">
        <v>1038</v>
      </c>
      <c r="I10" s="1825" t="s">
        <v>1405</v>
      </c>
      <c r="J10" s="346">
        <f ca="1">ROUND(IF(M10="押一",J6/12*M11,IF(M10="押二",J6/12*2*M11,IF(M10="押三",J6/12*3*M11,J11*M11))),0)</f>
        <v>0</v>
      </c>
      <c r="K10" s="1826" t="s">
        <v>2997</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0.04</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1034</v>
      </c>
      <c r="I17" s="347" t="s">
        <v>1425</v>
      </c>
      <c r="J17" s="24">
        <f ca="1">ROUND(IF(项目基本情况!B11="自然人",J5*M17,J18+J19+J20),1)</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1033</v>
      </c>
      <c r="B32" s="347" t="s">
        <v>1429</v>
      </c>
      <c r="C32" s="24">
        <f ca="1">IF(项目基本情况!B11="自然人","——",ROUND(C5*F32/(1+'数据-取费表'!C42),2))</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3</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ROUND(F49*F51*F50*(1-F52)/10000,0)</f>
        <v>0</v>
      </c>
      <c r="D49" s="1279" t="s">
        <v>2990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24.75" thickBot="1">
      <c r="A53" s="1408" t="s">
        <v>1136</v>
      </c>
      <c r="B53" s="1833" t="s">
        <v>1405</v>
      </c>
      <c r="C53" s="361">
        <f ca="1">ROUND(IF(F53="押一",C49/12*F11,IF(F53="押二",C49/12*2*F11,IF(F53="押三",C49/12*3*F11,C54*F11))),0)</f>
        <v>0</v>
      </c>
      <c r="D53" s="1826" t="s">
        <v>2997</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89" t="s">
        <v>1544</v>
      </c>
      <c r="L53" s="3190"/>
      <c r="O53" s="1886" t="s">
        <v>1045</v>
      </c>
      <c r="P53" s="1887" t="s">
        <v>1545</v>
      </c>
      <c r="Q53" s="1888" t="e">
        <f ca="1">Q47+Q48</f>
        <v>#DIV/0!</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1040</v>
      </c>
      <c r="P57" s="1887" t="s">
        <v>1554</v>
      </c>
      <c r="Q57" s="1888" t="e">
        <f ca="1">L60</f>
        <v>#DIV/0!</v>
      </c>
      <c r="R57" s="1888" t="s">
        <v>1555</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3</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c r="O70" s="1896" t="s">
        <v>1048</v>
      </c>
      <c r="P70" s="1936" t="s">
        <v>1581</v>
      </c>
      <c r="Q70" s="1888">
        <f ca="1">C13</f>
        <v>0</v>
      </c>
      <c r="R70" s="1888" t="s">
        <v>1525</v>
      </c>
    </row>
    <row r="71" spans="1:18" s="1844" customFormat="1" ht="13.5" thickBot="1">
      <c r="A71" s="1193" t="s">
        <v>1032</v>
      </c>
      <c r="B71" s="1194" t="s">
        <v>1483</v>
      </c>
      <c r="C71" s="382" t="e">
        <f ca="1">ROUND(C68*10000/F71,0)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191" t="s">
        <v>1399</v>
      </c>
      <c r="C6" s="1299">
        <f ca="1">ROUND(F6*F8*F7*(1-F9),0)</f>
        <v>0</v>
      </c>
      <c r="D6" s="164" t="s">
        <v>2986</v>
      </c>
      <c r="E6" s="347" t="s">
        <v>1401</v>
      </c>
      <c r="F6" s="348">
        <f ca="1">INDIRECT("'数据-取费表'!u"&amp;$G$1)</f>
        <v>0</v>
      </c>
      <c r="G6" s="1853"/>
      <c r="H6" s="1294" t="s">
        <v>1034</v>
      </c>
      <c r="I6" s="3191" t="s">
        <v>1399</v>
      </c>
      <c r="J6" s="346">
        <f ca="1">ROUND(M6*M8*M7*(1-M9),0)</f>
        <v>0</v>
      </c>
      <c r="K6" s="1836" t="s">
        <v>2987</v>
      </c>
      <c r="L6" s="347" t="s">
        <v>1401</v>
      </c>
      <c r="M6" s="348">
        <f ca="1">INDIRECT("'数据-取费表'!z"&amp;$G$1)</f>
        <v>0</v>
      </c>
    </row>
    <row r="7" spans="1:37" ht="18" customHeight="1">
      <c r="A7" s="1298"/>
      <c r="B7" s="3192"/>
      <c r="C7" s="1300"/>
      <c r="D7" s="352"/>
      <c r="E7" s="1301" t="s">
        <v>1402</v>
      </c>
      <c r="F7" s="348">
        <f ca="1">IF(INDIRECT("'数据-取费表'!ah"&amp;$G$1)="",INDIRECT("'数据-取费表'!k"&amp;$G$1),INDIRECT("'数据-取费表'!ah"&amp;$G$1))</f>
        <v>0</v>
      </c>
      <c r="G7" s="1853"/>
      <c r="H7" s="349"/>
      <c r="I7" s="3192"/>
      <c r="J7" s="351"/>
      <c r="K7" s="352"/>
      <c r="L7" s="347" t="s">
        <v>1402</v>
      </c>
      <c r="M7" s="348">
        <f ca="1">F7</f>
        <v>0</v>
      </c>
    </row>
    <row r="8" spans="1:37" ht="18" customHeight="1">
      <c r="A8" s="349"/>
      <c r="B8" s="3192"/>
      <c r="C8" s="351"/>
      <c r="D8" s="352"/>
      <c r="E8" s="347" t="s">
        <v>1403</v>
      </c>
      <c r="F8" s="348">
        <f ca="1">INDIRECT("'数据-取费表'!ai"&amp;$G$1)</f>
        <v>0</v>
      </c>
      <c r="G8" s="1853"/>
      <c r="H8" s="349"/>
      <c r="I8" s="3192"/>
      <c r="J8" s="351"/>
      <c r="K8" s="352"/>
      <c r="L8" s="347" t="s">
        <v>1403</v>
      </c>
      <c r="M8" s="348">
        <f ca="1">INDIRECT("'数据-取费表'!ai"&amp;$G$1)</f>
        <v>0</v>
      </c>
    </row>
    <row r="9" spans="1:37" ht="18" customHeight="1">
      <c r="A9" s="349"/>
      <c r="B9" s="3193"/>
      <c r="C9" s="351"/>
      <c r="D9" s="352"/>
      <c r="E9" s="347" t="s">
        <v>1404</v>
      </c>
      <c r="F9" s="357">
        <f ca="1">INDIRECT("'数据-取费表'!w"&amp;$G$1)</f>
        <v>0</v>
      </c>
      <c r="G9" s="1853"/>
      <c r="H9" s="349"/>
      <c r="I9" s="3193"/>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2997</v>
      </c>
      <c r="E10" s="358" t="s">
        <v>1406</v>
      </c>
      <c r="F10" s="1369"/>
      <c r="G10" s="1853"/>
      <c r="H10" s="1294" t="s">
        <v>1038</v>
      </c>
      <c r="I10" s="1825" t="s">
        <v>1405</v>
      </c>
      <c r="J10" s="346">
        <f ca="1">ROUND(IF(M10="押一",J6/12*M11,IF(M10="押二",J6/12*2*M11,IF(M10="押三",J6/12*3*M11,J11*M11))),0)</f>
        <v>0</v>
      </c>
      <c r="K10" s="1837" t="s">
        <v>2999</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0.04</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3</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3000</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89" t="s">
        <v>1544</v>
      </c>
      <c r="L53" s="3190"/>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3</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2484</v>
      </c>
      <c r="B1" s="2563"/>
      <c r="C1" s="2563"/>
      <c r="D1" s="2563"/>
      <c r="E1" s="2564"/>
    </row>
    <row r="2" spans="1:6" ht="15.75">
      <c r="A2" s="2565" t="s">
        <v>2288</v>
      </c>
      <c r="B2" s="2566">
        <f ca="1">SUMIF(B6:B13,"&lt;&gt;#ref!",B6:B13)</f>
        <v>0</v>
      </c>
      <c r="C2" s="2567" t="s">
        <v>2477</v>
      </c>
      <c r="D2" s="2568" t="s">
        <v>2478</v>
      </c>
      <c r="E2" s="2569">
        <f>SUM(E6:E13)</f>
        <v>0</v>
      </c>
    </row>
    <row r="3" spans="1:6" ht="15.75">
      <c r="A3" s="2565" t="s">
        <v>1391</v>
      </c>
      <c r="B3" s="2566" t="e">
        <f ca="1">ROUND(B2*10000/E2,0)</f>
        <v>#DIV/0!</v>
      </c>
      <c r="C3" s="2567" t="s">
        <v>2485</v>
      </c>
      <c r="D3" s="2570"/>
      <c r="E3" s="2571"/>
    </row>
    <row r="4" spans="1:6" ht="15.75">
      <c r="A4" s="2572"/>
      <c r="B4" s="2570"/>
      <c r="C4" s="2570"/>
      <c r="D4" s="2570"/>
      <c r="E4" s="2571"/>
    </row>
    <row r="5" spans="1:6" ht="15">
      <c r="A5" s="2573" t="s">
        <v>2479</v>
      </c>
      <c r="B5" s="3194" t="s">
        <v>2480</v>
      </c>
      <c r="C5" s="3194"/>
      <c r="D5" s="2574"/>
      <c r="E5" s="2575" t="s">
        <v>2481</v>
      </c>
      <c r="F5" s="2576" t="s">
        <v>2482</v>
      </c>
    </row>
    <row r="6" spans="1:6">
      <c r="A6" s="2577">
        <f>'数据-取费表'!AN6</f>
        <v>0</v>
      </c>
      <c r="B6" s="2576" t="e">
        <f ca="1">IF(F6="是",'数据-取费表'!AO6,0)</f>
        <v>#REF!</v>
      </c>
      <c r="C6" s="2567" t="s">
        <v>2477</v>
      </c>
      <c r="D6" s="2570"/>
      <c r="E6" s="2578">
        <f>IF(OR(A6=0,F6="否"),0,'数据-取费表'!K6+'数据-取费表'!S6)</f>
        <v>0</v>
      </c>
      <c r="F6" s="2579" t="s">
        <v>2483</v>
      </c>
    </row>
    <row r="7" spans="1:6">
      <c r="A7" s="2577">
        <f>'数据-取费表'!AN7</f>
        <v>0</v>
      </c>
      <c r="B7" s="2576" t="e">
        <f ca="1">IF(F7="是",'数据-取费表'!AO7,0)</f>
        <v>#REF!</v>
      </c>
      <c r="C7" s="2567" t="s">
        <v>2477</v>
      </c>
      <c r="D7" s="2570"/>
      <c r="E7" s="2578">
        <f>IF(OR(A7=0,F7="否"),0,'数据-取费表'!K7+'数据-取费表'!S7)</f>
        <v>0</v>
      </c>
      <c r="F7" s="2579" t="s">
        <v>2483</v>
      </c>
    </row>
    <row r="8" spans="1:6">
      <c r="A8" s="2577">
        <f>'数据-取费表'!AN8</f>
        <v>0</v>
      </c>
      <c r="B8" s="2576" t="e">
        <f ca="1">IF(F8="是",'数据-取费表'!AO8,0)</f>
        <v>#REF!</v>
      </c>
      <c r="C8" s="2567" t="s">
        <v>2477</v>
      </c>
      <c r="D8" s="2570"/>
      <c r="E8" s="2578">
        <f>IF(OR(A8=0,F8="否"),0,'数据-取费表'!K8+'数据-取费表'!S8)</f>
        <v>0</v>
      </c>
      <c r="F8" s="2579" t="s">
        <v>2483</v>
      </c>
    </row>
    <row r="9" spans="1:6">
      <c r="A9" s="2577">
        <f>'数据-取费表'!AN9</f>
        <v>0</v>
      </c>
      <c r="B9" s="2576" t="e">
        <f ca="1">IF(F9="是",'数据-取费表'!AO9,0)</f>
        <v>#REF!</v>
      </c>
      <c r="C9" s="2567" t="s">
        <v>2477</v>
      </c>
      <c r="D9" s="2570"/>
      <c r="E9" s="2578">
        <f>IF(OR(A9=0,F9="否"),0,'数据-取费表'!K9+'数据-取费表'!S9)</f>
        <v>0</v>
      </c>
      <c r="F9" s="2579" t="s">
        <v>2483</v>
      </c>
    </row>
    <row r="10" spans="1:6">
      <c r="A10" s="2577">
        <f>'数据-取费表'!AN10</f>
        <v>0</v>
      </c>
      <c r="B10" s="2576" t="e">
        <f ca="1">IF(F10="是",'数据-取费表'!AO10,0)</f>
        <v>#REF!</v>
      </c>
      <c r="C10" s="2567" t="s">
        <v>2477</v>
      </c>
      <c r="D10" s="2570"/>
      <c r="E10" s="2578">
        <f>IF(OR(A10=0,F10="否"),0,'数据-取费表'!K10+'数据-取费表'!S10)</f>
        <v>0</v>
      </c>
      <c r="F10" s="2579" t="s">
        <v>2483</v>
      </c>
    </row>
    <row r="11" spans="1:6">
      <c r="A11" s="2577">
        <f>'数据-取费表'!AN11</f>
        <v>0</v>
      </c>
      <c r="B11" s="2576" t="e">
        <f ca="1">IF(F11="是",'数据-取费表'!AO11,0)</f>
        <v>#REF!</v>
      </c>
      <c r="C11" s="2567" t="s">
        <v>2477</v>
      </c>
      <c r="D11" s="2570"/>
      <c r="E11" s="2578">
        <f>IF(OR(A11=0,F11="否"),0,'数据-取费表'!K11+'数据-取费表'!S11)</f>
        <v>0</v>
      </c>
      <c r="F11" s="2579" t="s">
        <v>2483</v>
      </c>
    </row>
    <row r="12" spans="1:6">
      <c r="A12" s="2577">
        <f>'数据-取费表'!AN12</f>
        <v>0</v>
      </c>
      <c r="B12" s="2576" t="e">
        <f ca="1">IF(F12="是",'数据-取费表'!AO12,0)</f>
        <v>#REF!</v>
      </c>
      <c r="C12" s="2567" t="s">
        <v>2477</v>
      </c>
      <c r="D12" s="2570"/>
      <c r="E12" s="2578">
        <f>IF(OR(A12=0,F12="否"),0,'数据-取费表'!K12+'数据-取费表'!S12)</f>
        <v>0</v>
      </c>
      <c r="F12" s="2579" t="s">
        <v>2483</v>
      </c>
    </row>
    <row r="13" spans="1:6" ht="15" thickBot="1">
      <c r="A13" s="2580">
        <f>'数据-取费表'!AN13</f>
        <v>0</v>
      </c>
      <c r="B13" s="2576" t="e">
        <f ca="1">IF(F13="是",'数据-取费表'!AO13,0)</f>
        <v>#REF!</v>
      </c>
      <c r="C13" s="2581" t="s">
        <v>2477</v>
      </c>
      <c r="D13" s="2582"/>
      <c r="E13" s="2578">
        <f>IF(OR(A13=0,F13="否"),0,'数据-取费表'!K13+'数据-取费表'!S13)</f>
        <v>0</v>
      </c>
      <c r="F13" s="2579" t="s">
        <v>2483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95" t="s">
        <v>1075</v>
      </c>
      <c r="B1" s="3196"/>
      <c r="C1" s="3197"/>
      <c r="D1" s="3198">
        <f>SUM(I10,I15,I20,I21,I23)</f>
        <v>0</v>
      </c>
      <c r="E1" s="3198"/>
      <c r="F1" s="3198"/>
      <c r="G1" s="3198"/>
      <c r="H1" s="3198"/>
      <c r="I1" s="3199"/>
    </row>
    <row r="2" spans="1:9">
      <c r="A2" s="3200" t="s">
        <v>1076</v>
      </c>
      <c r="B2" s="3201" t="s">
        <v>1077</v>
      </c>
      <c r="C2" s="3201"/>
      <c r="D2" s="1304" t="s">
        <v>1078</v>
      </c>
      <c r="E2" s="1304" t="s">
        <v>1079</v>
      </c>
      <c r="F2" s="1304" t="s">
        <v>1080</v>
      </c>
      <c r="G2" s="1304" t="s">
        <v>1081</v>
      </c>
      <c r="H2" s="1304" t="s">
        <v>1082</v>
      </c>
      <c r="I2" s="1305" t="s">
        <v>1083</v>
      </c>
    </row>
    <row r="3" spans="1:9">
      <c r="A3" s="3200"/>
      <c r="B3" s="3201" t="s">
        <v>1084</v>
      </c>
      <c r="C3" s="3201"/>
      <c r="D3" s="1306"/>
      <c r="E3" s="1304"/>
      <c r="F3" s="1307"/>
      <c r="G3" s="1307"/>
      <c r="H3" s="1308"/>
      <c r="I3" s="1309">
        <f>ROUND(D3*E3*F3*G3*H3/10000,0)</f>
        <v>0</v>
      </c>
    </row>
    <row r="4" spans="1:9">
      <c r="A4" s="3200"/>
      <c r="B4" s="3201" t="s">
        <v>1085</v>
      </c>
      <c r="C4" s="3201"/>
      <c r="D4" s="1306"/>
      <c r="E4" s="1304"/>
      <c r="F4" s="1307"/>
      <c r="G4" s="1307"/>
      <c r="H4" s="1308"/>
      <c r="I4" s="1309">
        <f t="shared" ref="I4:I9" si="0">ROUND(D4*E4*F4*G4*H4/10000,0)</f>
        <v>0</v>
      </c>
    </row>
    <row r="5" spans="1:9">
      <c r="A5" s="3200"/>
      <c r="B5" s="3201" t="s">
        <v>1086</v>
      </c>
      <c r="C5" s="3201"/>
      <c r="D5" s="1306"/>
      <c r="E5" s="1304"/>
      <c r="F5" s="1307"/>
      <c r="G5" s="1307"/>
      <c r="H5" s="1308"/>
      <c r="I5" s="1309">
        <f t="shared" si="0"/>
        <v>0</v>
      </c>
    </row>
    <row r="6" spans="1:9">
      <c r="A6" s="3200"/>
      <c r="B6" s="3201" t="s">
        <v>1087</v>
      </c>
      <c r="C6" s="3201"/>
      <c r="D6" s="1306"/>
      <c r="E6" s="1304"/>
      <c r="F6" s="1307"/>
      <c r="G6" s="1307"/>
      <c r="H6" s="1308"/>
      <c r="I6" s="1309">
        <f t="shared" si="0"/>
        <v>0</v>
      </c>
    </row>
    <row r="7" spans="1:9">
      <c r="A7" s="3200"/>
      <c r="B7" s="3201" t="s">
        <v>1088</v>
      </c>
      <c r="C7" s="3201"/>
      <c r="D7" s="1306"/>
      <c r="E7" s="1304"/>
      <c r="F7" s="1307"/>
      <c r="G7" s="1307"/>
      <c r="H7" s="1308"/>
      <c r="I7" s="1309">
        <f t="shared" si="0"/>
        <v>0</v>
      </c>
    </row>
    <row r="8" spans="1:9">
      <c r="A8" s="3200"/>
      <c r="B8" s="3201" t="s">
        <v>1089</v>
      </c>
      <c r="C8" s="3201"/>
      <c r="D8" s="1306"/>
      <c r="E8" s="1304"/>
      <c r="F8" s="1307"/>
      <c r="G8" s="1307"/>
      <c r="H8" s="1308"/>
      <c r="I8" s="1309">
        <f t="shared" si="0"/>
        <v>0</v>
      </c>
    </row>
    <row r="9" spans="1:9">
      <c r="A9" s="3200"/>
      <c r="B9" s="3201" t="s">
        <v>1090</v>
      </c>
      <c r="C9" s="3201"/>
      <c r="D9" s="1306"/>
      <c r="E9" s="1304"/>
      <c r="F9" s="1307"/>
      <c r="G9" s="1307"/>
      <c r="H9" s="1308"/>
      <c r="I9" s="1309">
        <f t="shared" si="0"/>
        <v>0</v>
      </c>
    </row>
    <row r="10" spans="1:9">
      <c r="A10" s="3200"/>
      <c r="B10" s="3202" t="s">
        <v>1091</v>
      </c>
      <c r="C10" s="3202"/>
      <c r="D10" s="1310"/>
      <c r="E10" s="1310" t="e">
        <f>ROUND(D1*10000/D10/H9,0)</f>
        <v>#DIV/0!</v>
      </c>
      <c r="F10" s="1311"/>
      <c r="G10" s="1311"/>
      <c r="H10" s="1312"/>
      <c r="I10" s="1313">
        <f>SUM(I3:I9)</f>
        <v>0</v>
      </c>
    </row>
    <row r="11" spans="1:9" ht="14.25">
      <c r="A11" s="3200" t="s">
        <v>1092</v>
      </c>
      <c r="B11" s="3201" t="s">
        <v>1093</v>
      </c>
      <c r="C11" s="3201"/>
      <c r="D11" s="1306" t="s">
        <v>1094</v>
      </c>
      <c r="E11" s="1306" t="s">
        <v>1095</v>
      </c>
      <c r="F11" s="1307" t="s">
        <v>1096</v>
      </c>
      <c r="G11" s="1307" t="s">
        <v>1082</v>
      </c>
      <c r="H11" s="1314" t="s">
        <v>1097</v>
      </c>
      <c r="I11" s="1305" t="s">
        <v>1083</v>
      </c>
    </row>
    <row r="12" spans="1:9">
      <c r="A12" s="3200"/>
      <c r="B12" s="3201" t="s">
        <v>1098</v>
      </c>
      <c r="C12" s="3201"/>
      <c r="D12" s="1306"/>
      <c r="E12" s="1306"/>
      <c r="F12" s="1307"/>
      <c r="G12" s="1308"/>
      <c r="H12" s="1315"/>
      <c r="I12" s="1305">
        <f>ROUND(D12*E12*F12*G12/10000,0)</f>
        <v>0</v>
      </c>
    </row>
    <row r="13" spans="1:9">
      <c r="A13" s="3200"/>
      <c r="B13" s="3201" t="s">
        <v>1099</v>
      </c>
      <c r="C13" s="3201"/>
      <c r="D13" s="1306"/>
      <c r="E13" s="1306"/>
      <c r="F13" s="1307"/>
      <c r="G13" s="1308"/>
      <c r="H13" s="1315"/>
      <c r="I13" s="1305">
        <f>ROUND(D13*E13*F13*G13/10000,0)</f>
        <v>0</v>
      </c>
    </row>
    <row r="14" spans="1:9">
      <c r="A14" s="3200"/>
      <c r="B14" s="3201" t="s">
        <v>1100</v>
      </c>
      <c r="C14" s="3201"/>
      <c r="D14" s="1306"/>
      <c r="E14" s="1306"/>
      <c r="F14" s="1307"/>
      <c r="G14" s="1308"/>
      <c r="H14" s="1315"/>
      <c r="I14" s="1305">
        <f>ROUND(D14*E14*F14*G14/10000,0)</f>
        <v>0</v>
      </c>
    </row>
    <row r="15" spans="1:9">
      <c r="A15" s="3200"/>
      <c r="B15" s="3202" t="s">
        <v>1091</v>
      </c>
      <c r="C15" s="3202"/>
      <c r="D15" s="1310"/>
      <c r="E15" s="1310">
        <f>SUM(E12:E14)</f>
        <v>0</v>
      </c>
      <c r="F15" s="1311"/>
      <c r="G15" s="1308"/>
      <c r="H15" s="1315"/>
      <c r="I15" s="1316">
        <f>SUM(I12:I14)</f>
        <v>0</v>
      </c>
    </row>
    <row r="16" spans="1:9" ht="24">
      <c r="A16" s="3200" t="s">
        <v>1101</v>
      </c>
      <c r="B16" s="3201" t="s">
        <v>1102</v>
      </c>
      <c r="C16" s="3201"/>
      <c r="D16" s="1306" t="s">
        <v>1078</v>
      </c>
      <c r="E16" s="1317" t="s">
        <v>1103</v>
      </c>
      <c r="F16" s="1307" t="s">
        <v>1104</v>
      </c>
      <c r="G16" s="1308" t="s">
        <v>1082</v>
      </c>
      <c r="H16" s="1314" t="s">
        <v>1097</v>
      </c>
      <c r="I16" s="1305" t="s">
        <v>1083</v>
      </c>
    </row>
    <row r="17" spans="1:9" ht="14.25">
      <c r="A17" s="3200"/>
      <c r="B17" s="3201" t="s">
        <v>1105</v>
      </c>
      <c r="C17" s="3201"/>
      <c r="D17" s="1306"/>
      <c r="E17" s="1306"/>
      <c r="F17" s="1307"/>
      <c r="G17" s="1308"/>
      <c r="H17" s="1318"/>
      <c r="I17" s="1319">
        <f>ROUND(D17*E17*F17*G17/10000,0)</f>
        <v>0</v>
      </c>
    </row>
    <row r="18" spans="1:9" ht="14.25">
      <c r="A18" s="3200"/>
      <c r="B18" s="3201" t="s">
        <v>1106</v>
      </c>
      <c r="C18" s="3201"/>
      <c r="D18" s="1306"/>
      <c r="E18" s="1306"/>
      <c r="F18" s="1307"/>
      <c r="G18" s="1308"/>
      <c r="H18" s="1318"/>
      <c r="I18" s="1319">
        <f>ROUND(D18*E18*F18*G18/10000,0)</f>
        <v>0</v>
      </c>
    </row>
    <row r="19" spans="1:9" ht="14.25">
      <c r="A19" s="3200"/>
      <c r="B19" s="3201" t="s">
        <v>1107</v>
      </c>
      <c r="C19" s="3201"/>
      <c r="D19" s="1306"/>
      <c r="E19" s="1306"/>
      <c r="F19" s="1307"/>
      <c r="G19" s="1308"/>
      <c r="H19" s="1318"/>
      <c r="I19" s="1319">
        <f>ROUND(D19*E19*F19*G19/10000,0)</f>
        <v>0</v>
      </c>
    </row>
    <row r="20" spans="1:9">
      <c r="A20" s="3200"/>
      <c r="B20" s="3202" t="s">
        <v>1091</v>
      </c>
      <c r="C20" s="3202"/>
      <c r="D20" s="1310">
        <f>SUM(D17:D19)</f>
        <v>0</v>
      </c>
      <c r="E20" s="1310"/>
      <c r="F20" s="1311"/>
      <c r="G20" s="1308"/>
      <c r="H20" s="1315"/>
      <c r="I20" s="1316">
        <f>SUM(I17:I19)</f>
        <v>0</v>
      </c>
    </row>
    <row r="21" spans="1:9">
      <c r="A21" s="3200" t="s">
        <v>1108</v>
      </c>
      <c r="B21" s="3204"/>
      <c r="C21" s="3204"/>
      <c r="D21" s="3204"/>
      <c r="E21" s="3204"/>
      <c r="F21" s="3204"/>
      <c r="G21" s="3204"/>
      <c r="H21" s="1767">
        <v>0.1</v>
      </c>
      <c r="I21" s="1313">
        <f>ROUND(I10*H21,0)</f>
        <v>0</v>
      </c>
    </row>
    <row r="22" spans="1:9" ht="14.25">
      <c r="A22" s="3205" t="s">
        <v>1109</v>
      </c>
      <c r="B22" s="3206"/>
      <c r="C22" s="3207"/>
      <c r="D22" s="1320" t="s">
        <v>1110</v>
      </c>
      <c r="E22" s="1320" t="s">
        <v>1111</v>
      </c>
      <c r="F22" s="1321" t="s">
        <v>1112</v>
      </c>
      <c r="G22" s="1321" t="s">
        <v>1113</v>
      </c>
      <c r="H22" s="1314" t="s">
        <v>1114</v>
      </c>
      <c r="I22" s="1305" t="s">
        <v>1115</v>
      </c>
    </row>
    <row r="23" spans="1:9" ht="14.25" thickBot="1">
      <c r="A23" s="3208"/>
      <c r="B23" s="3209"/>
      <c r="C23" s="3210"/>
      <c r="D23" s="1322"/>
      <c r="E23" s="1322"/>
      <c r="F23" s="1322"/>
      <c r="G23" s="1323"/>
      <c r="H23" s="1324"/>
      <c r="I23" s="1325">
        <f>ROUND(E23*D23*F23*(1-G23)/10000,0)</f>
        <v>0</v>
      </c>
    </row>
    <row r="26" spans="1:9">
      <c r="A26" s="1326" t="s">
        <v>1116</v>
      </c>
      <c r="B26" s="1326"/>
      <c r="C26" s="1326"/>
      <c r="D26" s="1326"/>
      <c r="E26" s="3211">
        <f>C27-C30-C31-C32</f>
        <v>0</v>
      </c>
      <c r="F26" s="3211"/>
      <c r="G26" s="3211"/>
      <c r="H26" s="1739" t="s">
        <v>1336</v>
      </c>
    </row>
    <row r="27" spans="1:9">
      <c r="A27" s="1327">
        <v>1</v>
      </c>
      <c r="B27" s="1328" t="s">
        <v>1117</v>
      </c>
      <c r="C27" s="1328">
        <f>C28+C29</f>
        <v>0</v>
      </c>
      <c r="D27" s="1328"/>
      <c r="E27" s="3212"/>
      <c r="F27" s="3212"/>
      <c r="G27" s="3212"/>
    </row>
    <row r="28" spans="1:9">
      <c r="A28" s="1329" t="s">
        <v>1118</v>
      </c>
      <c r="B28" s="1328" t="s">
        <v>1119</v>
      </c>
      <c r="C28" s="1328"/>
      <c r="D28" s="1328"/>
      <c r="E28" s="3212"/>
      <c r="F28" s="3212"/>
      <c r="G28" s="3212"/>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03"/>
      <c r="F32" s="3203"/>
      <c r="G32" s="3203"/>
    </row>
    <row r="33" spans="1:7" hidden="1">
      <c r="A33" s="3213" t="s">
        <v>1128</v>
      </c>
      <c r="B33" s="3214"/>
      <c r="C33" s="3214"/>
      <c r="D33" s="3215"/>
      <c r="E33" s="3211"/>
      <c r="F33" s="3211"/>
      <c r="G33" s="3211"/>
    </row>
    <row r="34" spans="1:7" hidden="1">
      <c r="A34" s="1331">
        <v>1</v>
      </c>
      <c r="B34" s="1328" t="s">
        <v>1129</v>
      </c>
      <c r="C34" s="1328"/>
      <c r="D34" s="1328"/>
      <c r="E34" s="3212"/>
      <c r="F34" s="3212"/>
      <c r="G34" s="3212"/>
    </row>
    <row r="35" spans="1:7" hidden="1">
      <c r="A35" s="1331">
        <v>2</v>
      </c>
      <c r="B35" s="1328" t="s">
        <v>1130</v>
      </c>
      <c r="C35" s="1328"/>
      <c r="D35" s="1328"/>
      <c r="E35" s="3212"/>
      <c r="F35" s="3212"/>
      <c r="G35" s="3212"/>
    </row>
    <row r="36" spans="1:7" hidden="1">
      <c r="A36" s="1331">
        <v>3</v>
      </c>
      <c r="B36" s="1328" t="s">
        <v>1131</v>
      </c>
      <c r="C36" s="1328"/>
      <c r="D36" s="1328"/>
      <c r="E36" s="3212"/>
      <c r="F36" s="3212"/>
      <c r="G36" s="3212"/>
    </row>
    <row r="37" spans="1:7" hidden="1">
      <c r="A37" s="1331">
        <v>4</v>
      </c>
      <c r="B37" s="1328" t="s">
        <v>1132</v>
      </c>
      <c r="C37" s="1328"/>
      <c r="D37" s="1328"/>
      <c r="E37" s="3212"/>
      <c r="F37" s="3212"/>
      <c r="G37" s="3212"/>
    </row>
    <row r="38" spans="1:7" hidden="1">
      <c r="A38" s="3213" t="s">
        <v>1133</v>
      </c>
      <c r="B38" s="3214"/>
      <c r="C38" s="3214"/>
      <c r="D38" s="3215"/>
      <c r="E38" s="3211"/>
      <c r="F38" s="3211"/>
      <c r="G38" s="32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M36" sqref="M3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583" t="s">
        <v>2487</v>
      </c>
      <c r="C1" s="1636" t="s">
        <v>2488</v>
      </c>
      <c r="D1" s="1623" t="s">
        <v>3025</v>
      </c>
      <c r="E1" s="2584"/>
      <c r="F1" s="2585" t="s">
        <v>2489</v>
      </c>
      <c r="G1" s="1633" t="s">
        <v>2490</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31428</v>
      </c>
      <c r="C2" s="2587" t="s">
        <v>70</v>
      </c>
      <c r="D2" s="1368" t="e">
        <f ca="1">SUMIF(INDIRECT("'"&amp;F2&amp;"'"&amp;"!A:A"),"承租人权益价值",INDIRECT("'"&amp;F2&amp;"'"&amp;"!c:c"))</f>
        <v>#REF!</v>
      </c>
      <c r="E2" s="2588" t="s">
        <v>2491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18003</v>
      </c>
      <c r="C3" s="400" t="s">
        <v>2492</v>
      </c>
      <c r="D3" s="399">
        <f>IF(D1="",'数据-汇总表'!E3,SUMIF('数据-汇总表'!$C19:$C33,D1,'数据-汇总表'!$E19:$E33))</f>
        <v>17457.14</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2493</v>
      </c>
      <c r="B4" s="402"/>
      <c r="C4" s="3161" t="s">
        <v>2494</v>
      </c>
      <c r="D4" s="3162"/>
      <c r="E4" s="3163" t="s">
        <v>2495</v>
      </c>
      <c r="F4" s="3164"/>
      <c r="G4" s="3161" t="s">
        <v>2496</v>
      </c>
      <c r="H4" s="3162"/>
      <c r="I4" s="3161" t="s">
        <v>2497</v>
      </c>
      <c r="J4" s="3162"/>
      <c r="K4" s="2597" t="s">
        <v>2498</v>
      </c>
      <c r="L4" s="1133"/>
      <c r="M4" s="1134"/>
      <c r="N4" s="1134"/>
      <c r="O4" s="1134"/>
      <c r="P4" s="3165" t="s">
        <v>2499</v>
      </c>
      <c r="Q4" s="3166"/>
      <c r="R4" s="3148" t="s">
        <v>2495</v>
      </c>
      <c r="S4" s="3149"/>
      <c r="T4" s="3148" t="s">
        <v>2496</v>
      </c>
      <c r="U4" s="3149"/>
      <c r="V4" s="3173" t="s">
        <v>2497</v>
      </c>
      <c r="W4" s="3173"/>
      <c r="X4" s="1815"/>
      <c r="Y4" s="3148" t="s">
        <v>2499</v>
      </c>
      <c r="Z4" s="3149"/>
      <c r="AA4" s="3143" t="s">
        <v>2495</v>
      </c>
      <c r="AB4" s="3143" t="s">
        <v>2496</v>
      </c>
      <c r="AC4" s="3143" t="s">
        <v>2497</v>
      </c>
    </row>
    <row r="5" spans="1:29" ht="15">
      <c r="A5" s="404"/>
      <c r="B5" s="405"/>
      <c r="C5" s="3285" t="s">
        <v>3153</v>
      </c>
      <c r="D5" s="3155"/>
      <c r="E5" s="3287" t="s">
        <v>3171</v>
      </c>
      <c r="F5" s="3153"/>
      <c r="G5" s="3285" t="s">
        <v>3170</v>
      </c>
      <c r="H5" s="3155"/>
      <c r="I5" s="3285" t="s">
        <v>3177</v>
      </c>
      <c r="J5" s="3155"/>
      <c r="K5" s="2598"/>
      <c r="L5" s="1133"/>
      <c r="M5" s="1134"/>
      <c r="N5" s="1134"/>
      <c r="O5" s="1134"/>
      <c r="P5" s="3167"/>
      <c r="Q5" s="3168"/>
      <c r="R5" s="3150"/>
      <c r="S5" s="3151"/>
      <c r="T5" s="3150"/>
      <c r="U5" s="3151"/>
      <c r="V5" s="3173"/>
      <c r="W5" s="3173"/>
      <c r="X5" s="1815"/>
      <c r="Y5" s="3150"/>
      <c r="Z5" s="3151"/>
      <c r="AA5" s="3144"/>
      <c r="AB5" s="3144"/>
      <c r="AC5" s="3144"/>
    </row>
    <row r="6" spans="1:29" ht="15.75" thickBot="1">
      <c r="A6" s="406"/>
      <c r="B6" s="407"/>
      <c r="C6" s="3156" t="s">
        <v>2504</v>
      </c>
      <c r="D6" s="3157"/>
      <c r="E6" s="3158" t="s">
        <v>2504</v>
      </c>
      <c r="F6" s="3159"/>
      <c r="G6" s="3156" t="s">
        <v>2504</v>
      </c>
      <c r="H6" s="3157"/>
      <c r="I6" s="3156" t="s">
        <v>2504</v>
      </c>
      <c r="J6" s="3157"/>
      <c r="K6" s="2598" t="s">
        <v>2505</v>
      </c>
      <c r="L6" s="1133"/>
      <c r="M6" s="1134"/>
      <c r="N6" s="1134"/>
      <c r="O6" s="1134"/>
      <c r="P6" s="3169"/>
      <c r="Q6" s="3170"/>
      <c r="R6" s="3150"/>
      <c r="S6" s="3151"/>
      <c r="T6" s="3171"/>
      <c r="U6" s="3172"/>
      <c r="V6" s="3173"/>
      <c r="W6" s="3173"/>
      <c r="X6" s="1815"/>
      <c r="Y6" s="3171"/>
      <c r="Z6" s="3172"/>
      <c r="AA6" s="3145"/>
      <c r="AB6" s="3145"/>
      <c r="AC6" s="3145"/>
    </row>
    <row r="7" spans="1:29" s="117" customFormat="1" ht="15.75" thickBot="1">
      <c r="A7" s="408" t="s">
        <v>2506</v>
      </c>
      <c r="B7" s="409"/>
      <c r="C7" s="410">
        <f>'数据-取费表'!B2</f>
        <v>43420</v>
      </c>
      <c r="D7" s="411">
        <v>100</v>
      </c>
      <c r="E7" s="412">
        <f>C7</f>
        <v>43420</v>
      </c>
      <c r="F7" s="413">
        <f>SUMIF(58:58,YEAR(E7)&amp;"-"&amp;MONTH(E7),59:59)</f>
        <v>100</v>
      </c>
      <c r="G7" s="412">
        <f>C7</f>
        <v>43420</v>
      </c>
      <c r="H7" s="411">
        <f>SUMIF(58:58,YEAR(G7)&amp;"-"&amp;MONTH(G7),59:59)</f>
        <v>100</v>
      </c>
      <c r="I7" s="412">
        <f>C7</f>
        <v>43420</v>
      </c>
      <c r="J7" s="411">
        <f>SUMIF(58:58,YEAR(I7)&amp;"-"&amp;MONTH(I7),59:59)</f>
        <v>100</v>
      </c>
      <c r="K7" s="2599"/>
      <c r="L7" s="1135"/>
      <c r="M7" s="1136"/>
      <c r="N7" s="1136" t="s">
        <v>3139</v>
      </c>
      <c r="O7" s="1136"/>
      <c r="P7" s="3146" t="s">
        <v>2507</v>
      </c>
      <c r="Q7" s="3174"/>
      <c r="R7" s="770" t="s">
        <v>23</v>
      </c>
      <c r="S7" s="771">
        <f t="shared" ref="S7:S15" si="0">F7</f>
        <v>100</v>
      </c>
      <c r="T7" s="770" t="s">
        <v>23</v>
      </c>
      <c r="U7" s="771">
        <f t="shared" ref="U7:U15" si="1">H7</f>
        <v>100</v>
      </c>
      <c r="V7" s="770" t="s">
        <v>23</v>
      </c>
      <c r="W7" s="771">
        <f t="shared" ref="W7:W15" si="2">J7</f>
        <v>100</v>
      </c>
      <c r="X7" s="772"/>
      <c r="Y7" s="3146" t="s">
        <v>2507</v>
      </c>
      <c r="Z7" s="3147"/>
      <c r="AA7" s="773">
        <f>D7/F7</f>
        <v>1</v>
      </c>
      <c r="AB7" s="773">
        <f>D7/H7</f>
        <v>1</v>
      </c>
      <c r="AC7" s="773">
        <f>D7/J7</f>
        <v>1</v>
      </c>
    </row>
    <row r="8" spans="1:29" s="117" customFormat="1" ht="15.75" thickBot="1">
      <c r="A8" s="408" t="s">
        <v>2508</v>
      </c>
      <c r="B8" s="409"/>
      <c r="C8" s="414" t="s">
        <v>2509</v>
      </c>
      <c r="D8" s="411">
        <v>100</v>
      </c>
      <c r="E8" s="2600" t="s">
        <v>3169</v>
      </c>
      <c r="F8" s="413">
        <f>SUMIF(61:61,E8,62:62)-SUMIF(61:61,C8,62:62)+100</f>
        <v>100</v>
      </c>
      <c r="G8" s="2600" t="s">
        <v>3169</v>
      </c>
      <c r="H8" s="411">
        <f>SUMIF(61:61,G8,62:62)-SUMIF(61:61,C8,62:62)+100</f>
        <v>100</v>
      </c>
      <c r="I8" s="2600" t="s">
        <v>3169</v>
      </c>
      <c r="J8" s="411">
        <f>SUMIF(61:61,I8,62:62)-SUMIF(61:61,C8,62:62)+100</f>
        <v>100</v>
      </c>
      <c r="K8" s="2599"/>
      <c r="L8" s="1135"/>
      <c r="M8" s="1136"/>
      <c r="N8" s="1136"/>
      <c r="O8" s="1136"/>
      <c r="P8" s="3146" t="s">
        <v>2510</v>
      </c>
      <c r="Q8" s="3147"/>
      <c r="R8" s="770" t="s">
        <v>23</v>
      </c>
      <c r="S8" s="771">
        <f t="shared" si="0"/>
        <v>100</v>
      </c>
      <c r="T8" s="770" t="s">
        <v>23</v>
      </c>
      <c r="U8" s="771">
        <f t="shared" si="1"/>
        <v>100</v>
      </c>
      <c r="V8" s="770" t="s">
        <v>23</v>
      </c>
      <c r="W8" s="771">
        <f t="shared" si="2"/>
        <v>100</v>
      </c>
      <c r="X8" s="772"/>
      <c r="Y8" s="3146" t="s">
        <v>2510</v>
      </c>
      <c r="Z8" s="3147"/>
      <c r="AA8" s="773">
        <f t="shared" ref="AA8:AA19" si="3">D8/F8</f>
        <v>1</v>
      </c>
      <c r="AB8" s="773">
        <f t="shared" ref="AB8:AB19" si="4">D8/H8</f>
        <v>1</v>
      </c>
      <c r="AC8" s="773">
        <f t="shared" ref="AC8:AC19" si="5">D8/J8</f>
        <v>1</v>
      </c>
    </row>
    <row r="9" spans="1:29" s="117" customFormat="1">
      <c r="A9" s="415" t="s">
        <v>2511</v>
      </c>
      <c r="B9" s="71" t="s">
        <v>2512</v>
      </c>
      <c r="C9" s="3286" t="s">
        <v>3154</v>
      </c>
      <c r="D9" s="135">
        <v>100</v>
      </c>
      <c r="E9" s="417" t="s">
        <v>3027</v>
      </c>
      <c r="F9" s="418">
        <f>SUMIF(63:63,E9,64:64)-SUMIF(63:63,C9,64:64)+100</f>
        <v>100</v>
      </c>
      <c r="G9" s="417" t="s">
        <v>3027</v>
      </c>
      <c r="H9" s="135">
        <f>SUMIF(63:63,G9,64:64)-SUMIF(63:63,C9,64:64)+100</f>
        <v>100</v>
      </c>
      <c r="I9" s="417" t="s">
        <v>3027</v>
      </c>
      <c r="J9" s="135">
        <f>SUMIF(63:63,I9,64:64)-SUMIF(63:63,C9,64:64)+100</f>
        <v>100</v>
      </c>
      <c r="K9" s="2599"/>
      <c r="L9" s="1135"/>
      <c r="M9" s="1136"/>
      <c r="N9" s="1136"/>
      <c r="O9" s="1136"/>
      <c r="P9" s="3184" t="s">
        <v>2513</v>
      </c>
      <c r="Q9" s="1797" t="str">
        <f t="shared" ref="Q9:Q15" si="6">B9</f>
        <v>用途</v>
      </c>
      <c r="R9" s="770" t="s">
        <v>17</v>
      </c>
      <c r="S9" s="771">
        <f t="shared" si="0"/>
        <v>100</v>
      </c>
      <c r="T9" s="770" t="s">
        <v>17</v>
      </c>
      <c r="U9" s="771">
        <f t="shared" si="1"/>
        <v>100</v>
      </c>
      <c r="V9" s="770" t="s">
        <v>17</v>
      </c>
      <c r="W9" s="771">
        <f t="shared" si="2"/>
        <v>100</v>
      </c>
      <c r="X9" s="772"/>
      <c r="Y9" s="3023" t="s">
        <v>2514</v>
      </c>
      <c r="Z9" s="55" t="str">
        <f t="shared" ref="Z9:Z15" si="7">Q9</f>
        <v>用途</v>
      </c>
      <c r="AA9" s="773">
        <f t="shared" si="3"/>
        <v>1</v>
      </c>
      <c r="AB9" s="773">
        <f t="shared" si="4"/>
        <v>1</v>
      </c>
      <c r="AC9" s="773">
        <f t="shared" si="5"/>
        <v>1</v>
      </c>
    </row>
    <row r="10" spans="1:29" s="427" customFormat="1" ht="27">
      <c r="A10" s="421"/>
      <c r="B10" s="422" t="s">
        <v>2515</v>
      </c>
      <c r="C10" s="423" t="s">
        <v>3155</v>
      </c>
      <c r="D10" s="136">
        <v>100</v>
      </c>
      <c r="E10" s="424" t="s">
        <v>3155</v>
      </c>
      <c r="F10" s="425">
        <f>SUMIF(65:65,E10,66:66)-SUMIF(65:65,C10,66:66)+100</f>
        <v>100</v>
      </c>
      <c r="G10" s="424" t="s">
        <v>3155</v>
      </c>
      <c r="H10" s="136">
        <f>SUMIF(65:65,G10,66:66)-SUMIF(65:65,C10,66:66)+100</f>
        <v>100</v>
      </c>
      <c r="I10" s="424" t="s">
        <v>3155</v>
      </c>
      <c r="J10" s="136">
        <f>SUMIF(65:65,I10,66:66)-SUMIF(65:65,C10,66:66)+100</f>
        <v>100</v>
      </c>
      <c r="K10" s="426">
        <v>1</v>
      </c>
      <c r="L10" s="1138"/>
      <c r="M10" s="1139"/>
      <c r="N10" s="1139"/>
      <c r="O10" s="1139"/>
      <c r="P10" s="3184"/>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2516</v>
      </c>
      <c r="C11" s="429">
        <f>'数据-汇总表'!I4</f>
        <v>2.5</v>
      </c>
      <c r="D11" s="136">
        <v>100</v>
      </c>
      <c r="E11" s="430">
        <v>3.5</v>
      </c>
      <c r="F11" s="425">
        <f>LOOKUP(E11,68:68,69:69)-LOOKUP(C11,68:68,69:69)+100</f>
        <v>99</v>
      </c>
      <c r="G11" s="429">
        <v>2.99</v>
      </c>
      <c r="H11" s="136">
        <f>LOOKUP(G11,68:68,69:69)-LOOKUP(C11,68:68,69:69)+100</f>
        <v>100</v>
      </c>
      <c r="I11" s="429">
        <v>1.77</v>
      </c>
      <c r="J11" s="136">
        <f>LOOKUP(I11,68:68,69:69)-LOOKUP(C11,68:68,69:69)+100</f>
        <v>101</v>
      </c>
      <c r="K11" s="426">
        <v>1</v>
      </c>
      <c r="L11" s="1141"/>
      <c r="M11" s="1134"/>
      <c r="N11" s="1134"/>
      <c r="O11" s="1134"/>
      <c r="P11" s="3184"/>
      <c r="Q11" s="1797" t="str">
        <f t="shared" si="6"/>
        <v>容积率</v>
      </c>
      <c r="R11" s="770" t="s">
        <v>21</v>
      </c>
      <c r="S11" s="771">
        <f t="shared" si="0"/>
        <v>99</v>
      </c>
      <c r="T11" s="770" t="s">
        <v>21</v>
      </c>
      <c r="U11" s="771">
        <f t="shared" si="1"/>
        <v>100</v>
      </c>
      <c r="V11" s="770" t="s">
        <v>21</v>
      </c>
      <c r="W11" s="771">
        <f t="shared" si="2"/>
        <v>101</v>
      </c>
      <c r="X11" s="772"/>
      <c r="Y11" s="3023"/>
      <c r="Z11" s="55" t="str">
        <f t="shared" si="7"/>
        <v>容积率</v>
      </c>
      <c r="AA11" s="773">
        <f t="shared" si="3"/>
        <v>1.0101010101010102</v>
      </c>
      <c r="AB11" s="773">
        <f t="shared" si="4"/>
        <v>1</v>
      </c>
      <c r="AC11" s="773">
        <f t="shared" si="5"/>
        <v>0.99009900990099009</v>
      </c>
    </row>
    <row r="12" spans="1:29" s="117" customFormat="1" ht="15">
      <c r="A12" s="431"/>
      <c r="B12" s="2601"/>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84"/>
      <c r="Q12" s="1797">
        <f t="shared" si="6"/>
        <v>0</v>
      </c>
      <c r="R12" s="770" t="s">
        <v>21</v>
      </c>
      <c r="S12" s="771">
        <f t="shared" si="0"/>
        <v>100</v>
      </c>
      <c r="T12" s="770" t="s">
        <v>21</v>
      </c>
      <c r="U12" s="771">
        <f t="shared" si="1"/>
        <v>100</v>
      </c>
      <c r="V12" s="770" t="s">
        <v>21</v>
      </c>
      <c r="W12" s="771">
        <f t="shared" si="2"/>
        <v>100</v>
      </c>
      <c r="X12" s="772"/>
      <c r="Y12" s="3023"/>
      <c r="Z12" s="55">
        <f t="shared" si="7"/>
        <v>0</v>
      </c>
      <c r="AA12" s="773">
        <f>D12/F12</f>
        <v>1</v>
      </c>
      <c r="AB12" s="773">
        <f>D12/H12</f>
        <v>1</v>
      </c>
      <c r="AC12" s="773">
        <f>D12/J12</f>
        <v>1</v>
      </c>
    </row>
    <row r="13" spans="1:29" ht="15">
      <c r="A13" s="428"/>
      <c r="B13" s="2601"/>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84"/>
      <c r="Q13" s="1797">
        <f t="shared" si="6"/>
        <v>0</v>
      </c>
      <c r="R13" s="770" t="s">
        <v>21</v>
      </c>
      <c r="S13" s="771">
        <f t="shared" si="0"/>
        <v>100</v>
      </c>
      <c r="T13" s="770" t="s">
        <v>21</v>
      </c>
      <c r="U13" s="771">
        <f t="shared" si="1"/>
        <v>100</v>
      </c>
      <c r="V13" s="770" t="s">
        <v>21</v>
      </c>
      <c r="W13" s="771">
        <f t="shared" si="2"/>
        <v>100</v>
      </c>
      <c r="X13" s="772"/>
      <c r="Y13" s="3023"/>
      <c r="Z13" s="55">
        <f t="shared" si="7"/>
        <v>0</v>
      </c>
      <c r="AA13" s="773">
        <f t="shared" si="3"/>
        <v>1</v>
      </c>
      <c r="AB13" s="773">
        <f t="shared" si="4"/>
        <v>1</v>
      </c>
      <c r="AC13" s="773">
        <f t="shared" si="5"/>
        <v>1</v>
      </c>
    </row>
    <row r="14" spans="1:29" ht="15.75" thickBot="1">
      <c r="A14" s="436"/>
      <c r="B14" s="2603"/>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84"/>
      <c r="Q14" s="1797">
        <f t="shared" si="6"/>
        <v>0</v>
      </c>
      <c r="R14" s="770" t="s">
        <v>21</v>
      </c>
      <c r="S14" s="771">
        <f t="shared" si="0"/>
        <v>100</v>
      </c>
      <c r="T14" s="770" t="s">
        <v>21</v>
      </c>
      <c r="U14" s="771">
        <f t="shared" si="1"/>
        <v>100</v>
      </c>
      <c r="V14" s="770" t="s">
        <v>21</v>
      </c>
      <c r="W14" s="771">
        <f t="shared" si="2"/>
        <v>100</v>
      </c>
      <c r="X14" s="772"/>
      <c r="Y14" s="3023"/>
      <c r="Z14" s="55">
        <f t="shared" si="7"/>
        <v>0</v>
      </c>
      <c r="AA14" s="773">
        <f t="shared" si="3"/>
        <v>1</v>
      </c>
      <c r="AB14" s="773">
        <f t="shared" si="4"/>
        <v>1</v>
      </c>
      <c r="AC14" s="773">
        <f t="shared" si="5"/>
        <v>1</v>
      </c>
    </row>
    <row r="15" spans="1:29" ht="142.5">
      <c r="A15" s="440" t="s">
        <v>2517</v>
      </c>
      <c r="B15" s="69" t="s">
        <v>2053</v>
      </c>
      <c r="C15" s="2604" t="str">
        <f>估价对象房地状况!C3</f>
        <v>估价对象周边居住用地比例较好、居住小区规模和社区发展完善程度较好，周边有师范小区、公元壹号等住宅项目，综合评价居住社区成熟度较好</v>
      </c>
      <c r="D15" s="441">
        <v>100</v>
      </c>
      <c r="E15" s="444" t="s">
        <v>3132</v>
      </c>
      <c r="F15" s="441">
        <f>SUMIF(76:76,E16,77:77)-SUMIF(76:76,C16,77:77)+100</f>
        <v>100</v>
      </c>
      <c r="G15" s="444" t="s">
        <v>3132</v>
      </c>
      <c r="H15" s="441">
        <f>SUMIF(76:76,G16,77:77)-SUMIF(76:76,C16,77:77)+100</f>
        <v>100</v>
      </c>
      <c r="I15" s="444" t="s">
        <v>3132</v>
      </c>
      <c r="J15" s="441">
        <f>SUMIF(76:76,I16,77:77)-SUMIF(76:76,C16,77:77)+100</f>
        <v>100</v>
      </c>
      <c r="K15" s="445">
        <v>2</v>
      </c>
      <c r="L15" s="1143"/>
      <c r="M15" s="1134"/>
      <c r="N15" s="1134"/>
      <c r="O15" s="1134"/>
      <c r="P15" s="3222" t="s">
        <v>2518</v>
      </c>
      <c r="Q15" s="1812" t="str">
        <f t="shared" si="6"/>
        <v>居住社区成熟度</v>
      </c>
      <c r="R15" s="774" t="s">
        <v>21</v>
      </c>
      <c r="S15" s="775">
        <f t="shared" si="0"/>
        <v>100</v>
      </c>
      <c r="T15" s="774" t="s">
        <v>21</v>
      </c>
      <c r="U15" s="775">
        <f t="shared" si="1"/>
        <v>100</v>
      </c>
      <c r="V15" s="774" t="s">
        <v>21</v>
      </c>
      <c r="W15" s="775">
        <f t="shared" si="2"/>
        <v>100</v>
      </c>
      <c r="X15" s="1815"/>
      <c r="Y15" s="3175" t="s">
        <v>2518</v>
      </c>
      <c r="Z15" s="1816" t="str">
        <f t="shared" si="7"/>
        <v>居住社区成熟度</v>
      </c>
      <c r="AA15" s="1813">
        <f t="shared" si="3"/>
        <v>1</v>
      </c>
      <c r="AB15" s="1813">
        <f t="shared" si="4"/>
        <v>1</v>
      </c>
      <c r="AC15" s="1813">
        <f t="shared" si="5"/>
        <v>1</v>
      </c>
    </row>
    <row r="16" spans="1:29" ht="15">
      <c r="A16" s="428"/>
      <c r="B16" s="446"/>
      <c r="C16" s="447" t="s">
        <v>3034</v>
      </c>
      <c r="D16" s="448"/>
      <c r="E16" s="2605" t="s">
        <v>3034</v>
      </c>
      <c r="F16" s="448"/>
      <c r="G16" s="2605" t="s">
        <v>3034</v>
      </c>
      <c r="H16" s="450"/>
      <c r="I16" s="2605" t="s">
        <v>3034</v>
      </c>
      <c r="J16" s="448"/>
      <c r="K16" s="2607"/>
      <c r="L16" s="1143"/>
      <c r="M16" s="1134"/>
      <c r="N16" s="1134"/>
      <c r="O16" s="1134"/>
      <c r="P16" s="3223"/>
      <c r="Q16" s="1812"/>
      <c r="R16" s="774"/>
      <c r="S16" s="775"/>
      <c r="T16" s="774"/>
      <c r="U16" s="775"/>
      <c r="V16" s="774"/>
      <c r="W16" s="775"/>
      <c r="X16" s="1815"/>
      <c r="Y16" s="3176"/>
      <c r="Z16" s="1816"/>
      <c r="AA16" s="1813">
        <v>1</v>
      </c>
      <c r="AB16" s="1813">
        <v>1</v>
      </c>
      <c r="AC16" s="1813">
        <v>1</v>
      </c>
    </row>
    <row r="17" spans="1:29" ht="128.25">
      <c r="A17" s="428"/>
      <c r="B17" s="451" t="s">
        <v>2059</v>
      </c>
      <c r="C17" s="2608" t="str">
        <f>估价对象房地状况!C6</f>
        <v>估价对象周边道路状况较好、公共交通通达情况较好、停车便捷程度较好，周边有香河203、/20路等公交线路，综合评价交通便捷度较好</v>
      </c>
      <c r="D17" s="450">
        <v>100</v>
      </c>
      <c r="E17" s="454" t="s">
        <v>3134</v>
      </c>
      <c r="F17" s="450">
        <f>SUMIF(78:78,E18,79:79)-SUMIF(78:78,C18,79:79)+100</f>
        <v>100</v>
      </c>
      <c r="G17" s="454" t="s">
        <v>3134</v>
      </c>
      <c r="H17" s="455">
        <f>SUMIF(78:78,G18,79:79)-SUMIF(78:78,C18,79:79)+100</f>
        <v>100</v>
      </c>
      <c r="I17" s="454" t="s">
        <v>3134</v>
      </c>
      <c r="J17" s="455">
        <f>SUMIF(78:78,I18,79:79)-SUMIF(78:78,C18,79:79)+100</f>
        <v>100</v>
      </c>
      <c r="K17" s="445">
        <v>1</v>
      </c>
      <c r="L17" s="1143"/>
      <c r="M17" s="1134"/>
      <c r="N17" s="1134"/>
      <c r="O17" s="1134"/>
      <c r="P17" s="3223"/>
      <c r="Q17" s="1812" t="str">
        <f>B17</f>
        <v>交通便捷度</v>
      </c>
      <c r="R17" s="774" t="s">
        <v>21</v>
      </c>
      <c r="S17" s="775">
        <f>F17</f>
        <v>100</v>
      </c>
      <c r="T17" s="774" t="s">
        <v>21</v>
      </c>
      <c r="U17" s="775">
        <f>H17</f>
        <v>100</v>
      </c>
      <c r="V17" s="774" t="s">
        <v>21</v>
      </c>
      <c r="W17" s="775">
        <f>J17</f>
        <v>100</v>
      </c>
      <c r="X17" s="1815"/>
      <c r="Y17" s="3176"/>
      <c r="Z17" s="1816" t="str">
        <f>Q17</f>
        <v>交通便捷度</v>
      </c>
      <c r="AA17" s="1813">
        <f t="shared" si="3"/>
        <v>1</v>
      </c>
      <c r="AB17" s="1813">
        <f t="shared" si="4"/>
        <v>1</v>
      </c>
      <c r="AC17" s="1813">
        <f t="shared" si="5"/>
        <v>1</v>
      </c>
    </row>
    <row r="18" spans="1:29" ht="15">
      <c r="A18" s="428"/>
      <c r="B18" s="456"/>
      <c r="C18" s="2609" t="s">
        <v>3034</v>
      </c>
      <c r="D18" s="450"/>
      <c r="E18" s="2610" t="s">
        <v>3034</v>
      </c>
      <c r="F18" s="450"/>
      <c r="G18" s="2610" t="s">
        <v>3034</v>
      </c>
      <c r="H18" s="448"/>
      <c r="I18" s="2610" t="s">
        <v>3034</v>
      </c>
      <c r="J18" s="448"/>
      <c r="K18" s="2607"/>
      <c r="L18" s="1143"/>
      <c r="M18" s="1134"/>
      <c r="N18" s="1134"/>
      <c r="O18" s="1134"/>
      <c r="P18" s="3223"/>
      <c r="Q18" s="1812"/>
      <c r="R18" s="774"/>
      <c r="S18" s="775"/>
      <c r="T18" s="774"/>
      <c r="U18" s="775"/>
      <c r="V18" s="774"/>
      <c r="W18" s="775"/>
      <c r="X18" s="1815"/>
      <c r="Y18" s="3176"/>
      <c r="Z18" s="1816"/>
      <c r="AA18" s="1813">
        <v>1</v>
      </c>
      <c r="AB18" s="1813">
        <v>1</v>
      </c>
      <c r="AC18" s="1813">
        <v>1</v>
      </c>
    </row>
    <row r="19" spans="1:29" ht="42.75">
      <c r="A19" s="428"/>
      <c r="B19" s="451" t="s">
        <v>2058</v>
      </c>
      <c r="C19" s="2608" t="str">
        <f>估价对象房地状况!C7</f>
        <v>估价对象所在区域公共配套设施齐备情况较好</v>
      </c>
      <c r="D19" s="455">
        <v>100</v>
      </c>
      <c r="E19" s="459" t="s">
        <v>3039</v>
      </c>
      <c r="F19" s="455">
        <f>SUMIF(80:80,E20,81:81)-SUMIF(80:80,C20,81:81)+100</f>
        <v>100</v>
      </c>
      <c r="G19" s="459" t="s">
        <v>3039</v>
      </c>
      <c r="H19" s="450">
        <f>SUMIF(80:80,G20,81:81)-SUMIF(80:80,C20,81:81)+100</f>
        <v>100</v>
      </c>
      <c r="I19" s="459" t="s">
        <v>3039</v>
      </c>
      <c r="J19" s="450">
        <f>SUMIF(80:80,I20,81:81)-SUMIF(80:80,C20,81:81)+100</f>
        <v>100</v>
      </c>
      <c r="K19" s="445">
        <v>1</v>
      </c>
      <c r="L19" s="1143"/>
      <c r="M19" s="1134"/>
      <c r="N19" s="1134"/>
      <c r="O19" s="1134"/>
      <c r="P19" s="3223"/>
      <c r="Q19" s="1812" t="str">
        <f>B19</f>
        <v>公共配套设施</v>
      </c>
      <c r="R19" s="774" t="s">
        <v>21</v>
      </c>
      <c r="S19" s="775">
        <f>F19</f>
        <v>100</v>
      </c>
      <c r="T19" s="774" t="s">
        <v>21</v>
      </c>
      <c r="U19" s="775">
        <f>H19</f>
        <v>100</v>
      </c>
      <c r="V19" s="774" t="s">
        <v>21</v>
      </c>
      <c r="W19" s="775">
        <f>J19</f>
        <v>100</v>
      </c>
      <c r="X19" s="1815"/>
      <c r="Y19" s="3176"/>
      <c r="Z19" s="1816" t="str">
        <f>Q19</f>
        <v>公共配套设施</v>
      </c>
      <c r="AA19" s="1813">
        <f t="shared" si="3"/>
        <v>1</v>
      </c>
      <c r="AB19" s="1813">
        <f t="shared" si="4"/>
        <v>1</v>
      </c>
      <c r="AC19" s="1813">
        <f t="shared" si="5"/>
        <v>1</v>
      </c>
    </row>
    <row r="20" spans="1:29" ht="15">
      <c r="A20" s="428"/>
      <c r="B20" s="456"/>
      <c r="C20" s="447" t="s">
        <v>3034</v>
      </c>
      <c r="D20" s="448"/>
      <c r="E20" s="2605" t="s">
        <v>3034</v>
      </c>
      <c r="F20" s="448"/>
      <c r="G20" s="2605" t="s">
        <v>3034</v>
      </c>
      <c r="H20" s="448"/>
      <c r="I20" s="2605" t="s">
        <v>3034</v>
      </c>
      <c r="J20" s="448"/>
      <c r="K20" s="2607"/>
      <c r="L20" s="1143"/>
      <c r="M20" s="1134"/>
      <c r="N20" s="1134"/>
      <c r="O20" s="1134"/>
      <c r="P20" s="3223"/>
      <c r="Q20" s="1812"/>
      <c r="R20" s="774"/>
      <c r="S20" s="775"/>
      <c r="T20" s="774"/>
      <c r="U20" s="775"/>
      <c r="V20" s="774"/>
      <c r="W20" s="775"/>
      <c r="X20" s="1815"/>
      <c r="Y20" s="3176"/>
      <c r="Z20" s="1816"/>
      <c r="AA20" s="1813">
        <v>1</v>
      </c>
      <c r="AB20" s="1813">
        <v>1</v>
      </c>
      <c r="AC20" s="1813">
        <v>1</v>
      </c>
    </row>
    <row r="21" spans="1:29" ht="42.75">
      <c r="A21" s="428"/>
      <c r="B21" s="1387" t="s">
        <v>2060</v>
      </c>
      <c r="C21" s="2608" t="str">
        <f>估价对象房地状况!C8</f>
        <v>估价对象所在区域基础设施水平较好</v>
      </c>
      <c r="D21" s="450">
        <v>100</v>
      </c>
      <c r="E21" s="459" t="s">
        <v>3041</v>
      </c>
      <c r="F21" s="455">
        <f>SUMIF(82:82,E22,83:83)-SUMIF(82:82,C22,83:83)+100</f>
        <v>100</v>
      </c>
      <c r="G21" s="459" t="s">
        <v>3041</v>
      </c>
      <c r="H21" s="450">
        <f>SUMIF(82:82,G22,83:83)-SUMIF(82:82,C22,83:83)+100</f>
        <v>100</v>
      </c>
      <c r="I21" s="459" t="s">
        <v>3041</v>
      </c>
      <c r="J21" s="450">
        <f>SUMIF(82:82,I22,83:83)-SUMIF(82:82,C22,83:83)+100</f>
        <v>100</v>
      </c>
      <c r="K21" s="445">
        <v>1</v>
      </c>
      <c r="L21" s="1143"/>
      <c r="M21" s="1134"/>
      <c r="N21" s="1134"/>
      <c r="O21" s="1134"/>
      <c r="P21" s="3223"/>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7"/>
      <c r="C22" s="2609" t="s">
        <v>3036</v>
      </c>
      <c r="D22" s="448"/>
      <c r="E22" s="447" t="s">
        <v>3036</v>
      </c>
      <c r="F22" s="448"/>
      <c r="G22" s="447" t="s">
        <v>3036</v>
      </c>
      <c r="H22" s="448"/>
      <c r="I22" s="447" t="s">
        <v>3036</v>
      </c>
      <c r="J22" s="448"/>
      <c r="K22" s="2613"/>
      <c r="L22" s="1143"/>
      <c r="M22" s="1134"/>
      <c r="N22" s="1134"/>
      <c r="O22" s="1134"/>
      <c r="P22" s="3223"/>
      <c r="Q22" s="1812"/>
      <c r="R22" s="774"/>
      <c r="S22" s="775"/>
      <c r="T22" s="774"/>
      <c r="U22" s="775"/>
      <c r="V22" s="774"/>
      <c r="W22" s="775"/>
      <c r="X22" s="1815"/>
      <c r="Y22" s="3176"/>
      <c r="Z22" s="1816"/>
      <c r="AA22" s="1813">
        <v>1</v>
      </c>
      <c r="AB22" s="1813">
        <v>1</v>
      </c>
      <c r="AC22" s="1813">
        <v>1</v>
      </c>
    </row>
    <row r="23" spans="1:29" ht="99.75">
      <c r="A23" s="428"/>
      <c r="B23" s="451" t="s">
        <v>2062</v>
      </c>
      <c r="C23" s="2608" t="str">
        <f>估价对象房地状况!C9</f>
        <v>区域自然环境较好，人文环境较好，周边有廊坊广播电视大学(香河县分校)、五一公园等；综合评价环境状况较好</v>
      </c>
      <c r="D23" s="450">
        <v>100</v>
      </c>
      <c r="E23" s="454" t="s">
        <v>3136</v>
      </c>
      <c r="F23" s="450">
        <f>SUMIF(84:84,E24,85:85)-SUMIF(84:84,C24,85:85)+100</f>
        <v>100</v>
      </c>
      <c r="G23" s="454" t="s">
        <v>3136</v>
      </c>
      <c r="H23" s="450">
        <f>SUMIF(84:84,G24,85:85)-SUMIF(84:84,C24,85:85)+100</f>
        <v>100</v>
      </c>
      <c r="I23" s="454" t="s">
        <v>3136</v>
      </c>
      <c r="J23" s="450">
        <f>SUMIF(84:84,I24,85:85)-SUMIF(84:84,C24,85:85)+100</f>
        <v>100</v>
      </c>
      <c r="K23" s="445">
        <v>1</v>
      </c>
      <c r="L23" s="1143"/>
      <c r="M23" s="1134"/>
      <c r="N23" s="1134"/>
      <c r="O23" s="1134"/>
      <c r="P23" s="3223"/>
      <c r="Q23" s="1812" t="str">
        <f>B23</f>
        <v>自然及人文环境</v>
      </c>
      <c r="R23" s="774" t="s">
        <v>21</v>
      </c>
      <c r="S23" s="775">
        <f>F23</f>
        <v>100</v>
      </c>
      <c r="T23" s="774" t="s">
        <v>21</v>
      </c>
      <c r="U23" s="775">
        <f>H23</f>
        <v>100</v>
      </c>
      <c r="V23" s="774" t="s">
        <v>21</v>
      </c>
      <c r="W23" s="775">
        <f>J23</f>
        <v>100</v>
      </c>
      <c r="X23" s="1815"/>
      <c r="Y23" s="3176"/>
      <c r="Z23" s="1816" t="str">
        <f>Q23</f>
        <v>自然及人文环境</v>
      </c>
      <c r="AA23" s="1813">
        <f>D23/F23</f>
        <v>1</v>
      </c>
      <c r="AB23" s="1813">
        <f>D23/H23</f>
        <v>1</v>
      </c>
      <c r="AC23" s="1813">
        <f>D23/J23</f>
        <v>1</v>
      </c>
    </row>
    <row r="24" spans="1:29" ht="15">
      <c r="A24" s="428"/>
      <c r="B24" s="456"/>
      <c r="C24" s="447" t="s">
        <v>3034</v>
      </c>
      <c r="D24" s="448"/>
      <c r="E24" s="2605" t="s">
        <v>3034</v>
      </c>
      <c r="F24" s="448"/>
      <c r="G24" s="2605" t="s">
        <v>3034</v>
      </c>
      <c r="H24" s="448"/>
      <c r="I24" s="2605" t="s">
        <v>3034</v>
      </c>
      <c r="J24" s="448"/>
      <c r="K24" s="2607"/>
      <c r="L24" s="1143"/>
      <c r="M24" s="1134"/>
      <c r="N24" s="1134"/>
      <c r="O24" s="1134"/>
      <c r="P24" s="3223"/>
      <c r="Q24" s="1812"/>
      <c r="R24" s="774"/>
      <c r="S24" s="775"/>
      <c r="T24" s="774"/>
      <c r="U24" s="775"/>
      <c r="V24" s="774"/>
      <c r="W24" s="775"/>
      <c r="X24" s="1815"/>
      <c r="Y24" s="3176"/>
      <c r="Z24" s="1816"/>
      <c r="AA24" s="1813">
        <v>1</v>
      </c>
      <c r="AB24" s="1813">
        <v>1</v>
      </c>
      <c r="AC24" s="1813">
        <v>1</v>
      </c>
    </row>
    <row r="25" spans="1:29" ht="15">
      <c r="A25" s="428"/>
      <c r="B25" s="422" t="s">
        <v>2519</v>
      </c>
      <c r="C25" s="460" t="s">
        <v>3156</v>
      </c>
      <c r="D25" s="435">
        <v>100</v>
      </c>
      <c r="E25" s="2614" t="s">
        <v>70</v>
      </c>
      <c r="F25" s="435">
        <f>SUMIF(86:86,E25,87:87)-SUMIF(86:86,C25,87:87)+100</f>
        <v>100</v>
      </c>
      <c r="G25" s="2614" t="s">
        <v>70</v>
      </c>
      <c r="H25" s="435">
        <f>SUMIF(86:86,G25,87:87)-SUMIF(86:86,C25,87:87)+100</f>
        <v>100</v>
      </c>
      <c r="I25" s="2614" t="s">
        <v>70</v>
      </c>
      <c r="J25" s="435">
        <f>SUMIF(86:86,I25,87:87)-SUMIF(86:86,C25,87:87)+100</f>
        <v>100</v>
      </c>
      <c r="K25" s="426">
        <v>1</v>
      </c>
      <c r="L25" s="1143"/>
      <c r="M25" s="1134"/>
      <c r="N25" s="1134"/>
      <c r="O25" s="1134"/>
      <c r="P25" s="322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6"/>
      <c r="Z25" s="1816" t="str">
        <f>Q25</f>
        <v>楼层-1</v>
      </c>
      <c r="AA25" s="1813">
        <f t="shared" ref="AA25:AA46" si="15">D25/F25</f>
        <v>1</v>
      </c>
      <c r="AB25" s="1813">
        <f t="shared" ref="AB25:AB46" si="16">D25/H25</f>
        <v>1</v>
      </c>
      <c r="AC25" s="1813">
        <f t="shared" ref="AC25:AC46" si="17">D25/J25</f>
        <v>1</v>
      </c>
    </row>
    <row r="26" spans="1:29" ht="15">
      <c r="A26" s="428"/>
      <c r="B26" s="422" t="s">
        <v>2520</v>
      </c>
      <c r="C26" s="460" t="s">
        <v>3156</v>
      </c>
      <c r="D26" s="435">
        <v>100</v>
      </c>
      <c r="E26" s="2614" t="s">
        <v>70</v>
      </c>
      <c r="F26" s="435">
        <f>SUMIF(88:88,E26,89:89)-SUMIF(88:88,C26,89:89)+100</f>
        <v>100</v>
      </c>
      <c r="G26" s="2614" t="s">
        <v>70</v>
      </c>
      <c r="H26" s="435">
        <f>SUMIF(88:88,G26,89:89)-SUMIF(88:88,C26,89:89)+100</f>
        <v>100</v>
      </c>
      <c r="I26" s="2614" t="s">
        <v>70</v>
      </c>
      <c r="J26" s="435">
        <f>SUMIF(88:88,I26,89:89)-SUMIF(88:88,C26,89:89)+100</f>
        <v>100</v>
      </c>
      <c r="K26" s="426">
        <v>1</v>
      </c>
      <c r="L26" s="1143"/>
      <c r="M26" s="1134"/>
      <c r="N26" s="1134"/>
      <c r="O26" s="1134"/>
      <c r="P26" s="3223"/>
      <c r="Q26" s="1812" t="str">
        <f t="shared" si="11"/>
        <v>朝向</v>
      </c>
      <c r="R26" s="774" t="s">
        <v>21</v>
      </c>
      <c r="S26" s="775">
        <f t="shared" si="12"/>
        <v>100</v>
      </c>
      <c r="T26" s="774" t="s">
        <v>21</v>
      </c>
      <c r="U26" s="775">
        <f t="shared" si="13"/>
        <v>100</v>
      </c>
      <c r="V26" s="774" t="s">
        <v>21</v>
      </c>
      <c r="W26" s="775">
        <f t="shared" si="14"/>
        <v>100</v>
      </c>
      <c r="X26" s="1815"/>
      <c r="Y26" s="3176"/>
      <c r="Z26" s="1816" t="str">
        <f>Q26</f>
        <v>朝向</v>
      </c>
      <c r="AA26" s="1813">
        <f t="shared" si="15"/>
        <v>1</v>
      </c>
      <c r="AB26" s="1813">
        <f t="shared" si="16"/>
        <v>1</v>
      </c>
      <c r="AC26" s="1813">
        <f t="shared" si="17"/>
        <v>1</v>
      </c>
    </row>
    <row r="27" spans="1:29" s="117" customFormat="1" ht="15">
      <c r="A27" s="431"/>
      <c r="B27" s="3288" t="s">
        <v>3172</v>
      </c>
      <c r="C27" s="3289" t="s">
        <v>3173</v>
      </c>
      <c r="D27" s="462">
        <v>100</v>
      </c>
      <c r="E27" s="3289" t="s">
        <v>3173</v>
      </c>
      <c r="F27" s="462">
        <f>SUMIF(90:90,E27,91:91)-SUMIF(90:90,C27,91:91)+100</f>
        <v>100</v>
      </c>
      <c r="G27" s="3289" t="s">
        <v>3173</v>
      </c>
      <c r="H27" s="462">
        <f>SUMIF(90:90,G27,91:91)-SUMIF(90:90,C27,91:91)+100</f>
        <v>100</v>
      </c>
      <c r="I27" s="3289" t="s">
        <v>3173</v>
      </c>
      <c r="J27" s="462">
        <f>SUMIF(90:90,I27,91:91)-SUMIF(90:90,C27,91:91)+100</f>
        <v>100</v>
      </c>
      <c r="K27" s="2602"/>
      <c r="L27" s="1135"/>
      <c r="M27" s="1136"/>
      <c r="N27" s="1136"/>
      <c r="O27" s="1136"/>
      <c r="P27" s="3223"/>
      <c r="Q27" s="1797" t="str">
        <f t="shared" si="11"/>
        <v>临街道路</v>
      </c>
      <c r="R27" s="770" t="s">
        <v>21</v>
      </c>
      <c r="S27" s="771">
        <f t="shared" si="12"/>
        <v>100</v>
      </c>
      <c r="T27" s="770" t="s">
        <v>21</v>
      </c>
      <c r="U27" s="771">
        <f t="shared" si="13"/>
        <v>100</v>
      </c>
      <c r="V27" s="770" t="s">
        <v>21</v>
      </c>
      <c r="W27" s="771">
        <f t="shared" si="14"/>
        <v>100</v>
      </c>
      <c r="X27" s="772"/>
      <c r="Y27" s="3176"/>
      <c r="Z27" s="55" t="str">
        <f>Q27</f>
        <v>临街道路</v>
      </c>
      <c r="AA27" s="1813">
        <f t="shared" si="15"/>
        <v>1</v>
      </c>
      <c r="AB27" s="1813">
        <f t="shared" si="16"/>
        <v>1</v>
      </c>
      <c r="AC27" s="1813">
        <f t="shared" si="17"/>
        <v>1</v>
      </c>
    </row>
    <row r="28" spans="1:29" ht="15">
      <c r="A28" s="428"/>
      <c r="B28" s="1389"/>
      <c r="C28" s="3290" t="s">
        <v>3174</v>
      </c>
      <c r="D28" s="435">
        <v>100</v>
      </c>
      <c r="E28" s="3290" t="s">
        <v>3175</v>
      </c>
      <c r="F28" s="435">
        <f>SUMIF(92:92,E28,93:93)-SUMIF(92:92,C28,93:93)+100</f>
        <v>100</v>
      </c>
      <c r="G28" s="3290" t="s">
        <v>3175</v>
      </c>
      <c r="H28" s="435">
        <f>SUMIF(92:92,G28,93:93)-SUMIF(92:92,C28,93:93)+100</f>
        <v>100</v>
      </c>
      <c r="I28" s="3290" t="s">
        <v>3175</v>
      </c>
      <c r="J28" s="435">
        <f>SUMIF(92:92,I28,93:93)-SUMIF(92:92,C28,93:93)+100</f>
        <v>100</v>
      </c>
      <c r="K28" s="2602"/>
      <c r="L28" s="1143"/>
      <c r="M28" s="1134"/>
      <c r="N28" s="1134"/>
      <c r="O28" s="1134"/>
      <c r="P28" s="3223"/>
      <c r="Q28" s="1812">
        <f t="shared" si="11"/>
        <v>0</v>
      </c>
      <c r="R28" s="774" t="s">
        <v>21</v>
      </c>
      <c r="S28" s="775">
        <f t="shared" si="12"/>
        <v>100</v>
      </c>
      <c r="T28" s="774" t="s">
        <v>21</v>
      </c>
      <c r="U28" s="775">
        <f t="shared" si="13"/>
        <v>100</v>
      </c>
      <c r="V28" s="774" t="s">
        <v>21</v>
      </c>
      <c r="W28" s="775">
        <f t="shared" si="14"/>
        <v>100</v>
      </c>
      <c r="X28" s="1815"/>
      <c r="Y28" s="3176"/>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23"/>
      <c r="Q29" s="1812">
        <f t="shared" si="11"/>
        <v>0</v>
      </c>
      <c r="R29" s="774" t="s">
        <v>21</v>
      </c>
      <c r="S29" s="775">
        <f t="shared" si="12"/>
        <v>100</v>
      </c>
      <c r="T29" s="774" t="s">
        <v>21</v>
      </c>
      <c r="U29" s="775">
        <f t="shared" si="13"/>
        <v>100</v>
      </c>
      <c r="V29" s="774" t="s">
        <v>21</v>
      </c>
      <c r="W29" s="775">
        <f t="shared" si="14"/>
        <v>100</v>
      </c>
      <c r="X29" s="1815"/>
      <c r="Y29" s="3176"/>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23"/>
      <c r="Q30" s="1812">
        <f t="shared" si="11"/>
        <v>0</v>
      </c>
      <c r="R30" s="774" t="s">
        <v>21</v>
      </c>
      <c r="S30" s="775">
        <f t="shared" si="12"/>
        <v>100</v>
      </c>
      <c r="T30" s="774" t="s">
        <v>21</v>
      </c>
      <c r="U30" s="775">
        <f t="shared" si="13"/>
        <v>100</v>
      </c>
      <c r="V30" s="774" t="s">
        <v>21</v>
      </c>
      <c r="W30" s="775">
        <f t="shared" si="14"/>
        <v>100</v>
      </c>
      <c r="X30" s="1815"/>
      <c r="Y30" s="3176"/>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23"/>
      <c r="Q31" s="1812">
        <f t="shared" si="11"/>
        <v>0</v>
      </c>
      <c r="R31" s="774" t="s">
        <v>21</v>
      </c>
      <c r="S31" s="775">
        <f t="shared" si="12"/>
        <v>100</v>
      </c>
      <c r="T31" s="774" t="s">
        <v>21</v>
      </c>
      <c r="U31" s="775">
        <f t="shared" si="13"/>
        <v>100</v>
      </c>
      <c r="V31" s="774" t="s">
        <v>21</v>
      </c>
      <c r="W31" s="775">
        <f t="shared" si="14"/>
        <v>100</v>
      </c>
      <c r="X31" s="1815"/>
      <c r="Y31" s="3176"/>
      <c r="Z31" s="1816">
        <f t="shared" si="18"/>
        <v>0</v>
      </c>
      <c r="AA31" s="1813">
        <f t="shared" si="15"/>
        <v>1</v>
      </c>
      <c r="AB31" s="1813">
        <f t="shared" si="16"/>
        <v>1</v>
      </c>
      <c r="AC31" s="1813">
        <f t="shared" si="17"/>
        <v>1</v>
      </c>
    </row>
    <row r="32" spans="1:29" ht="15">
      <c r="A32" s="440" t="s">
        <v>2521</v>
      </c>
      <c r="B32" s="71" t="s">
        <v>2522</v>
      </c>
      <c r="C32" s="2618" t="s">
        <v>3157</v>
      </c>
      <c r="D32" s="467">
        <v>100</v>
      </c>
      <c r="E32" s="2618" t="s">
        <v>3157</v>
      </c>
      <c r="F32" s="461">
        <f>SUMIF(100:100,E32,101:101)-SUMIF(100:100,C32,101:101)+100</f>
        <v>100</v>
      </c>
      <c r="G32" s="2618" t="s">
        <v>3157</v>
      </c>
      <c r="H32" s="467">
        <f>SUMIF(100:100,G32,101:101)-SUMIF(100:100,C32,101:101)+100</f>
        <v>100</v>
      </c>
      <c r="I32" s="2618" t="s">
        <v>3157</v>
      </c>
      <c r="J32" s="435">
        <f>SUMIF(100:100,I32,101:101)-SUMIF(100:100,C32,101:101)+100</f>
        <v>100</v>
      </c>
      <c r="K32" s="426">
        <v>1</v>
      </c>
      <c r="L32" s="1143"/>
      <c r="M32" s="1134"/>
      <c r="N32" s="1134"/>
      <c r="O32" s="1134"/>
      <c r="P32" s="3218" t="s">
        <v>2523</v>
      </c>
      <c r="Q32" s="1812" t="str">
        <f t="shared" si="11"/>
        <v>建筑类型</v>
      </c>
      <c r="R32" s="774" t="s">
        <v>21</v>
      </c>
      <c r="S32" s="775">
        <f t="shared" si="12"/>
        <v>100</v>
      </c>
      <c r="T32" s="774" t="s">
        <v>21</v>
      </c>
      <c r="U32" s="775">
        <f t="shared" si="13"/>
        <v>100</v>
      </c>
      <c r="V32" s="774" t="s">
        <v>21</v>
      </c>
      <c r="W32" s="775">
        <f t="shared" si="14"/>
        <v>100</v>
      </c>
      <c r="X32" s="1815"/>
      <c r="Y32" s="3178" t="s">
        <v>2523</v>
      </c>
      <c r="Z32" s="1816" t="str">
        <f t="shared" si="18"/>
        <v>建筑类型</v>
      </c>
      <c r="AA32" s="1813">
        <f t="shared" si="15"/>
        <v>1</v>
      </c>
      <c r="AB32" s="1813">
        <f t="shared" si="16"/>
        <v>1</v>
      </c>
      <c r="AC32" s="1813">
        <f t="shared" si="17"/>
        <v>1</v>
      </c>
    </row>
    <row r="33" spans="1:29" s="471" customFormat="1" ht="15">
      <c r="A33" s="468"/>
      <c r="B33" s="422" t="s">
        <v>2524</v>
      </c>
      <c r="C33" s="469">
        <f>'数据-基础表'!B3</f>
        <v>19689.989999999998</v>
      </c>
      <c r="D33" s="136">
        <v>100</v>
      </c>
      <c r="E33" s="430">
        <v>220000</v>
      </c>
      <c r="F33" s="425">
        <f>LOOKUP(E33,103:103,104:104)-LOOKUP(C33,103:103,104:104)+100</f>
        <v>104</v>
      </c>
      <c r="G33" s="429">
        <v>274125</v>
      </c>
      <c r="H33" s="136">
        <f>LOOKUP(G33,103:103,104:104)-LOOKUP(C33,103:103,104:104)+100</f>
        <v>105</v>
      </c>
      <c r="I33" s="430">
        <v>82858</v>
      </c>
      <c r="J33" s="136">
        <f>LOOKUP(I33,103:103,104:104)-LOOKUP(C33,103:103,104:104)+100</f>
        <v>101</v>
      </c>
      <c r="K33" s="2602"/>
      <c r="L33" s="1141"/>
      <c r="M33" s="1144"/>
      <c r="N33" s="1144"/>
      <c r="O33" s="1144"/>
      <c r="P33" s="3219"/>
      <c r="Q33" s="776" t="str">
        <f t="shared" si="11"/>
        <v>项目建筑规模</v>
      </c>
      <c r="R33" s="777" t="s">
        <v>21</v>
      </c>
      <c r="S33" s="778">
        <f t="shared" si="12"/>
        <v>104</v>
      </c>
      <c r="T33" s="777" t="s">
        <v>21</v>
      </c>
      <c r="U33" s="778">
        <f t="shared" si="13"/>
        <v>105</v>
      </c>
      <c r="V33" s="777" t="s">
        <v>21</v>
      </c>
      <c r="W33" s="778">
        <f t="shared" si="14"/>
        <v>101</v>
      </c>
      <c r="X33" s="779"/>
      <c r="Y33" s="3178"/>
      <c r="Z33" s="780" t="str">
        <f t="shared" si="18"/>
        <v>项目建筑规模</v>
      </c>
      <c r="AA33" s="1813">
        <f t="shared" si="15"/>
        <v>0.96153846153846156</v>
      </c>
      <c r="AB33" s="1813">
        <f t="shared" si="16"/>
        <v>0.95238095238095233</v>
      </c>
      <c r="AC33" s="1813">
        <f t="shared" si="17"/>
        <v>0.99009900990099009</v>
      </c>
    </row>
    <row r="34" spans="1:29" ht="15">
      <c r="A34" s="472"/>
      <c r="B34" s="422" t="s">
        <v>2525</v>
      </c>
      <c r="C34" s="2619" t="s">
        <v>3159</v>
      </c>
      <c r="D34" s="435">
        <v>100</v>
      </c>
      <c r="E34" s="2620" t="s">
        <v>3159</v>
      </c>
      <c r="F34" s="461">
        <f>SUMIF(105:105,E34,106:106)-SUMIF(105:105,C34,106:106)+100</f>
        <v>100</v>
      </c>
      <c r="G34" s="2620" t="s">
        <v>3159</v>
      </c>
      <c r="H34" s="435">
        <f>SUMIF(105:105,G34,106:106)-SUMIF(105:105,C34,106:106)+100</f>
        <v>100</v>
      </c>
      <c r="I34" s="2620" t="s">
        <v>3159</v>
      </c>
      <c r="J34" s="435">
        <f>SUMIF(105:105,I34,106:106)-SUMIF(105:105,C34,106:106)+100</f>
        <v>100</v>
      </c>
      <c r="K34" s="426">
        <v>1</v>
      </c>
      <c r="L34" s="1143"/>
      <c r="M34" s="1134"/>
      <c r="N34" s="1134"/>
      <c r="O34" s="1134"/>
      <c r="P34" s="3219"/>
      <c r="Q34" s="1812" t="str">
        <f t="shared" si="11"/>
        <v>建筑结构</v>
      </c>
      <c r="R34" s="774" t="s">
        <v>21</v>
      </c>
      <c r="S34" s="775">
        <f t="shared" si="12"/>
        <v>100</v>
      </c>
      <c r="T34" s="774" t="s">
        <v>21</v>
      </c>
      <c r="U34" s="775">
        <f t="shared" si="13"/>
        <v>100</v>
      </c>
      <c r="V34" s="774" t="s">
        <v>21</v>
      </c>
      <c r="W34" s="775">
        <f t="shared" si="14"/>
        <v>100</v>
      </c>
      <c r="X34" s="1815"/>
      <c r="Y34" s="3178"/>
      <c r="Z34" s="1816" t="str">
        <f t="shared" si="18"/>
        <v>建筑结构</v>
      </c>
      <c r="AA34" s="1813">
        <f t="shared" si="15"/>
        <v>1</v>
      </c>
      <c r="AB34" s="1813">
        <f t="shared" si="16"/>
        <v>1</v>
      </c>
      <c r="AC34" s="1813">
        <f t="shared" si="17"/>
        <v>1</v>
      </c>
    </row>
    <row r="35" spans="1:29" ht="15">
      <c r="A35" s="472"/>
      <c r="B35" s="422" t="s">
        <v>2526</v>
      </c>
      <c r="C35" s="2614" t="s">
        <v>3149</v>
      </c>
      <c r="D35" s="435">
        <v>100</v>
      </c>
      <c r="E35" s="2615" t="s">
        <v>3034</v>
      </c>
      <c r="F35" s="461">
        <f>SUMIF(107:107,E35,108:108)-SUMIF(107:107,C35,108:108)+100</f>
        <v>103</v>
      </c>
      <c r="G35" s="2615" t="s">
        <v>3034</v>
      </c>
      <c r="H35" s="435">
        <f>SUMIF(107:107,G35,108:108)-SUMIF(107:107,C35,108:108)+100</f>
        <v>103</v>
      </c>
      <c r="I35" s="2615" t="s">
        <v>3034</v>
      </c>
      <c r="J35" s="435">
        <f>SUMIF(107:107,I35,108:108)-SUMIF(107:107,C35,108:108)+100</f>
        <v>103</v>
      </c>
      <c r="K35" s="426">
        <v>3</v>
      </c>
      <c r="L35" s="1143"/>
      <c r="M35" s="1134"/>
      <c r="N35" s="1134"/>
      <c r="O35" s="1134"/>
      <c r="P35" s="3219"/>
      <c r="Q35" s="1812" t="str">
        <f t="shared" si="11"/>
        <v>建筑品质</v>
      </c>
      <c r="R35" s="774" t="s">
        <v>21</v>
      </c>
      <c r="S35" s="775">
        <f t="shared" si="12"/>
        <v>103</v>
      </c>
      <c r="T35" s="774" t="s">
        <v>21</v>
      </c>
      <c r="U35" s="775">
        <f t="shared" si="13"/>
        <v>103</v>
      </c>
      <c r="V35" s="774" t="s">
        <v>21</v>
      </c>
      <c r="W35" s="775">
        <f t="shared" si="14"/>
        <v>103</v>
      </c>
      <c r="X35" s="1815"/>
      <c r="Y35" s="3178"/>
      <c r="Z35" s="1816" t="str">
        <f t="shared" si="18"/>
        <v>建筑品质</v>
      </c>
      <c r="AA35" s="1813">
        <f t="shared" si="15"/>
        <v>0.970873786407767</v>
      </c>
      <c r="AB35" s="1813">
        <f t="shared" si="16"/>
        <v>0.970873786407767</v>
      </c>
      <c r="AC35" s="1813">
        <f t="shared" si="17"/>
        <v>0.970873786407767</v>
      </c>
    </row>
    <row r="36" spans="1:29" ht="15">
      <c r="A36" s="472"/>
      <c r="B36" s="422" t="s">
        <v>2527</v>
      </c>
      <c r="C36" s="2614" t="s">
        <v>3162</v>
      </c>
      <c r="D36" s="435">
        <v>100</v>
      </c>
      <c r="E36" s="2615" t="s">
        <v>3162</v>
      </c>
      <c r="F36" s="461">
        <f>SUMIF(109:109,E36,110:110)-SUMIF(109:109,C36,110:110)+100</f>
        <v>100</v>
      </c>
      <c r="G36" s="2615" t="s">
        <v>3162</v>
      </c>
      <c r="H36" s="435">
        <f>SUMIF(109:109,G36,110:110)-SUMIF(109:109,C36,110:110)+100</f>
        <v>100</v>
      </c>
      <c r="I36" s="2615" t="s">
        <v>3162</v>
      </c>
      <c r="J36" s="435">
        <f>SUMIF(109:109,I36,110:110)-SUMIF(109:109,C36,110:110)+100</f>
        <v>100</v>
      </c>
      <c r="K36" s="426">
        <v>1</v>
      </c>
      <c r="L36" s="1143"/>
      <c r="M36" s="1134"/>
      <c r="N36" s="1134"/>
      <c r="O36" s="1134"/>
      <c r="P36" s="3219"/>
      <c r="Q36" s="1812" t="str">
        <f t="shared" si="11"/>
        <v>公共部分装修</v>
      </c>
      <c r="R36" s="774" t="s">
        <v>21</v>
      </c>
      <c r="S36" s="775">
        <f t="shared" si="12"/>
        <v>100</v>
      </c>
      <c r="T36" s="774" t="s">
        <v>21</v>
      </c>
      <c r="U36" s="775">
        <f t="shared" si="13"/>
        <v>100</v>
      </c>
      <c r="V36" s="774" t="s">
        <v>21</v>
      </c>
      <c r="W36" s="775">
        <f t="shared" si="14"/>
        <v>100</v>
      </c>
      <c r="X36" s="1815"/>
      <c r="Y36" s="3178"/>
      <c r="Z36" s="1816" t="str">
        <f t="shared" si="18"/>
        <v>公共部分装修</v>
      </c>
      <c r="AA36" s="1813">
        <f t="shared" si="15"/>
        <v>1</v>
      </c>
      <c r="AB36" s="1813">
        <f t="shared" si="16"/>
        <v>1</v>
      </c>
      <c r="AC36" s="1813">
        <f t="shared" si="17"/>
        <v>1</v>
      </c>
    </row>
    <row r="37" spans="1:29" s="117" customFormat="1" ht="15">
      <c r="A37" s="473"/>
      <c r="B37" s="422" t="s">
        <v>2528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19"/>
      <c r="Q37" s="1797" t="str">
        <f t="shared" si="11"/>
        <v>成新度</v>
      </c>
      <c r="R37" s="770" t="s">
        <v>21</v>
      </c>
      <c r="S37" s="771">
        <f t="shared" si="12"/>
        <v>100</v>
      </c>
      <c r="T37" s="770" t="s">
        <v>21</v>
      </c>
      <c r="U37" s="771">
        <f t="shared" si="13"/>
        <v>100</v>
      </c>
      <c r="V37" s="770" t="s">
        <v>21</v>
      </c>
      <c r="W37" s="771">
        <f t="shared" si="14"/>
        <v>100</v>
      </c>
      <c r="X37" s="772"/>
      <c r="Y37" s="3178"/>
      <c r="Z37" s="55" t="str">
        <f t="shared" si="18"/>
        <v>成新度</v>
      </c>
      <c r="AA37" s="773">
        <f t="shared" si="15"/>
        <v>1</v>
      </c>
      <c r="AB37" s="773">
        <f t="shared" si="16"/>
        <v>1</v>
      </c>
      <c r="AC37" s="773">
        <f t="shared" si="17"/>
        <v>1</v>
      </c>
    </row>
    <row r="38" spans="1:29" ht="15">
      <c r="A38" s="472"/>
      <c r="B38" s="422" t="s">
        <v>2529</v>
      </c>
      <c r="C38" s="2614" t="s">
        <v>3164</v>
      </c>
      <c r="D38" s="435">
        <v>100</v>
      </c>
      <c r="E38" s="2615" t="s">
        <v>3164</v>
      </c>
      <c r="F38" s="461">
        <f>SUMIF(114:114,E38,115:115)-SUMIF(114:114,C38,115:115)+100</f>
        <v>100</v>
      </c>
      <c r="G38" s="2615" t="s">
        <v>3164</v>
      </c>
      <c r="H38" s="435">
        <f>SUMIF(114:114,G38,115:115)-SUMIF(114:114,C38,115:115)+100</f>
        <v>100</v>
      </c>
      <c r="I38" s="2615" t="s">
        <v>3164</v>
      </c>
      <c r="J38" s="435">
        <f>SUMIF(114:114,I38,115:115)-SUMIF(114:114,C38,115:115)+100</f>
        <v>100</v>
      </c>
      <c r="K38" s="426">
        <v>1</v>
      </c>
      <c r="L38" s="1143"/>
      <c r="M38" s="1134"/>
      <c r="N38" s="1134"/>
      <c r="O38" s="1134"/>
      <c r="P38" s="3219" t="s">
        <v>2523</v>
      </c>
      <c r="Q38" s="1812" t="str">
        <f t="shared" si="11"/>
        <v>物业管理</v>
      </c>
      <c r="R38" s="774" t="s">
        <v>21</v>
      </c>
      <c r="S38" s="775">
        <f t="shared" si="12"/>
        <v>100</v>
      </c>
      <c r="T38" s="774" t="s">
        <v>21</v>
      </c>
      <c r="U38" s="775">
        <f t="shared" si="13"/>
        <v>100</v>
      </c>
      <c r="V38" s="774" t="s">
        <v>21</v>
      </c>
      <c r="W38" s="775">
        <f t="shared" si="14"/>
        <v>100</v>
      </c>
      <c r="X38" s="1815"/>
      <c r="Y38" s="3178" t="s">
        <v>2523</v>
      </c>
      <c r="Z38" s="1816" t="str">
        <f t="shared" si="18"/>
        <v>物业管理</v>
      </c>
      <c r="AA38" s="1813">
        <f t="shared" si="15"/>
        <v>1</v>
      </c>
      <c r="AB38" s="1813">
        <f t="shared" si="16"/>
        <v>1</v>
      </c>
      <c r="AC38" s="1813">
        <f t="shared" si="17"/>
        <v>1</v>
      </c>
    </row>
    <row r="39" spans="1:29" ht="15">
      <c r="A39" s="472"/>
      <c r="B39" s="422" t="s">
        <v>2530</v>
      </c>
      <c r="C39" s="2614" t="s">
        <v>3036</v>
      </c>
      <c r="D39" s="435">
        <v>100</v>
      </c>
      <c r="E39" s="2615" t="s">
        <v>3036</v>
      </c>
      <c r="F39" s="461">
        <f>SUMIF(116:116,E39,117:117)-SUMIF(116:116,C39,117:117)+100</f>
        <v>100</v>
      </c>
      <c r="G39" s="2615" t="s">
        <v>3036</v>
      </c>
      <c r="H39" s="435">
        <f>SUMIF(116:116,G39,117:117)-SUMIF(116:116,C39,117:117)+100</f>
        <v>100</v>
      </c>
      <c r="I39" s="2615" t="s">
        <v>3036</v>
      </c>
      <c r="J39" s="435">
        <f>SUMIF(116:116,I39,117:117)-SUMIF(116:116,C39,117:117)+100</f>
        <v>100</v>
      </c>
      <c r="K39" s="426">
        <v>1</v>
      </c>
      <c r="L39" s="1143"/>
      <c r="M39" s="1134"/>
      <c r="N39" s="1134"/>
      <c r="O39" s="1134"/>
      <c r="P39" s="3219"/>
      <c r="Q39" s="1812" t="str">
        <f t="shared" si="11"/>
        <v>市政基础设施</v>
      </c>
      <c r="R39" s="774" t="s">
        <v>21</v>
      </c>
      <c r="S39" s="775">
        <f t="shared" si="12"/>
        <v>100</v>
      </c>
      <c r="T39" s="774" t="s">
        <v>21</v>
      </c>
      <c r="U39" s="775">
        <f t="shared" si="13"/>
        <v>100</v>
      </c>
      <c r="V39" s="774" t="s">
        <v>21</v>
      </c>
      <c r="W39" s="775">
        <f t="shared" si="14"/>
        <v>100</v>
      </c>
      <c r="X39" s="1815"/>
      <c r="Y39" s="3178"/>
      <c r="Z39" s="1816" t="str">
        <f t="shared" si="18"/>
        <v>市政基础设施</v>
      </c>
      <c r="AA39" s="1813">
        <f t="shared" si="15"/>
        <v>1</v>
      </c>
      <c r="AB39" s="1813">
        <f t="shared" si="16"/>
        <v>1</v>
      </c>
      <c r="AC39" s="1813">
        <f t="shared" si="17"/>
        <v>1</v>
      </c>
    </row>
    <row r="40" spans="1:29" ht="15">
      <c r="A40" s="472"/>
      <c r="B40" s="422" t="s">
        <v>2531</v>
      </c>
      <c r="C40" s="2614" t="s">
        <v>70</v>
      </c>
      <c r="D40" s="435">
        <v>100</v>
      </c>
      <c r="E40" s="2615" t="s">
        <v>70</v>
      </c>
      <c r="F40" s="461">
        <f>SUMIF(118:118,E40,119:119)-SUMIF(118:118,C40,119:119)+100</f>
        <v>100</v>
      </c>
      <c r="G40" s="2615" t="s">
        <v>70</v>
      </c>
      <c r="H40" s="435">
        <f>SUMIF(118:118,G40,119:119)-SUMIF(118:118,C40,119:119)+100</f>
        <v>100</v>
      </c>
      <c r="I40" s="2615" t="s">
        <v>70</v>
      </c>
      <c r="J40" s="435">
        <f>SUMIF(118:118,I40,119:119)-SUMIF(118:118,C40,119:119)+100</f>
        <v>100</v>
      </c>
      <c r="K40" s="426">
        <v>1</v>
      </c>
      <c r="L40" s="1143"/>
      <c r="M40" s="1134"/>
      <c r="N40" s="1134"/>
      <c r="O40" s="1134"/>
      <c r="P40" s="3219"/>
      <c r="Q40" s="1812" t="str">
        <f t="shared" si="11"/>
        <v>房型</v>
      </c>
      <c r="R40" s="774" t="s">
        <v>21</v>
      </c>
      <c r="S40" s="775">
        <f t="shared" si="12"/>
        <v>100</v>
      </c>
      <c r="T40" s="774" t="s">
        <v>21</v>
      </c>
      <c r="U40" s="775">
        <f t="shared" si="13"/>
        <v>100</v>
      </c>
      <c r="V40" s="774" t="s">
        <v>21</v>
      </c>
      <c r="W40" s="775">
        <f t="shared" si="14"/>
        <v>100</v>
      </c>
      <c r="X40" s="1815"/>
      <c r="Y40" s="3178"/>
      <c r="Z40" s="1816" t="str">
        <f t="shared" si="18"/>
        <v>房型</v>
      </c>
      <c r="AA40" s="1813">
        <f t="shared" si="15"/>
        <v>1</v>
      </c>
      <c r="AB40" s="1813">
        <f t="shared" si="16"/>
        <v>1</v>
      </c>
      <c r="AC40" s="1813">
        <f t="shared" si="17"/>
        <v>1</v>
      </c>
    </row>
    <row r="41" spans="1:29" s="471" customFormat="1" ht="28.5">
      <c r="A41" s="468"/>
      <c r="B41" s="422" t="s">
        <v>2532</v>
      </c>
      <c r="C41" s="469" t="s">
        <v>3156</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2"/>
      <c r="L41" s="1141"/>
      <c r="M41" s="1144"/>
      <c r="N41" s="1144"/>
      <c r="O41" s="1144"/>
      <c r="P41" s="3219"/>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3">
        <f t="shared" si="15"/>
        <v>1</v>
      </c>
      <c r="AB41" s="1813">
        <f t="shared" si="16"/>
        <v>1</v>
      </c>
      <c r="AC41" s="1813">
        <f t="shared" si="17"/>
        <v>1</v>
      </c>
    </row>
    <row r="42" spans="1:29" ht="15">
      <c r="A42" s="472"/>
      <c r="B42" s="422" t="s">
        <v>2533</v>
      </c>
      <c r="C42" s="2614" t="s">
        <v>3167</v>
      </c>
      <c r="D42" s="435">
        <v>100</v>
      </c>
      <c r="E42" s="2615" t="s">
        <v>3167</v>
      </c>
      <c r="F42" s="461">
        <f>SUMIF(122:122,E42,123:123)-SUMIF(122:122,C42,123:123)+100</f>
        <v>100</v>
      </c>
      <c r="G42" s="2615" t="s">
        <v>3167</v>
      </c>
      <c r="H42" s="435">
        <f>SUMIF(122:122,G42,123:123)-SUMIF(122:122,C42,123:123)+100</f>
        <v>100</v>
      </c>
      <c r="I42" s="2615" t="s">
        <v>3167</v>
      </c>
      <c r="J42" s="435">
        <f>SUMIF(122:122,I42,123:123)-SUMIF(122:122,C42,123:123)+100</f>
        <v>100</v>
      </c>
      <c r="K42" s="426">
        <v>1</v>
      </c>
      <c r="L42" s="1143"/>
      <c r="M42" s="1134"/>
      <c r="N42" s="1134"/>
      <c r="O42" s="1134"/>
      <c r="P42" s="3219"/>
      <c r="Q42" s="1812" t="str">
        <f t="shared" si="11"/>
        <v>内部装修</v>
      </c>
      <c r="R42" s="774" t="s">
        <v>21</v>
      </c>
      <c r="S42" s="775">
        <f t="shared" si="12"/>
        <v>100</v>
      </c>
      <c r="T42" s="774" t="s">
        <v>21</v>
      </c>
      <c r="U42" s="775">
        <f t="shared" si="13"/>
        <v>100</v>
      </c>
      <c r="V42" s="774" t="s">
        <v>21</v>
      </c>
      <c r="W42" s="775">
        <f t="shared" si="14"/>
        <v>100</v>
      </c>
      <c r="X42" s="1815"/>
      <c r="Y42" s="3178"/>
      <c r="Z42" s="1816" t="str">
        <f t="shared" si="18"/>
        <v>内部装修</v>
      </c>
      <c r="AA42" s="1813">
        <f t="shared" si="15"/>
        <v>1</v>
      </c>
      <c r="AB42" s="1813">
        <f t="shared" si="16"/>
        <v>1</v>
      </c>
      <c r="AC42" s="1813">
        <f t="shared" si="17"/>
        <v>1</v>
      </c>
    </row>
    <row r="43" spans="1:29" ht="15">
      <c r="A43" s="472"/>
      <c r="B43" s="422" t="s">
        <v>2534</v>
      </c>
      <c r="C43" s="2614" t="s">
        <v>3034</v>
      </c>
      <c r="D43" s="435">
        <v>100</v>
      </c>
      <c r="E43" s="2615" t="s">
        <v>3034</v>
      </c>
      <c r="F43" s="461">
        <f>SUMIF(124:124,E43,125:125)-SUMIF(124:124,C43,125:125)+100</f>
        <v>100</v>
      </c>
      <c r="G43" s="2615" t="s">
        <v>3034</v>
      </c>
      <c r="H43" s="435">
        <f>SUMIF(124:124,G43,125:125)-SUMIF(124:124,C43,125:125)+100</f>
        <v>100</v>
      </c>
      <c r="I43" s="2615" t="s">
        <v>3034</v>
      </c>
      <c r="J43" s="435">
        <f>SUMIF(124:124,I43,125:125)-SUMIF(124:124,C43,125:125)+100</f>
        <v>100</v>
      </c>
      <c r="K43" s="426">
        <v>1</v>
      </c>
      <c r="L43" s="1143"/>
      <c r="M43" s="1134"/>
      <c r="N43" s="1134"/>
      <c r="O43" s="1134"/>
      <c r="P43" s="3219"/>
      <c r="Q43" s="1812" t="str">
        <f t="shared" si="11"/>
        <v>内部装修维护情况</v>
      </c>
      <c r="R43" s="774" t="s">
        <v>21</v>
      </c>
      <c r="S43" s="775">
        <f t="shared" si="12"/>
        <v>100</v>
      </c>
      <c r="T43" s="774" t="s">
        <v>21</v>
      </c>
      <c r="U43" s="775">
        <f t="shared" si="13"/>
        <v>100</v>
      </c>
      <c r="V43" s="774" t="s">
        <v>21</v>
      </c>
      <c r="W43" s="775">
        <f t="shared" si="14"/>
        <v>100</v>
      </c>
      <c r="X43" s="1815"/>
      <c r="Y43" s="3178"/>
      <c r="Z43" s="1816" t="str">
        <f t="shared" si="18"/>
        <v>内部装修维护情况</v>
      </c>
      <c r="AA43" s="1813">
        <f t="shared" si="15"/>
        <v>1</v>
      </c>
      <c r="AB43" s="1813">
        <f t="shared" si="16"/>
        <v>1</v>
      </c>
      <c r="AC43" s="1813">
        <f t="shared" si="17"/>
        <v>1</v>
      </c>
    </row>
    <row r="44" spans="1:29" s="117" customFormat="1" ht="15">
      <c r="A44" s="473"/>
      <c r="B44" s="1389"/>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19"/>
      <c r="Q44" s="1797">
        <f t="shared" si="11"/>
        <v>0</v>
      </c>
      <c r="R44" s="770" t="s">
        <v>21</v>
      </c>
      <c r="S44" s="771">
        <f t="shared" si="12"/>
        <v>100</v>
      </c>
      <c r="T44" s="770" t="s">
        <v>21</v>
      </c>
      <c r="U44" s="771">
        <f t="shared" si="13"/>
        <v>100</v>
      </c>
      <c r="V44" s="770" t="s">
        <v>21</v>
      </c>
      <c r="W44" s="771">
        <f t="shared" si="14"/>
        <v>100</v>
      </c>
      <c r="X44" s="772"/>
      <c r="Y44" s="3178"/>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19"/>
      <c r="Q45" s="1812">
        <f t="shared" si="11"/>
        <v>0</v>
      </c>
      <c r="R45" s="774" t="s">
        <v>21</v>
      </c>
      <c r="S45" s="775">
        <f t="shared" si="12"/>
        <v>100</v>
      </c>
      <c r="T45" s="774" t="s">
        <v>21</v>
      </c>
      <c r="U45" s="775">
        <f t="shared" si="13"/>
        <v>100</v>
      </c>
      <c r="V45" s="774" t="s">
        <v>21</v>
      </c>
      <c r="W45" s="775">
        <f t="shared" si="14"/>
        <v>100</v>
      </c>
      <c r="X45" s="1815"/>
      <c r="Y45" s="3178"/>
      <c r="Z45" s="1816">
        <f t="shared" si="18"/>
        <v>0</v>
      </c>
      <c r="AA45" s="1813">
        <f t="shared" si="15"/>
        <v>1</v>
      </c>
      <c r="AB45" s="1813">
        <f t="shared" si="16"/>
        <v>1</v>
      </c>
      <c r="AC45" s="1813">
        <f t="shared" si="17"/>
        <v>1</v>
      </c>
    </row>
    <row r="46" spans="1:29" ht="15.75" thickBot="1">
      <c r="A46" s="478"/>
      <c r="B46" s="2603"/>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20"/>
      <c r="Q46" s="1812">
        <f t="shared" si="11"/>
        <v>0</v>
      </c>
      <c r="R46" s="774" t="s">
        <v>20</v>
      </c>
      <c r="S46" s="775">
        <f t="shared" si="12"/>
        <v>100</v>
      </c>
      <c r="T46" s="774" t="s">
        <v>20</v>
      </c>
      <c r="U46" s="775">
        <f t="shared" si="13"/>
        <v>100</v>
      </c>
      <c r="V46" s="774" t="s">
        <v>20</v>
      </c>
      <c r="W46" s="775">
        <f t="shared" si="14"/>
        <v>100</v>
      </c>
      <c r="X46" s="1815"/>
      <c r="Y46" s="3221"/>
      <c r="Z46" s="1816">
        <f t="shared" si="18"/>
        <v>0</v>
      </c>
      <c r="AA46" s="1813">
        <f t="shared" si="15"/>
        <v>1</v>
      </c>
      <c r="AB46" s="1813">
        <f t="shared" si="16"/>
        <v>1</v>
      </c>
      <c r="AC46" s="1813">
        <f t="shared" si="17"/>
        <v>1</v>
      </c>
    </row>
    <row r="47" spans="1:29" ht="15">
      <c r="A47" s="479" t="s">
        <v>2535</v>
      </c>
      <c r="B47" s="480"/>
      <c r="C47" s="1410" t="s">
        <v>19</v>
      </c>
      <c r="D47" s="1411"/>
      <c r="E47" s="1412">
        <v>20000</v>
      </c>
      <c r="F47" s="1413"/>
      <c r="G47" s="1414">
        <v>20000</v>
      </c>
      <c r="H47" s="1415"/>
      <c r="I47" s="1412">
        <v>17500</v>
      </c>
      <c r="J47" s="1415"/>
      <c r="K47" s="2621"/>
      <c r="L47" s="1146"/>
      <c r="M47" s="1147"/>
      <c r="N47" s="1134"/>
      <c r="O47" s="1147"/>
      <c r="P47" s="3160" t="str">
        <f>A47</f>
        <v>成交单价（元/平方米）</v>
      </c>
      <c r="Q47" s="3160"/>
      <c r="R47" s="3217">
        <f>E47</f>
        <v>20000</v>
      </c>
      <c r="S47" s="3217"/>
      <c r="T47" s="3217">
        <f>G47</f>
        <v>20000</v>
      </c>
      <c r="U47" s="3217"/>
      <c r="V47" s="3217">
        <f>I47</f>
        <v>17500</v>
      </c>
      <c r="W47" s="3217"/>
      <c r="X47" s="759"/>
      <c r="Y47" s="781"/>
      <c r="Z47" s="759"/>
      <c r="AA47" s="759"/>
      <c r="AB47" s="759"/>
      <c r="AC47" s="759"/>
    </row>
    <row r="48" spans="1:29" ht="15.75" thickBot="1">
      <c r="A48" s="486" t="s">
        <v>2536</v>
      </c>
      <c r="B48" s="487"/>
      <c r="C48" s="1416">
        <f>R49</f>
        <v>18003</v>
      </c>
      <c r="D48" s="1417"/>
      <c r="E48" s="1418">
        <f>R48</f>
        <v>18859</v>
      </c>
      <c r="F48" s="1418"/>
      <c r="G48" s="1416">
        <f>T48</f>
        <v>18493</v>
      </c>
      <c r="H48" s="1417"/>
      <c r="I48" s="1418">
        <f>V48</f>
        <v>16656</v>
      </c>
      <c r="J48" s="1417"/>
      <c r="K48" s="2622"/>
      <c r="L48" s="1146"/>
      <c r="M48" s="1147"/>
      <c r="N48" s="1147"/>
      <c r="O48" s="1147"/>
      <c r="P48" s="3160" t="str">
        <f>A48</f>
        <v>比较价值（元/平方米）</v>
      </c>
      <c r="Q48" s="3160"/>
      <c r="R48" s="3217">
        <f>IF(F1="售价",ROUND(PRODUCT(R47,AA7:AA46),0),ROUND(PRODUCT(R47,AA7:AA46),1))</f>
        <v>18859</v>
      </c>
      <c r="S48" s="3217"/>
      <c r="T48" s="3217">
        <f>IF(F1="售价",ROUND(PRODUCT(T47,AB7:AB46),0),ROUND(PRODUCT(T47,AB7:AB46),1))</f>
        <v>18493</v>
      </c>
      <c r="U48" s="3217"/>
      <c r="V48" s="3217">
        <f>IF(F1="售价",ROUND(PRODUCT(V47,AC7:AC46),0),ROUND(PRODUCT(V47,AC7:AC46),1))</f>
        <v>16656</v>
      </c>
      <c r="W48" s="3217"/>
      <c r="X48" s="759"/>
      <c r="Y48" s="759"/>
      <c r="Z48" s="759"/>
      <c r="AA48" s="759"/>
      <c r="AB48" s="759"/>
      <c r="AC48" s="759"/>
    </row>
    <row r="49" spans="1:29" ht="15.75" thickBot="1">
      <c r="A49" s="492" t="s">
        <v>3176</v>
      </c>
      <c r="B49" s="493"/>
      <c r="C49" s="1419">
        <f>R49</f>
        <v>18003</v>
      </c>
      <c r="D49" s="1420"/>
      <c r="E49" s="1420"/>
      <c r="F49" s="1420"/>
      <c r="G49" s="1420"/>
      <c r="H49" s="1420"/>
      <c r="I49" s="1420"/>
      <c r="J49" s="1420"/>
      <c r="K49" s="2623"/>
      <c r="L49" s="1146"/>
      <c r="M49" s="1147"/>
      <c r="N49" s="1147"/>
      <c r="O49" s="1147"/>
      <c r="P49" s="3180" t="str">
        <f>A49</f>
        <v>估价对象住宅用房的比较价值（楼面单价，元/平方米）</v>
      </c>
      <c r="Q49" s="3181"/>
      <c r="R49" s="3216">
        <f>IF(F1="售价",ROUND(AVERAGE(R48:V48),0),ROUND(AVERAGE(R48:V48),1))</f>
        <v>18003</v>
      </c>
      <c r="S49" s="3216"/>
      <c r="T49" s="3216"/>
      <c r="U49" s="3216"/>
      <c r="V49" s="3216"/>
      <c r="W49" s="321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2537</v>
      </c>
      <c r="D52" s="498"/>
      <c r="E52" s="499">
        <f>IF(E47&lt;E48,E48/E47-1,E47/E48-1)</f>
        <v>6.050161726496639E-2</v>
      </c>
      <c r="F52" s="500" t="str">
        <f>IF(OR(E52&gt;=0.3,E52&lt;=-0.3),"超过30%","")</f>
        <v/>
      </c>
      <c r="G52" s="499">
        <f>IF(G47&lt;G48,G48/G47-1,G47/G48-1)</f>
        <v>8.1490293624614685E-2</v>
      </c>
      <c r="H52" s="500" t="str">
        <f>IF(OR(G52&gt;=0.3,G52&lt;=-0.3),"超过30%","")</f>
        <v/>
      </c>
      <c r="I52" s="499">
        <f>IF(I47&lt;I48,I48/I47-1,I47/I48-1)</f>
        <v>5.0672430355427567E-2</v>
      </c>
      <c r="J52" s="500" t="str">
        <f>IF(OR(I52&gt;=0.3,I52&lt;=-0.3),"超过30%","")</f>
        <v/>
      </c>
      <c r="K52" s="1108"/>
      <c r="L52" s="1109"/>
      <c r="M52" s="1147"/>
      <c r="N52" s="1147"/>
      <c r="O52" s="1147"/>
    </row>
    <row r="53" spans="1:29" ht="13.5" customHeight="1">
      <c r="A53" s="1147"/>
      <c r="B53" s="1147"/>
      <c r="C53" s="497" t="s">
        <v>2538</v>
      </c>
      <c r="D53" s="501"/>
      <c r="E53" s="499">
        <f>IF(E48&lt;G48,G48/E48-1,E48/G48-1)</f>
        <v>1.9791272373330449E-2</v>
      </c>
      <c r="F53" s="500" t="str">
        <f>IF(OR(E53&gt;=0.2,E53&lt;=-0.2),"超过20%","")</f>
        <v/>
      </c>
      <c r="G53" s="499">
        <f>IF(G48&lt;I48,I48/G48-1,G48/I48-1)</f>
        <v>0.11029058597502406</v>
      </c>
      <c r="H53" s="500" t="str">
        <f>IF(OR(G53&gt;=0.2,G53&lt;=-0.2),"超过20%","")</f>
        <v/>
      </c>
      <c r="I53" s="499">
        <f>IF(I48&lt;E48,E48/I48-1,I48/E48-1)</f>
        <v>0.13226464937560034</v>
      </c>
      <c r="J53" s="500" t="str">
        <f>IF(OR(I53&gt;=0.2,I53&lt;=-0.2),"超过20%","")</f>
        <v/>
      </c>
      <c r="K53" s="1108"/>
      <c r="L53" s="1109"/>
      <c r="M53" s="1147"/>
      <c r="N53" s="1147"/>
      <c r="O53" s="1147"/>
    </row>
    <row r="54" spans="1:29" s="502" customFormat="1" ht="13.5" customHeight="1">
      <c r="A54" s="1148"/>
      <c r="B54" s="1148"/>
      <c r="C54" s="497" t="s">
        <v>2539</v>
      </c>
      <c r="D54" s="501"/>
      <c r="E54" s="499">
        <f>IF(E47&lt;G47,G47/E47-1,E47/G47-1)</f>
        <v>0</v>
      </c>
      <c r="F54" s="500" t="str">
        <f>IF(OR(E54&gt;=0.3,E54&lt;=-0.3),"超过30%","")</f>
        <v/>
      </c>
      <c r="G54" s="499">
        <f>IF(G47&lt;I47,I47/G47-1,G47/I47-1)</f>
        <v>0.14285714285714279</v>
      </c>
      <c r="H54" s="500" t="str">
        <f>IF(OR(G54&gt;=0.3,G54&lt;=-0.3),"超过30%","")</f>
        <v/>
      </c>
      <c r="I54" s="499">
        <f>IF(I47&lt;E47,E47/I47-1,I47/E47-1)</f>
        <v>0.14285714285714279</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2540</v>
      </c>
      <c r="B57" s="759"/>
      <c r="C57" s="764"/>
      <c r="D57" s="764"/>
      <c r="E57" s="764"/>
      <c r="F57" s="765"/>
      <c r="G57" s="765"/>
      <c r="H57" s="764"/>
      <c r="I57" s="764"/>
      <c r="J57" s="764"/>
      <c r="K57" s="1163"/>
      <c r="L57" s="1164"/>
      <c r="M57" s="1162"/>
      <c r="N57" s="1162"/>
      <c r="O57" s="1162"/>
      <c r="P57" s="2626"/>
      <c r="Q57" s="504"/>
    </row>
    <row r="58" spans="1:29" s="508" customFormat="1" ht="15">
      <c r="A58" s="505" t="s">
        <v>2541</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7"/>
      <c r="C59" s="1575">
        <v>100</v>
      </c>
      <c r="D59" s="511">
        <v>99</v>
      </c>
      <c r="E59" s="512">
        <v>98</v>
      </c>
      <c r="F59" s="511">
        <v>97</v>
      </c>
      <c r="G59" s="512">
        <v>96</v>
      </c>
      <c r="H59" s="511">
        <v>95</v>
      </c>
      <c r="I59" s="512">
        <v>94</v>
      </c>
      <c r="J59" s="511">
        <v>93</v>
      </c>
      <c r="K59" s="512">
        <v>92</v>
      </c>
      <c r="L59" s="511">
        <v>91</v>
      </c>
      <c r="M59" s="512">
        <v>90</v>
      </c>
      <c r="N59" s="511">
        <v>89</v>
      </c>
      <c r="O59" s="513"/>
      <c r="P59" s="2628"/>
    </row>
    <row r="60" spans="1:29" s="117" customFormat="1" ht="15.75" thickBot="1">
      <c r="A60" s="515" t="s">
        <v>2542</v>
      </c>
      <c r="B60" s="516"/>
      <c r="C60" s="517"/>
      <c r="D60" s="518"/>
      <c r="E60" s="518"/>
      <c r="F60" s="518"/>
      <c r="G60" s="518"/>
      <c r="H60" s="518"/>
      <c r="I60" s="518"/>
      <c r="J60" s="518"/>
      <c r="K60" s="518"/>
      <c r="L60" s="518"/>
      <c r="M60" s="519"/>
      <c r="N60" s="518"/>
      <c r="O60" s="519"/>
      <c r="P60" s="2628"/>
      <c r="Q60" s="504"/>
    </row>
    <row r="61" spans="1:29" s="117" customFormat="1" ht="15">
      <c r="A61" s="521" t="s">
        <v>2543</v>
      </c>
      <c r="B61" s="510"/>
      <c r="C61" s="522" t="s">
        <v>2544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2545</v>
      </c>
      <c r="B63" s="528" t="s">
        <v>2512</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2515</v>
      </c>
      <c r="C65" s="539" t="s">
        <v>2546</v>
      </c>
      <c r="D65" s="539" t="s">
        <v>2547</v>
      </c>
      <c r="E65" s="539" t="s">
        <v>2548</v>
      </c>
      <c r="F65" s="539" t="s">
        <v>2549</v>
      </c>
      <c r="G65" s="539" t="s">
        <v>2550</v>
      </c>
      <c r="H65" s="539" t="s">
        <v>2551</v>
      </c>
      <c r="I65" s="539" t="s">
        <v>2552</v>
      </c>
      <c r="J65" s="539"/>
      <c r="K65" s="540"/>
      <c r="L65" s="541"/>
      <c r="M65" s="542"/>
      <c r="N65" s="1155"/>
      <c r="O65" s="1155"/>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0"/>
      <c r="Q66" s="504"/>
    </row>
    <row r="67" spans="1:17" ht="15.75" thickTop="1">
      <c r="A67" s="534"/>
      <c r="B67" s="546" t="s">
        <v>2516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0"/>
      <c r="Q67" s="504"/>
    </row>
    <row r="68" spans="1:17" ht="15">
      <c r="A68" s="534"/>
      <c r="B68" s="548"/>
      <c r="C68" s="549">
        <v>0</v>
      </c>
      <c r="D68" s="549">
        <v>1</v>
      </c>
      <c r="E68" s="549">
        <v>2</v>
      </c>
      <c r="F68" s="549">
        <v>3</v>
      </c>
      <c r="G68" s="549">
        <v>4</v>
      </c>
      <c r="H68" s="549">
        <v>5</v>
      </c>
      <c r="I68" s="549">
        <v>6</v>
      </c>
      <c r="J68" s="549">
        <v>7</v>
      </c>
      <c r="K68" s="549">
        <v>8</v>
      </c>
      <c r="L68" s="549">
        <v>9</v>
      </c>
      <c r="M68" s="549">
        <v>10</v>
      </c>
      <c r="N68" s="1155"/>
      <c r="O68" s="1155"/>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0"/>
      <c r="Q69" s="504"/>
    </row>
    <row r="70" spans="1:17" s="471" customFormat="1" ht="15.75" thickTop="1">
      <c r="A70" s="553"/>
      <c r="B70" s="538">
        <f>B12</f>
        <v>0</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0</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0</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2517</v>
      </c>
      <c r="B76" s="528" t="s">
        <v>2553</v>
      </c>
      <c r="C76" s="573" t="s">
        <v>2554</v>
      </c>
      <c r="D76" s="573" t="s">
        <v>2555</v>
      </c>
      <c r="E76" s="573" t="s">
        <v>2556</v>
      </c>
      <c r="F76" s="573" t="s">
        <v>2557</v>
      </c>
      <c r="G76" s="573" t="s">
        <v>2558</v>
      </c>
      <c r="H76" s="529"/>
      <c r="I76" s="529"/>
      <c r="J76" s="529"/>
      <c r="K76" s="574"/>
      <c r="L76" s="575"/>
      <c r="M76" s="576"/>
      <c r="N76" s="1155"/>
      <c r="O76" s="1155"/>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0"/>
      <c r="Q77" s="504"/>
    </row>
    <row r="78" spans="1:17" ht="15.75" thickTop="1">
      <c r="A78" s="534"/>
      <c r="B78" s="538" t="s">
        <v>2559</v>
      </c>
      <c r="C78" s="578" t="s">
        <v>2554</v>
      </c>
      <c r="D78" s="578" t="s">
        <v>2555</v>
      </c>
      <c r="E78" s="578" t="s">
        <v>2556</v>
      </c>
      <c r="F78" s="578" t="s">
        <v>2557</v>
      </c>
      <c r="G78" s="578" t="s">
        <v>2558</v>
      </c>
      <c r="H78" s="539"/>
      <c r="I78" s="539"/>
      <c r="J78" s="539"/>
      <c r="K78" s="540"/>
      <c r="L78" s="541"/>
      <c r="M78" s="542"/>
      <c r="N78" s="1155"/>
      <c r="O78" s="1155"/>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0"/>
      <c r="Q79" s="504"/>
    </row>
    <row r="80" spans="1:17" ht="15.75" thickTop="1">
      <c r="A80" s="534"/>
      <c r="B80" s="538" t="s">
        <v>2560</v>
      </c>
      <c r="C80" s="578" t="s">
        <v>2554</v>
      </c>
      <c r="D80" s="578" t="s">
        <v>2555</v>
      </c>
      <c r="E80" s="578" t="s">
        <v>2556</v>
      </c>
      <c r="F80" s="578" t="s">
        <v>2557</v>
      </c>
      <c r="G80" s="578" t="s">
        <v>2558</v>
      </c>
      <c r="H80" s="539"/>
      <c r="I80" s="539"/>
      <c r="J80" s="539"/>
      <c r="K80" s="540"/>
      <c r="L80" s="541"/>
      <c r="M80" s="542"/>
      <c r="N80" s="1155"/>
      <c r="O80" s="1155"/>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0"/>
      <c r="Q81" s="504"/>
    </row>
    <row r="82" spans="1:17" ht="15.75" thickTop="1">
      <c r="A82" s="534"/>
      <c r="B82" s="546" t="s">
        <v>2060</v>
      </c>
      <c r="C82" s="539" t="s">
        <v>2561</v>
      </c>
      <c r="D82" s="539" t="s">
        <v>2562</v>
      </c>
      <c r="E82" s="539" t="s">
        <v>2563</v>
      </c>
      <c r="F82" s="539" t="s">
        <v>2564</v>
      </c>
      <c r="G82" s="539" t="s">
        <v>2565</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2566</v>
      </c>
      <c r="C84" s="578" t="s">
        <v>2554</v>
      </c>
      <c r="D84" s="578" t="s">
        <v>2555</v>
      </c>
      <c r="E84" s="578" t="s">
        <v>2556</v>
      </c>
      <c r="F84" s="578" t="s">
        <v>2557</v>
      </c>
      <c r="G84" s="578" t="s">
        <v>2558</v>
      </c>
      <c r="H84" s="539"/>
      <c r="I84" s="539"/>
      <c r="J84" s="539"/>
      <c r="K84" s="540"/>
      <c r="L84" s="541"/>
      <c r="M84" s="542"/>
      <c r="N84" s="1155"/>
      <c r="O84" s="1155"/>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0"/>
      <c r="Q85" s="504"/>
    </row>
    <row r="86" spans="1:17" s="117" customFormat="1" ht="15.75" thickTop="1">
      <c r="A86" s="579"/>
      <c r="B86" s="538" t="s">
        <v>2567</v>
      </c>
      <c r="C86" s="554" t="s">
        <v>3156</v>
      </c>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0"/>
      <c r="Q87" s="504"/>
    </row>
    <row r="88" spans="1:17" s="117" customFormat="1" ht="15.75" thickTop="1">
      <c r="A88" s="579"/>
      <c r="B88" s="538" t="s">
        <v>2568</v>
      </c>
      <c r="C88" s="554" t="s">
        <v>3156</v>
      </c>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0"/>
      <c r="Q89" s="504"/>
    </row>
    <row r="90" spans="1:17" s="471" customFormat="1" ht="15.75" thickTop="1">
      <c r="A90" s="553"/>
      <c r="B90" s="538" t="str">
        <f>B27</f>
        <v>临街道路</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0</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0</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0</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0</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2521</v>
      </c>
      <c r="B100" s="528" t="s">
        <v>2569</v>
      </c>
      <c r="C100" s="2946" t="s">
        <v>3158</v>
      </c>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0"/>
      <c r="Q101" s="504"/>
    </row>
    <row r="102" spans="1:17" ht="15.75" thickTop="1">
      <c r="A102" s="534"/>
      <c r="B102" s="538" t="s">
        <v>2570</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50000</v>
      </c>
      <c r="E103" s="595">
        <v>100000</v>
      </c>
      <c r="F103" s="595">
        <v>150000</v>
      </c>
      <c r="G103" s="595">
        <v>200000</v>
      </c>
      <c r="H103" s="595">
        <v>250000</v>
      </c>
      <c r="I103" s="595"/>
      <c r="J103" s="596"/>
      <c r="K103" s="596"/>
      <c r="L103" s="597"/>
      <c r="M103" s="598"/>
      <c r="N103" s="1157"/>
      <c r="O103" s="1157"/>
      <c r="P103" s="2631"/>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6"/>
      <c r="O104" s="1156"/>
      <c r="P104" s="2631"/>
      <c r="Q104" s="559"/>
    </row>
    <row r="105" spans="1:17" ht="15" thickTop="1">
      <c r="A105" s="599"/>
      <c r="B105" s="538" t="s">
        <v>2571</v>
      </c>
      <c r="C105" s="2944" t="s">
        <v>3160</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0"/>
      <c r="Q106" s="504"/>
    </row>
    <row r="107" spans="1:17" ht="15" thickTop="1">
      <c r="A107" s="599"/>
      <c r="B107" s="538" t="s">
        <v>2572</v>
      </c>
      <c r="C107" s="2945" t="s">
        <v>3178</v>
      </c>
      <c r="D107" s="2945" t="s">
        <v>3161</v>
      </c>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97</v>
      </c>
      <c r="E108" s="544">
        <f t="shared" si="29"/>
        <v>94</v>
      </c>
      <c r="F108" s="544">
        <f t="shared" si="29"/>
        <v>91</v>
      </c>
      <c r="G108" s="544">
        <f t="shared" si="29"/>
        <v>88</v>
      </c>
      <c r="H108" s="544">
        <f t="shared" si="29"/>
        <v>85</v>
      </c>
      <c r="I108" s="544">
        <f t="shared" si="29"/>
        <v>82</v>
      </c>
      <c r="J108" s="544">
        <f t="shared" si="29"/>
        <v>79</v>
      </c>
      <c r="K108" s="544">
        <f t="shared" si="29"/>
        <v>76</v>
      </c>
      <c r="L108" s="544">
        <f t="shared" si="29"/>
        <v>73</v>
      </c>
      <c r="M108" s="544">
        <f t="shared" si="29"/>
        <v>70</v>
      </c>
      <c r="N108" s="1156"/>
      <c r="O108" s="1156"/>
      <c r="P108" s="2630"/>
      <c r="Q108" s="504"/>
    </row>
    <row r="109" spans="1:17" ht="15" thickTop="1">
      <c r="A109" s="599"/>
      <c r="B109" s="538" t="s">
        <v>2573</v>
      </c>
      <c r="C109" s="2944" t="s">
        <v>3163</v>
      </c>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0"/>
      <c r="Q110" s="504"/>
    </row>
    <row r="111" spans="1:17" s="471" customFormat="1" ht="15" thickTop="1">
      <c r="A111" s="593"/>
      <c r="B111" s="538" t="s">
        <v>1963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2574</v>
      </c>
      <c r="C114" s="2944" t="s">
        <v>3165</v>
      </c>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0"/>
      <c r="Q115" s="504"/>
    </row>
    <row r="116" spans="1:17" ht="15" thickTop="1">
      <c r="A116" s="599"/>
      <c r="B116" s="538" t="s">
        <v>2575</v>
      </c>
      <c r="C116" s="2944" t="s">
        <v>3166</v>
      </c>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2576</v>
      </c>
      <c r="C118" s="583" t="s">
        <v>3156</v>
      </c>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0"/>
      <c r="Q119" s="504"/>
    </row>
    <row r="120" spans="1:17" s="471" customFormat="1" ht="28.5" thickTop="1">
      <c r="A120" s="593"/>
      <c r="B120" s="538" t="s">
        <v>2532</v>
      </c>
      <c r="C120" s="554" t="s">
        <v>3156</v>
      </c>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1"/>
      <c r="Q121" s="559"/>
    </row>
    <row r="122" spans="1:17" ht="15" thickTop="1">
      <c r="A122" s="599"/>
      <c r="B122" s="538" t="s">
        <v>2577</v>
      </c>
      <c r="C122" s="2944" t="s">
        <v>3168</v>
      </c>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0"/>
      <c r="Q123" s="504"/>
    </row>
    <row r="124" spans="1:17" ht="15" thickTop="1">
      <c r="A124" s="599"/>
      <c r="B124" s="538" t="s">
        <v>2578</v>
      </c>
      <c r="C124" s="578" t="s">
        <v>2554</v>
      </c>
      <c r="D124" s="578" t="s">
        <v>2555</v>
      </c>
      <c r="E124" s="578" t="s">
        <v>2556</v>
      </c>
      <c r="F124" s="578" t="s">
        <v>2557</v>
      </c>
      <c r="G124" s="578" t="s">
        <v>2558</v>
      </c>
      <c r="H124" s="539"/>
      <c r="I124" s="539"/>
      <c r="J124" s="539"/>
      <c r="K124" s="540"/>
      <c r="L124" s="541"/>
      <c r="M124" s="542"/>
      <c r="N124" s="1155"/>
      <c r="O124" s="1155"/>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0"/>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0</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0</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2579</v>
      </c>
    </row>
    <row r="137" spans="1:17" ht="15">
      <c r="B137" s="2638" t="s">
        <v>2580</v>
      </c>
      <c r="C137" s="2639"/>
      <c r="D137" s="2639"/>
      <c r="E137" s="2639"/>
      <c r="F137" s="2639"/>
      <c r="G137" s="2640"/>
      <c r="H137" s="2641"/>
      <c r="I137" s="2642" t="s">
        <v>2581</v>
      </c>
      <c r="J137" s="2639"/>
      <c r="K137" s="2643"/>
    </row>
    <row r="138" spans="1:17" ht="15">
      <c r="B138" s="2644"/>
      <c r="C138" s="146" t="s">
        <v>2582</v>
      </c>
      <c r="D138" s="146" t="s">
        <v>2583</v>
      </c>
      <c r="E138" s="2645" t="s">
        <v>2584</v>
      </c>
      <c r="F138" s="2646" t="s">
        <v>2585</v>
      </c>
      <c r="G138" s="146" t="s">
        <v>2583</v>
      </c>
      <c r="H138" s="147" t="s">
        <v>2584</v>
      </c>
      <c r="I138" s="2647"/>
      <c r="J138" s="146" t="s">
        <v>2586</v>
      </c>
      <c r="K138" s="147" t="s">
        <v>2587</v>
      </c>
    </row>
    <row r="139" spans="1:17" ht="15">
      <c r="B139" s="1087">
        <v>6</v>
      </c>
      <c r="C139" s="1088">
        <v>96</v>
      </c>
      <c r="D139" s="2648" t="s">
        <v>2588</v>
      </c>
      <c r="E139" s="1089">
        <v>100</v>
      </c>
      <c r="F139" s="1090">
        <v>102.5</v>
      </c>
      <c r="G139" s="2648" t="s">
        <v>2588</v>
      </c>
      <c r="H139" s="1091">
        <v>105</v>
      </c>
      <c r="I139" s="2649" t="s">
        <v>2589</v>
      </c>
      <c r="J139" s="1088">
        <v>20</v>
      </c>
      <c r="K139" s="1092">
        <f>C145/(J139-2)</f>
        <v>4.0555555555555553E-3</v>
      </c>
    </row>
    <row r="140" spans="1:17" ht="15">
      <c r="B140" s="1093">
        <v>5</v>
      </c>
      <c r="C140" s="1094">
        <v>100</v>
      </c>
      <c r="D140" s="1094"/>
      <c r="E140" s="1095"/>
      <c r="F140" s="1096">
        <v>102</v>
      </c>
      <c r="G140" s="1094"/>
      <c r="H140" s="1097"/>
      <c r="I140" s="2650" t="s">
        <v>2590</v>
      </c>
      <c r="J140" s="315">
        <f>ROUNDUP((J139-1)/2,0)</f>
        <v>10</v>
      </c>
      <c r="K140" s="1098">
        <v>100</v>
      </c>
    </row>
    <row r="141" spans="1:17" ht="15">
      <c r="B141" s="1093">
        <v>4</v>
      </c>
      <c r="C141" s="1094">
        <v>102</v>
      </c>
      <c r="D141" s="1094"/>
      <c r="E141" s="1095"/>
      <c r="F141" s="1096">
        <v>101.5</v>
      </c>
      <c r="G141" s="1094"/>
      <c r="H141" s="1097"/>
      <c r="I141" s="2650" t="s">
        <v>2591</v>
      </c>
      <c r="J141" s="315">
        <v>1</v>
      </c>
      <c r="K141" s="1099">
        <f>ROUND(100+(J141-J140)*K139*100,1)</f>
        <v>96.4</v>
      </c>
    </row>
    <row r="142" spans="1:17" ht="15">
      <c r="B142" s="1093">
        <v>3</v>
      </c>
      <c r="C142" s="1094">
        <v>103</v>
      </c>
      <c r="D142" s="1094"/>
      <c r="E142" s="1095"/>
      <c r="F142" s="1096">
        <v>101</v>
      </c>
      <c r="G142" s="1094"/>
      <c r="H142" s="1097"/>
      <c r="I142" s="2650" t="s">
        <v>2592</v>
      </c>
      <c r="J142" s="315">
        <f>J139</f>
        <v>20</v>
      </c>
      <c r="K142" s="1100">
        <v>95</v>
      </c>
    </row>
    <row r="143" spans="1:17" ht="15">
      <c r="B143" s="1093">
        <v>2</v>
      </c>
      <c r="C143" s="1094">
        <v>100</v>
      </c>
      <c r="D143" s="1094"/>
      <c r="E143" s="1095"/>
      <c r="F143" s="1096">
        <v>100.5</v>
      </c>
      <c r="G143" s="1094"/>
      <c r="H143" s="1097"/>
      <c r="I143" s="2650" t="s">
        <v>2593</v>
      </c>
      <c r="J143" s="1094">
        <v>15</v>
      </c>
      <c r="K143" s="1099">
        <f>ROUND(100+(J143-J140)*K139*100,1)</f>
        <v>102</v>
      </c>
    </row>
    <row r="144" spans="1:17" ht="15">
      <c r="B144" s="1093">
        <v>1</v>
      </c>
      <c r="C144" s="1094">
        <v>98</v>
      </c>
      <c r="D144" s="2651" t="s">
        <v>2594</v>
      </c>
      <c r="E144" s="1095">
        <v>102</v>
      </c>
      <c r="F144" s="1101">
        <v>100</v>
      </c>
      <c r="G144" s="2651" t="s">
        <v>2594</v>
      </c>
      <c r="H144" s="1097">
        <v>105</v>
      </c>
      <c r="I144" s="2650" t="s">
        <v>2593</v>
      </c>
      <c r="J144" s="1094">
        <v>18</v>
      </c>
      <c r="K144" s="1099">
        <f>ROUND(100+(J144-J140)*K139*100,1)</f>
        <v>103.2</v>
      </c>
    </row>
    <row r="145" spans="2:11" ht="15.75" thickBot="1">
      <c r="B145" s="2652" t="s">
        <v>2595</v>
      </c>
      <c r="C145" s="1102">
        <f>ROUND(MAX(C139:C144)/MIN(C139:C144)-1,3)</f>
        <v>7.2999999999999995E-2</v>
      </c>
      <c r="D145" s="1103"/>
      <c r="E145" s="1103"/>
      <c r="F145" s="2653" t="s">
        <v>2596</v>
      </c>
      <c r="G145" s="2654"/>
      <c r="H145" s="2655"/>
      <c r="I145" s="2656" t="s">
        <v>2593</v>
      </c>
      <c r="J145" s="1104">
        <v>8</v>
      </c>
      <c r="K145" s="1105">
        <f>ROUND(100+(J145-J140)*K139*100,1)</f>
        <v>99.2</v>
      </c>
    </row>
    <row r="147" spans="2:11">
      <c r="B147" s="2637" t="s">
        <v>2597</v>
      </c>
    </row>
    <row r="148" spans="2:11">
      <c r="B148" s="2637" t="s">
        <v>2598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583" t="s">
        <v>2599</v>
      </c>
      <c r="C1" s="1636" t="s">
        <v>2488</v>
      </c>
      <c r="D1" s="1623"/>
      <c r="E1" s="2657"/>
      <c r="F1" s="2585"/>
      <c r="G1" s="1633" t="s">
        <v>2600</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2288</v>
      </c>
      <c r="B2" s="1421" t="e">
        <f ca="1">IF(C2="——",ROUND(C49*D3/10000,0),ROUND(C49*D3/10000,0)-D2)</f>
        <v>#DIV/0!</v>
      </c>
      <c r="C2" s="2587"/>
      <c r="D2" s="1368" t="e">
        <f ca="1">SUMIF(INDIRECT("'"&amp;F2&amp;"'"&amp;"!A:A"),"承租人权益价值",INDIRECT("'"&amp;F2&amp;"'"&amp;"!c:c"))</f>
        <v>#REF!</v>
      </c>
      <c r="E2" s="2588" t="s">
        <v>2289</v>
      </c>
      <c r="F2" s="2589"/>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2290</v>
      </c>
      <c r="B3" s="609" t="e">
        <f ca="1">IF(C2="——",C49,ROUND(B2*10000/D3,0))</f>
        <v>#DIV/0!</v>
      </c>
      <c r="C3" s="400" t="s">
        <v>2601</v>
      </c>
      <c r="D3" s="399">
        <f>IF(D1="",'数据-汇总表'!E3,SUMIF('数据-汇总表'!$C19:$C33,D1,'数据-汇总表'!$E19:$E33))</f>
        <v>19689.989999999998</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2602</v>
      </c>
      <c r="B4" s="402"/>
      <c r="C4" s="3161" t="s">
        <v>2603</v>
      </c>
      <c r="D4" s="3162"/>
      <c r="E4" s="3163" t="s">
        <v>2604</v>
      </c>
      <c r="F4" s="3164"/>
      <c r="G4" s="3161" t="s">
        <v>2605</v>
      </c>
      <c r="H4" s="3162"/>
      <c r="I4" s="3161" t="s">
        <v>2606</v>
      </c>
      <c r="J4" s="3162"/>
      <c r="K4" s="610" t="s">
        <v>2607</v>
      </c>
      <c r="L4" s="1133"/>
      <c r="M4" s="1134"/>
      <c r="N4" s="1134"/>
      <c r="O4" s="1134"/>
      <c r="P4" s="3165" t="s">
        <v>2608</v>
      </c>
      <c r="Q4" s="3166"/>
      <c r="R4" s="3148" t="s">
        <v>2604</v>
      </c>
      <c r="S4" s="3149"/>
      <c r="T4" s="3148" t="s">
        <v>2605</v>
      </c>
      <c r="U4" s="3149"/>
      <c r="V4" s="3173" t="s">
        <v>2606</v>
      </c>
      <c r="W4" s="3173"/>
      <c r="X4" s="1815"/>
      <c r="Y4" s="3148" t="s">
        <v>2608</v>
      </c>
      <c r="Z4" s="3149"/>
      <c r="AA4" s="3143" t="s">
        <v>2604</v>
      </c>
      <c r="AB4" s="3173" t="s">
        <v>2605</v>
      </c>
      <c r="AC4" s="3143" t="s">
        <v>2606</v>
      </c>
    </row>
    <row r="5" spans="1:29" ht="15">
      <c r="A5" s="404"/>
      <c r="B5" s="405"/>
      <c r="C5" s="3154" t="s">
        <v>2500</v>
      </c>
      <c r="D5" s="3155"/>
      <c r="E5" s="3152" t="s">
        <v>2501</v>
      </c>
      <c r="F5" s="3153"/>
      <c r="G5" s="3154" t="s">
        <v>2502</v>
      </c>
      <c r="H5" s="3155"/>
      <c r="I5" s="3154" t="s">
        <v>2503</v>
      </c>
      <c r="J5" s="3155"/>
      <c r="K5" s="610"/>
      <c r="L5" s="1133"/>
      <c r="M5" s="1134"/>
      <c r="N5" s="1134"/>
      <c r="O5" s="1134"/>
      <c r="P5" s="3167"/>
      <c r="Q5" s="3168"/>
      <c r="R5" s="3150"/>
      <c r="S5" s="3151"/>
      <c r="T5" s="3150"/>
      <c r="U5" s="3151"/>
      <c r="V5" s="3173"/>
      <c r="W5" s="3173"/>
      <c r="X5" s="1815"/>
      <c r="Y5" s="3150"/>
      <c r="Z5" s="3151"/>
      <c r="AA5" s="3144"/>
      <c r="AB5" s="3173"/>
      <c r="AC5" s="3144"/>
    </row>
    <row r="6" spans="1:29" ht="15.75" thickBot="1">
      <c r="A6" s="406"/>
      <c r="B6" s="407"/>
      <c r="C6" s="3156" t="s">
        <v>2504</v>
      </c>
      <c r="D6" s="3157"/>
      <c r="E6" s="3158" t="s">
        <v>2504</v>
      </c>
      <c r="F6" s="3159"/>
      <c r="G6" s="3156" t="s">
        <v>2504</v>
      </c>
      <c r="H6" s="3157"/>
      <c r="I6" s="3156" t="s">
        <v>2504</v>
      </c>
      <c r="J6" s="3157"/>
      <c r="K6" s="610" t="s">
        <v>2505</v>
      </c>
      <c r="L6" s="1133"/>
      <c r="M6" s="1134"/>
      <c r="N6" s="1134"/>
      <c r="O6" s="1134"/>
      <c r="P6" s="3169"/>
      <c r="Q6" s="3170"/>
      <c r="R6" s="3150"/>
      <c r="S6" s="3151"/>
      <c r="T6" s="3171"/>
      <c r="U6" s="3172"/>
      <c r="V6" s="3173"/>
      <c r="W6" s="3173"/>
      <c r="X6" s="1815"/>
      <c r="Y6" s="3171"/>
      <c r="Z6" s="3172"/>
      <c r="AA6" s="3145"/>
      <c r="AB6" s="3173"/>
      <c r="AC6" s="3145"/>
    </row>
    <row r="7" spans="1:29" s="117" customFormat="1" ht="15.75" thickBot="1">
      <c r="A7" s="408" t="s">
        <v>2506</v>
      </c>
      <c r="B7" s="409"/>
      <c r="C7" s="410">
        <f>'数据-取费表'!B2</f>
        <v>43420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46" t="s">
        <v>2507</v>
      </c>
      <c r="Q7" s="3174"/>
      <c r="R7" s="770" t="s">
        <v>17</v>
      </c>
      <c r="S7" s="771">
        <f t="shared" ref="S7:S15" si="0">F7</f>
        <v>0</v>
      </c>
      <c r="T7" s="770" t="s">
        <v>17</v>
      </c>
      <c r="U7" s="771">
        <f t="shared" ref="U7:U15" si="1">H7</f>
        <v>0</v>
      </c>
      <c r="V7" s="770" t="s">
        <v>17</v>
      </c>
      <c r="W7" s="771">
        <f t="shared" ref="W7:W15" si="2">J7</f>
        <v>0</v>
      </c>
      <c r="X7" s="772"/>
      <c r="Y7" s="3146" t="s">
        <v>2507</v>
      </c>
      <c r="Z7" s="3147"/>
      <c r="AA7" s="773" t="e">
        <f>D7/F7</f>
        <v>#DIV/0!</v>
      </c>
      <c r="AB7" s="773" t="e">
        <f>D7/H7</f>
        <v>#DIV/0!</v>
      </c>
      <c r="AC7" s="773" t="e">
        <f>D7/J7</f>
        <v>#DIV/0!</v>
      </c>
    </row>
    <row r="8" spans="1:29" s="117" customFormat="1" ht="15.75" thickBot="1">
      <c r="A8" s="408" t="s">
        <v>2508</v>
      </c>
      <c r="B8" s="409"/>
      <c r="C8" s="414" t="s">
        <v>2609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46" t="s">
        <v>2510</v>
      </c>
      <c r="Q8" s="3147"/>
      <c r="R8" s="770" t="s">
        <v>17</v>
      </c>
      <c r="S8" s="771">
        <f t="shared" si="0"/>
        <v>0</v>
      </c>
      <c r="T8" s="770" t="s">
        <v>17</v>
      </c>
      <c r="U8" s="771">
        <f t="shared" si="1"/>
        <v>0</v>
      </c>
      <c r="V8" s="770" t="s">
        <v>17</v>
      </c>
      <c r="W8" s="771">
        <f t="shared" si="2"/>
        <v>0</v>
      </c>
      <c r="X8" s="772"/>
      <c r="Y8" s="3146" t="s">
        <v>2510</v>
      </c>
      <c r="Z8" s="3147"/>
      <c r="AA8" s="773" t="e">
        <f t="shared" ref="AA8:AA46" si="3">D8/F8</f>
        <v>#DIV/0!</v>
      </c>
      <c r="AB8" s="773" t="e">
        <f t="shared" ref="AB8:AB46" si="4">D8/H8</f>
        <v>#DIV/0!</v>
      </c>
      <c r="AC8" s="773" t="e">
        <f t="shared" ref="AC8:AC46" si="5">D8/J8</f>
        <v>#DIV/0!</v>
      </c>
    </row>
    <row r="9" spans="1:29" s="117" customFormat="1">
      <c r="A9" s="415" t="s">
        <v>2511</v>
      </c>
      <c r="B9" s="71" t="s">
        <v>2512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4" t="s">
        <v>2513</v>
      </c>
      <c r="Q9" s="1797" t="str">
        <f t="shared" ref="Q9:Q15" si="6">B9</f>
        <v>用途</v>
      </c>
      <c r="R9" s="770" t="s">
        <v>17</v>
      </c>
      <c r="S9" s="771">
        <f t="shared" si="0"/>
        <v>100</v>
      </c>
      <c r="T9" s="770" t="s">
        <v>17</v>
      </c>
      <c r="U9" s="771">
        <f t="shared" si="1"/>
        <v>100</v>
      </c>
      <c r="V9" s="770" t="s">
        <v>17</v>
      </c>
      <c r="W9" s="771">
        <f t="shared" si="2"/>
        <v>100</v>
      </c>
      <c r="X9" s="772"/>
      <c r="Y9" s="3023"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4"/>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2516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4"/>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4"/>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4"/>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4"/>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2517</v>
      </c>
      <c r="B15" s="69" t="s">
        <v>2610</v>
      </c>
      <c r="C15" s="2604" t="str">
        <f>估价对象房地状况!C4</f>
        <v>估价对象位于五一路西侧，周边商业氛围成熟度一般，周边有云天尚品广场等项目，人流量一般，商业繁华度一般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2" t="s">
        <v>2518</v>
      </c>
      <c r="Q15" s="1812" t="str">
        <f t="shared" si="6"/>
        <v>商业繁华度</v>
      </c>
      <c r="R15" s="774" t="s">
        <v>17</v>
      </c>
      <c r="S15" s="775">
        <f t="shared" si="0"/>
        <v>100</v>
      </c>
      <c r="T15" s="774" t="s">
        <v>17</v>
      </c>
      <c r="U15" s="775">
        <f t="shared" si="1"/>
        <v>100</v>
      </c>
      <c r="V15" s="774" t="s">
        <v>17</v>
      </c>
      <c r="W15" s="775">
        <f t="shared" si="2"/>
        <v>100</v>
      </c>
      <c r="X15" s="1815"/>
      <c r="Y15" s="3175" t="s">
        <v>2518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3"/>
      <c r="Q16" s="1812"/>
      <c r="R16" s="774"/>
      <c r="S16" s="775"/>
      <c r="T16" s="774"/>
      <c r="U16" s="775"/>
      <c r="V16" s="774"/>
      <c r="W16" s="775"/>
      <c r="X16" s="1815"/>
      <c r="Y16" s="3176"/>
      <c r="Z16" s="1816"/>
      <c r="AA16" s="1813">
        <v>1</v>
      </c>
      <c r="AB16" s="1813">
        <v>1</v>
      </c>
      <c r="AC16" s="1813">
        <v>1</v>
      </c>
    </row>
    <row r="17" spans="1:29" ht="85.5">
      <c r="A17" s="428"/>
      <c r="B17" s="451" t="s">
        <v>2059</v>
      </c>
      <c r="C17" s="2608" t="str">
        <f>估价对象房地状况!C6</f>
        <v>估价对象周边道路状况较好、公共交通通达情况较好、停车便捷程度较好，周边有香河203、/20路等公交线路，综合评价交通便捷度较好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3"/>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23"/>
      <c r="Q18" s="1812"/>
      <c r="R18" s="774"/>
      <c r="S18" s="775"/>
      <c r="T18" s="774"/>
      <c r="U18" s="775"/>
      <c r="V18" s="774"/>
      <c r="W18" s="775"/>
      <c r="X18" s="1815"/>
      <c r="Y18" s="3176"/>
      <c r="Z18" s="1816"/>
      <c r="AA18" s="1813">
        <v>1</v>
      </c>
      <c r="AB18" s="1813">
        <v>1</v>
      </c>
      <c r="AC18" s="1813">
        <v>1</v>
      </c>
    </row>
    <row r="19" spans="1:29" ht="42.75">
      <c r="A19" s="428"/>
      <c r="B19" s="451" t="s">
        <v>2611</v>
      </c>
      <c r="C19" s="2608"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3"/>
      <c r="Q19" s="1812" t="str">
        <f>B19</f>
        <v>公共配套设施</v>
      </c>
      <c r="R19" s="774" t="s">
        <v>17</v>
      </c>
      <c r="S19" s="775">
        <f>F19</f>
        <v>100</v>
      </c>
      <c r="T19" s="774" t="s">
        <v>17</v>
      </c>
      <c r="U19" s="775">
        <f>H19</f>
        <v>100</v>
      </c>
      <c r="V19" s="774" t="s">
        <v>17</v>
      </c>
      <c r="W19" s="775">
        <f>J19</f>
        <v>100</v>
      </c>
      <c r="X19" s="1815"/>
      <c r="Y19" s="3176"/>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23"/>
      <c r="Q20" s="1812"/>
      <c r="R20" s="774"/>
      <c r="S20" s="775"/>
      <c r="T20" s="774"/>
      <c r="U20" s="775"/>
      <c r="V20" s="774"/>
      <c r="W20" s="775"/>
      <c r="X20" s="1815"/>
      <c r="Y20" s="3176"/>
      <c r="Z20" s="1816"/>
      <c r="AA20" s="1813">
        <v>1</v>
      </c>
      <c r="AB20" s="1813">
        <v>1</v>
      </c>
      <c r="AC20" s="1813">
        <v>1</v>
      </c>
    </row>
    <row r="21" spans="1:29" ht="42.75">
      <c r="A21" s="428"/>
      <c r="B21" s="1387" t="s">
        <v>2612</v>
      </c>
      <c r="C21" s="2608"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3"/>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34"/>
      <c r="P22" s="3223"/>
      <c r="Q22" s="1812"/>
      <c r="R22" s="774"/>
      <c r="S22" s="775"/>
      <c r="T22" s="774"/>
      <c r="U22" s="775"/>
      <c r="V22" s="774"/>
      <c r="W22" s="775"/>
      <c r="X22" s="1815"/>
      <c r="Y22" s="3176"/>
      <c r="Z22" s="1816"/>
      <c r="AA22" s="1813">
        <v>1</v>
      </c>
      <c r="AB22" s="1813">
        <v>1</v>
      </c>
      <c r="AC22" s="1813">
        <v>1</v>
      </c>
    </row>
    <row r="23" spans="1:29" ht="57">
      <c r="A23" s="428"/>
      <c r="B23" s="451" t="s">
        <v>2062</v>
      </c>
      <c r="C23" s="2664" t="str">
        <f>估价对象房地状况!C9</f>
        <v>区域自然环境较好，人文环境较好，周边有廊坊广播电视大学(香河县分校)、五一公园等；综合评价环境状况较好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3"/>
      <c r="Q23" s="1812" t="str">
        <f>B23</f>
        <v>自然及人文环境</v>
      </c>
      <c r="R23" s="774" t="s">
        <v>17</v>
      </c>
      <c r="S23" s="775">
        <f>F23</f>
        <v>100</v>
      </c>
      <c r="T23" s="774" t="s">
        <v>17</v>
      </c>
      <c r="U23" s="775">
        <f>H23</f>
        <v>100</v>
      </c>
      <c r="V23" s="774" t="s">
        <v>17</v>
      </c>
      <c r="W23" s="775">
        <f>J23</f>
        <v>100</v>
      </c>
      <c r="X23" s="1815"/>
      <c r="Y23" s="3176"/>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23"/>
      <c r="Q24" s="1812"/>
      <c r="R24" s="774"/>
      <c r="S24" s="775"/>
      <c r="T24" s="774"/>
      <c r="U24" s="775"/>
      <c r="V24" s="774"/>
      <c r="W24" s="775"/>
      <c r="X24" s="1815"/>
      <c r="Y24" s="3176"/>
      <c r="Z24" s="1816"/>
      <c r="AA24" s="1813">
        <v>1</v>
      </c>
      <c r="AB24" s="1813">
        <v>1</v>
      </c>
      <c r="AC24" s="1813">
        <v>1</v>
      </c>
    </row>
    <row r="25" spans="1:29" ht="15">
      <c r="A25" s="428"/>
      <c r="B25" s="422" t="s">
        <v>2613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3"/>
      <c r="Q25" s="1812" t="str">
        <f t="shared" ref="Q25:Q46" si="11">B25</f>
        <v>临街状况</v>
      </c>
      <c r="R25" s="774" t="s">
        <v>17</v>
      </c>
      <c r="S25" s="775">
        <f>F25</f>
        <v>100</v>
      </c>
      <c r="T25" s="774" t="s">
        <v>17</v>
      </c>
      <c r="U25" s="775">
        <f>H25</f>
        <v>100</v>
      </c>
      <c r="V25" s="774" t="s">
        <v>17</v>
      </c>
      <c r="W25" s="775">
        <f>J25</f>
        <v>100</v>
      </c>
      <c r="X25" s="1815"/>
      <c r="Y25" s="3176"/>
      <c r="Z25" s="1816" t="str">
        <f>Q25</f>
        <v>临街状况</v>
      </c>
      <c r="AA25" s="1813">
        <f t="shared" si="3"/>
        <v>1</v>
      </c>
      <c r="AB25" s="1813">
        <f t="shared" si="4"/>
        <v>1</v>
      </c>
      <c r="AC25" s="1813">
        <f t="shared" si="5"/>
        <v>1</v>
      </c>
    </row>
    <row r="26" spans="1:29" ht="15">
      <c r="A26" s="428"/>
      <c r="B26" s="1389" t="s">
        <v>2614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3"/>
      <c r="Q26" s="1812" t="str">
        <f t="shared" si="11"/>
        <v>平面位置/可视性</v>
      </c>
      <c r="R26" s="774" t="s">
        <v>17</v>
      </c>
      <c r="S26" s="775">
        <f>F26</f>
        <v>100</v>
      </c>
      <c r="T26" s="774" t="s">
        <v>17</v>
      </c>
      <c r="U26" s="775">
        <f>H26</f>
        <v>100</v>
      </c>
      <c r="V26" s="774" t="s">
        <v>17</v>
      </c>
      <c r="W26" s="775">
        <f>J26</f>
        <v>100</v>
      </c>
      <c r="X26" s="1815"/>
      <c r="Y26" s="3176"/>
      <c r="Z26" s="1816" t="str">
        <f>Q26</f>
        <v>平面位置/可视性</v>
      </c>
      <c r="AA26" s="1813">
        <f t="shared" si="3"/>
        <v>1</v>
      </c>
      <c r="AB26" s="1813">
        <f t="shared" si="4"/>
        <v>1</v>
      </c>
      <c r="AC26" s="1813">
        <f t="shared" si="5"/>
        <v>1</v>
      </c>
    </row>
    <row r="27" spans="1:29" s="117" customFormat="1" ht="15">
      <c r="A27" s="431"/>
      <c r="B27" s="451" t="s">
        <v>2615</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23"/>
      <c r="Q27" s="1797" t="str">
        <f t="shared" si="11"/>
        <v>人流量</v>
      </c>
      <c r="R27" s="770" t="s">
        <v>17</v>
      </c>
      <c r="S27" s="771">
        <f>F27</f>
        <v>100</v>
      </c>
      <c r="T27" s="770" t="s">
        <v>17</v>
      </c>
      <c r="U27" s="771">
        <f>H27</f>
        <v>100</v>
      </c>
      <c r="V27" s="770" t="s">
        <v>17</v>
      </c>
      <c r="W27" s="771">
        <f>J27</f>
        <v>100</v>
      </c>
      <c r="X27" s="772"/>
      <c r="Y27" s="3176"/>
      <c r="Z27" s="55" t="str">
        <f>Q27</f>
        <v>人流量</v>
      </c>
      <c r="AA27" s="1813">
        <f>D27/F27</f>
        <v>1</v>
      </c>
      <c r="AB27" s="1813">
        <f>D27/H27</f>
        <v>1</v>
      </c>
      <c r="AC27" s="1813">
        <f>D27/J27</f>
        <v>1</v>
      </c>
    </row>
    <row r="28" spans="1:29" ht="15">
      <c r="A28" s="428"/>
      <c r="B28" s="422" t="s">
        <v>2616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3"/>
      <c r="Q29" s="1812">
        <f t="shared" si="11"/>
        <v>111</v>
      </c>
      <c r="R29" s="774" t="s">
        <v>17</v>
      </c>
      <c r="S29" s="775">
        <f t="shared" si="12"/>
        <v>100</v>
      </c>
      <c r="T29" s="774" t="s">
        <v>17</v>
      </c>
      <c r="U29" s="775">
        <f t="shared" si="13"/>
        <v>100</v>
      </c>
      <c r="V29" s="774" t="s">
        <v>17</v>
      </c>
      <c r="W29" s="775">
        <f t="shared" si="14"/>
        <v>100</v>
      </c>
      <c r="X29" s="1815"/>
      <c r="Y29" s="317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3"/>
      <c r="Q30" s="1812">
        <f t="shared" si="11"/>
        <v>111</v>
      </c>
      <c r="R30" s="774" t="s">
        <v>17</v>
      </c>
      <c r="S30" s="775">
        <f t="shared" si="12"/>
        <v>100</v>
      </c>
      <c r="T30" s="774" t="s">
        <v>17</v>
      </c>
      <c r="U30" s="775">
        <f t="shared" si="13"/>
        <v>100</v>
      </c>
      <c r="V30" s="774" t="s">
        <v>17</v>
      </c>
      <c r="W30" s="775">
        <f t="shared" si="14"/>
        <v>100</v>
      </c>
      <c r="X30" s="1815"/>
      <c r="Y30" s="317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3"/>
      <c r="Q31" s="1812">
        <f t="shared" si="11"/>
        <v>111</v>
      </c>
      <c r="R31" s="774" t="s">
        <v>17</v>
      </c>
      <c r="S31" s="775">
        <f t="shared" si="12"/>
        <v>100</v>
      </c>
      <c r="T31" s="774" t="s">
        <v>17</v>
      </c>
      <c r="U31" s="775">
        <f t="shared" si="13"/>
        <v>100</v>
      </c>
      <c r="V31" s="774" t="s">
        <v>17</v>
      </c>
      <c r="W31" s="775">
        <f t="shared" si="14"/>
        <v>100</v>
      </c>
      <c r="X31" s="1815"/>
      <c r="Y31" s="3176"/>
      <c r="Z31" s="1816">
        <f t="shared" si="15"/>
        <v>111</v>
      </c>
      <c r="AA31" s="1813">
        <f t="shared" si="3"/>
        <v>1</v>
      </c>
      <c r="AB31" s="1813">
        <f t="shared" si="4"/>
        <v>1</v>
      </c>
      <c r="AC31" s="1813">
        <f t="shared" si="5"/>
        <v>1</v>
      </c>
    </row>
    <row r="32" spans="1:29" ht="15">
      <c r="A32" s="440" t="s">
        <v>2521</v>
      </c>
      <c r="B32" s="71" t="s">
        <v>2617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18" t="s">
        <v>2523</v>
      </c>
      <c r="Q32" s="1812" t="str">
        <f t="shared" si="11"/>
        <v>商业类型</v>
      </c>
      <c r="R32" s="774" t="s">
        <v>17</v>
      </c>
      <c r="S32" s="775">
        <f t="shared" si="12"/>
        <v>100</v>
      </c>
      <c r="T32" s="774" t="s">
        <v>17</v>
      </c>
      <c r="U32" s="775">
        <f t="shared" si="13"/>
        <v>100</v>
      </c>
      <c r="V32" s="774" t="s">
        <v>17</v>
      </c>
      <c r="W32" s="775">
        <f t="shared" si="14"/>
        <v>100</v>
      </c>
      <c r="X32" s="1815"/>
      <c r="Y32" s="3178" t="s">
        <v>2523</v>
      </c>
      <c r="Z32" s="1816" t="str">
        <f t="shared" si="15"/>
        <v>商业类型</v>
      </c>
      <c r="AA32" s="1813">
        <f t="shared" si="3"/>
        <v>1</v>
      </c>
      <c r="AB32" s="1813">
        <f t="shared" si="4"/>
        <v>1</v>
      </c>
      <c r="AC32" s="1813">
        <f t="shared" si="5"/>
        <v>1</v>
      </c>
    </row>
    <row r="33" spans="1:29" s="471" customFormat="1" ht="15">
      <c r="A33" s="468"/>
      <c r="B33" s="422" t="s">
        <v>2524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9"/>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3" t="e">
        <f t="shared" si="3"/>
        <v>#N/A</v>
      </c>
      <c r="AB33" s="1813" t="e">
        <f t="shared" si="4"/>
        <v>#N/A</v>
      </c>
      <c r="AC33" s="1813" t="e">
        <f t="shared" si="5"/>
        <v>#N/A</v>
      </c>
    </row>
    <row r="34" spans="1:29" ht="15">
      <c r="A34" s="472"/>
      <c r="B34" s="422" t="s">
        <v>2525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19"/>
      <c r="Q34" s="1812" t="str">
        <f t="shared" si="11"/>
        <v>建筑结构</v>
      </c>
      <c r="R34" s="774" t="s">
        <v>17</v>
      </c>
      <c r="S34" s="775">
        <f t="shared" si="12"/>
        <v>100</v>
      </c>
      <c r="T34" s="774" t="s">
        <v>17</v>
      </c>
      <c r="U34" s="775">
        <f t="shared" si="13"/>
        <v>100</v>
      </c>
      <c r="V34" s="774" t="s">
        <v>17</v>
      </c>
      <c r="W34" s="775">
        <f t="shared" si="14"/>
        <v>100</v>
      </c>
      <c r="X34" s="1815"/>
      <c r="Y34" s="3178"/>
      <c r="Z34" s="1816" t="str">
        <f t="shared" si="15"/>
        <v>建筑结构</v>
      </c>
      <c r="AA34" s="1813">
        <f t="shared" si="3"/>
        <v>1</v>
      </c>
      <c r="AB34" s="1813">
        <f t="shared" si="4"/>
        <v>1</v>
      </c>
      <c r="AC34" s="1813">
        <f t="shared" si="5"/>
        <v>1</v>
      </c>
    </row>
    <row r="35" spans="1:29" ht="15">
      <c r="A35" s="472"/>
      <c r="B35" s="422" t="s">
        <v>2618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19"/>
      <c r="Q35" s="1812" t="str">
        <f t="shared" si="11"/>
        <v>公共部分装修</v>
      </c>
      <c r="R35" s="774" t="s">
        <v>17</v>
      </c>
      <c r="S35" s="775">
        <f t="shared" si="12"/>
        <v>100</v>
      </c>
      <c r="T35" s="774" t="s">
        <v>17</v>
      </c>
      <c r="U35" s="775">
        <f t="shared" si="13"/>
        <v>100</v>
      </c>
      <c r="V35" s="774" t="s">
        <v>17</v>
      </c>
      <c r="W35" s="775">
        <f t="shared" si="14"/>
        <v>100</v>
      </c>
      <c r="X35" s="1815"/>
      <c r="Y35" s="3178"/>
      <c r="Z35" s="1816" t="str">
        <f t="shared" si="15"/>
        <v>公共部分装修</v>
      </c>
      <c r="AA35" s="1813">
        <f t="shared" si="3"/>
        <v>1</v>
      </c>
      <c r="AB35" s="1813">
        <f t="shared" si="4"/>
        <v>1</v>
      </c>
      <c r="AC35" s="1813">
        <f t="shared" si="5"/>
        <v>1</v>
      </c>
    </row>
    <row r="36" spans="1:29" ht="15">
      <c r="A36" s="472"/>
      <c r="B36" s="422" t="s">
        <v>2619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9"/>
      <c r="Q36" s="1812" t="str">
        <f t="shared" si="11"/>
        <v>成新度</v>
      </c>
      <c r="R36" s="774" t="s">
        <v>17</v>
      </c>
      <c r="S36" s="775" t="e">
        <f t="shared" si="12"/>
        <v>#N/A</v>
      </c>
      <c r="T36" s="774" t="s">
        <v>17</v>
      </c>
      <c r="U36" s="775" t="e">
        <f t="shared" si="13"/>
        <v>#N/A</v>
      </c>
      <c r="V36" s="774" t="s">
        <v>17</v>
      </c>
      <c r="W36" s="775" t="e">
        <f t="shared" si="14"/>
        <v>#N/A</v>
      </c>
      <c r="X36" s="1815"/>
      <c r="Y36" s="3178"/>
      <c r="Z36" s="1816" t="str">
        <f t="shared" si="15"/>
        <v>成新度</v>
      </c>
      <c r="AA36" s="1813" t="e">
        <f t="shared" si="3"/>
        <v>#N/A</v>
      </c>
      <c r="AB36" s="1813" t="e">
        <f t="shared" si="4"/>
        <v>#N/A</v>
      </c>
      <c r="AC36" s="1813" t="e">
        <f t="shared" si="5"/>
        <v>#N/A</v>
      </c>
    </row>
    <row r="37" spans="1:29" s="117" customFormat="1" ht="15">
      <c r="A37" s="473"/>
      <c r="B37" s="422" t="s">
        <v>2620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19"/>
      <c r="Q37" s="1797"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2621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19" t="s">
        <v>2523</v>
      </c>
      <c r="Q38" s="1812" t="str">
        <f t="shared" si="11"/>
        <v>业态</v>
      </c>
      <c r="R38" s="774" t="s">
        <v>17</v>
      </c>
      <c r="S38" s="775">
        <f t="shared" si="12"/>
        <v>100</v>
      </c>
      <c r="T38" s="774" t="s">
        <v>17</v>
      </c>
      <c r="U38" s="775">
        <f t="shared" si="13"/>
        <v>100</v>
      </c>
      <c r="V38" s="774" t="s">
        <v>17</v>
      </c>
      <c r="W38" s="775">
        <f t="shared" si="14"/>
        <v>100</v>
      </c>
      <c r="X38" s="1815"/>
      <c r="Y38" s="3178" t="s">
        <v>2523</v>
      </c>
      <c r="Z38" s="1816" t="str">
        <f t="shared" si="15"/>
        <v>业态</v>
      </c>
      <c r="AA38" s="1813">
        <f t="shared" si="3"/>
        <v>1</v>
      </c>
      <c r="AB38" s="1813">
        <f t="shared" si="4"/>
        <v>1</v>
      </c>
      <c r="AC38" s="1813">
        <f t="shared" si="5"/>
        <v>1</v>
      </c>
    </row>
    <row r="39" spans="1:29" ht="15">
      <c r="A39" s="472"/>
      <c r="B39" s="422" t="s">
        <v>2622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19"/>
      <c r="Q39" s="1812" t="str">
        <f t="shared" si="11"/>
        <v>层高</v>
      </c>
      <c r="R39" s="774" t="s">
        <v>17</v>
      </c>
      <c r="S39" s="775">
        <f t="shared" si="12"/>
        <v>100</v>
      </c>
      <c r="T39" s="774" t="s">
        <v>17</v>
      </c>
      <c r="U39" s="775">
        <f t="shared" si="13"/>
        <v>100</v>
      </c>
      <c r="V39" s="774" t="s">
        <v>17</v>
      </c>
      <c r="W39" s="775">
        <f t="shared" si="14"/>
        <v>100</v>
      </c>
      <c r="X39" s="1815"/>
      <c r="Y39" s="3178"/>
      <c r="Z39" s="1816" t="str">
        <f t="shared" si="15"/>
        <v>层高</v>
      </c>
      <c r="AA39" s="1813">
        <f t="shared" si="3"/>
        <v>1</v>
      </c>
      <c r="AB39" s="1813">
        <f t="shared" si="4"/>
        <v>1</v>
      </c>
      <c r="AC39" s="1813">
        <f t="shared" si="5"/>
        <v>1</v>
      </c>
    </row>
    <row r="40" spans="1:29" ht="15">
      <c r="A40" s="472"/>
      <c r="B40" s="422" t="s">
        <v>2623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9"/>
      <c r="Q40" s="1812" t="str">
        <f t="shared" si="11"/>
        <v>单套建筑面积</v>
      </c>
      <c r="R40" s="774" t="s">
        <v>17</v>
      </c>
      <c r="S40" s="775">
        <f t="shared" si="12"/>
        <v>100</v>
      </c>
      <c r="T40" s="774" t="s">
        <v>17</v>
      </c>
      <c r="U40" s="775">
        <f t="shared" si="13"/>
        <v>100</v>
      </c>
      <c r="V40" s="774" t="s">
        <v>17</v>
      </c>
      <c r="W40" s="775">
        <f t="shared" si="14"/>
        <v>100</v>
      </c>
      <c r="X40" s="1815"/>
      <c r="Y40" s="3178"/>
      <c r="Z40" s="1816" t="str">
        <f t="shared" si="15"/>
        <v>单套建筑面积</v>
      </c>
      <c r="AA40" s="1813">
        <f t="shared" si="3"/>
        <v>1</v>
      </c>
      <c r="AB40" s="1813">
        <f t="shared" si="4"/>
        <v>1</v>
      </c>
      <c r="AC40" s="1813">
        <f t="shared" si="5"/>
        <v>1</v>
      </c>
    </row>
    <row r="41" spans="1:29" s="471" customFormat="1" ht="15">
      <c r="A41" s="468"/>
      <c r="B41" s="1814" t="s">
        <v>2624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9"/>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3">
        <f t="shared" si="3"/>
        <v>1</v>
      </c>
      <c r="AB41" s="1813">
        <f t="shared" si="4"/>
        <v>1</v>
      </c>
      <c r="AC41" s="1813">
        <f t="shared" si="5"/>
        <v>1</v>
      </c>
    </row>
    <row r="42" spans="1:29" ht="15">
      <c r="A42" s="472"/>
      <c r="B42" s="422" t="s">
        <v>2625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19"/>
      <c r="Q42" s="1812" t="str">
        <f t="shared" si="11"/>
        <v>内部装修</v>
      </c>
      <c r="R42" s="774" t="s">
        <v>17</v>
      </c>
      <c r="S42" s="775">
        <f t="shared" si="12"/>
        <v>100</v>
      </c>
      <c r="T42" s="774" t="s">
        <v>17</v>
      </c>
      <c r="U42" s="775">
        <f t="shared" si="13"/>
        <v>100</v>
      </c>
      <c r="V42" s="774" t="s">
        <v>17</v>
      </c>
      <c r="W42" s="775">
        <f t="shared" si="14"/>
        <v>100</v>
      </c>
      <c r="X42" s="1815"/>
      <c r="Y42" s="3178"/>
      <c r="Z42" s="1816" t="str">
        <f t="shared" si="15"/>
        <v>内部装修</v>
      </c>
      <c r="AA42" s="1813">
        <f t="shared" si="3"/>
        <v>1</v>
      </c>
      <c r="AB42" s="1813">
        <f t="shared" si="4"/>
        <v>1</v>
      </c>
      <c r="AC42" s="1813">
        <f t="shared" si="5"/>
        <v>1</v>
      </c>
    </row>
    <row r="43" spans="1:29" ht="15">
      <c r="A43" s="472"/>
      <c r="B43" s="422" t="s">
        <v>2534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19"/>
      <c r="Q43" s="1812" t="str">
        <f t="shared" si="11"/>
        <v>内部装修维护情况</v>
      </c>
      <c r="R43" s="774" t="s">
        <v>17</v>
      </c>
      <c r="S43" s="775">
        <f t="shared" si="12"/>
        <v>100</v>
      </c>
      <c r="T43" s="774" t="s">
        <v>17</v>
      </c>
      <c r="U43" s="775">
        <f t="shared" si="13"/>
        <v>100</v>
      </c>
      <c r="V43" s="774" t="s">
        <v>17</v>
      </c>
      <c r="W43" s="775">
        <f t="shared" si="14"/>
        <v>100</v>
      </c>
      <c r="X43" s="1815"/>
      <c r="Y43" s="317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9"/>
      <c r="Q44" s="1797">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9"/>
      <c r="Q45" s="1812">
        <f t="shared" si="11"/>
        <v>111</v>
      </c>
      <c r="R45" s="774" t="s">
        <v>17</v>
      </c>
      <c r="S45" s="775">
        <f t="shared" si="12"/>
        <v>100</v>
      </c>
      <c r="T45" s="774" t="s">
        <v>17</v>
      </c>
      <c r="U45" s="775">
        <f t="shared" si="13"/>
        <v>100</v>
      </c>
      <c r="V45" s="774" t="s">
        <v>17</v>
      </c>
      <c r="W45" s="775">
        <f t="shared" si="14"/>
        <v>100</v>
      </c>
      <c r="X45" s="1815"/>
      <c r="Y45" s="3178"/>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0"/>
      <c r="Q46" s="1812">
        <f t="shared" si="11"/>
        <v>111</v>
      </c>
      <c r="R46" s="774" t="s">
        <v>17</v>
      </c>
      <c r="S46" s="775">
        <f t="shared" si="12"/>
        <v>100</v>
      </c>
      <c r="T46" s="774" t="s">
        <v>17</v>
      </c>
      <c r="U46" s="775">
        <f t="shared" si="13"/>
        <v>100</v>
      </c>
      <c r="V46" s="774" t="s">
        <v>17</v>
      </c>
      <c r="W46" s="775">
        <f t="shared" si="14"/>
        <v>100</v>
      </c>
      <c r="X46" s="1815"/>
      <c r="Y46" s="3221"/>
      <c r="Z46" s="1816">
        <f t="shared" si="15"/>
        <v>111</v>
      </c>
      <c r="AA46" s="1813">
        <f t="shared" si="3"/>
        <v>1</v>
      </c>
      <c r="AB46" s="1813">
        <f t="shared" si="4"/>
        <v>1</v>
      </c>
      <c r="AC46" s="1813">
        <f t="shared" si="5"/>
        <v>1</v>
      </c>
    </row>
    <row r="47" spans="1:29" ht="15">
      <c r="A47" s="479" t="s">
        <v>2535</v>
      </c>
      <c r="B47" s="480"/>
      <c r="C47" s="1410" t="s">
        <v>1</v>
      </c>
      <c r="D47" s="1411"/>
      <c r="E47" s="1412"/>
      <c r="F47" s="1413"/>
      <c r="G47" s="1414"/>
      <c r="H47" s="1415"/>
      <c r="I47" s="1412"/>
      <c r="J47" s="1415"/>
      <c r="K47" s="783"/>
      <c r="L47" s="1146"/>
      <c r="M47" s="1147"/>
      <c r="N47" s="1134"/>
      <c r="O47" s="1147"/>
      <c r="P47" s="3160" t="str">
        <f>A47</f>
        <v>成交单价（元/平方米）</v>
      </c>
      <c r="Q47" s="3160"/>
      <c r="R47" s="3173">
        <f>E47</f>
        <v>0</v>
      </c>
      <c r="S47" s="3173"/>
      <c r="T47" s="3173">
        <f>G47</f>
        <v>0</v>
      </c>
      <c r="U47" s="3173"/>
      <c r="V47" s="3173">
        <f>I47</f>
        <v>0</v>
      </c>
      <c r="W47" s="3173"/>
      <c r="X47" s="759"/>
      <c r="Y47" s="781"/>
      <c r="Z47" s="759"/>
      <c r="AA47" s="759"/>
      <c r="AB47" s="759"/>
      <c r="AC47" s="759"/>
    </row>
    <row r="48" spans="1:29" ht="15.75" thickBot="1">
      <c r="A48" s="486" t="s">
        <v>2626</v>
      </c>
      <c r="B48" s="487"/>
      <c r="C48" s="1416" t="e">
        <f>R49</f>
        <v>#DIV/0!</v>
      </c>
      <c r="D48" s="1417"/>
      <c r="E48" s="1418" t="e">
        <f>R48</f>
        <v>#DIV/0!</v>
      </c>
      <c r="F48" s="1418"/>
      <c r="G48" s="1416" t="e">
        <f>T48</f>
        <v>#DIV/0!</v>
      </c>
      <c r="H48" s="1417"/>
      <c r="I48" s="1418" t="e">
        <f>V48</f>
        <v>#DIV/0!</v>
      </c>
      <c r="J48" s="1417"/>
      <c r="K48" s="784"/>
      <c r="L48" s="1146"/>
      <c r="M48" s="1147"/>
      <c r="N48" s="1134"/>
      <c r="O48" s="1147"/>
      <c r="P48" s="3160" t="str">
        <f>A48</f>
        <v>比较价值（元/平方米）</v>
      </c>
      <c r="Q48" s="3160"/>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2627</v>
      </c>
      <c r="B49" s="493"/>
      <c r="C49" s="1420" t="e">
        <f>R49</f>
        <v>#DIV/0!</v>
      </c>
      <c r="D49" s="1420"/>
      <c r="E49" s="1420"/>
      <c r="F49" s="1420"/>
      <c r="G49" s="1420"/>
      <c r="H49" s="1420"/>
      <c r="I49" s="1420"/>
      <c r="J49" s="1420"/>
      <c r="K49" s="785"/>
      <c r="L49" s="1146"/>
      <c r="M49" s="1147"/>
      <c r="N49" s="1134"/>
      <c r="O49" s="1147"/>
      <c r="P49" s="3180" t="str">
        <f>A49</f>
        <v>估价对象XX用房的比较价值（楼面单价，元/平方米）</v>
      </c>
      <c r="Q49" s="3181"/>
      <c r="R49" s="3216" t="e">
        <f>IF(F1="售价",ROUND(AVERAGE(R48:V48),0),ROUND(AVERAGE(R48:V48),1))</f>
        <v>#DIV/0!</v>
      </c>
      <c r="S49" s="3216"/>
      <c r="T49" s="3216"/>
      <c r="U49" s="3216"/>
      <c r="V49" s="3216"/>
      <c r="W49" s="321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2631</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2506</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2542</v>
      </c>
      <c r="B60" s="516"/>
      <c r="C60" s="517"/>
      <c r="D60" s="518"/>
      <c r="E60" s="518"/>
      <c r="F60" s="518"/>
      <c r="G60" s="518"/>
      <c r="H60" s="518"/>
      <c r="I60" s="518"/>
      <c r="J60" s="518"/>
      <c r="K60" s="518"/>
      <c r="L60" s="518"/>
      <c r="M60" s="519"/>
      <c r="N60" s="518"/>
      <c r="O60" s="519"/>
      <c r="P60" s="2628"/>
      <c r="Q60" s="504"/>
    </row>
    <row r="61" spans="1:29" s="117" customFormat="1" ht="15">
      <c r="A61" s="521" t="s">
        <v>2508</v>
      </c>
      <c r="B61" s="510"/>
      <c r="C61" s="522" t="s">
        <v>2609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2545</v>
      </c>
      <c r="B63" s="528" t="s">
        <v>2512</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2515</v>
      </c>
      <c r="C65" s="539" t="s">
        <v>2546</v>
      </c>
      <c r="D65" s="539" t="s">
        <v>2547</v>
      </c>
      <c r="E65" s="539" t="s">
        <v>2548</v>
      </c>
      <c r="F65" s="539" t="s">
        <v>2549</v>
      </c>
      <c r="G65" s="539" t="s">
        <v>2550</v>
      </c>
      <c r="H65" s="539" t="s">
        <v>2551</v>
      </c>
      <c r="I65" s="539" t="s">
        <v>2552</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2516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2517</v>
      </c>
      <c r="B76" s="528" t="s">
        <v>2553</v>
      </c>
      <c r="C76" s="573" t="s">
        <v>2554</v>
      </c>
      <c r="D76" s="573" t="s">
        <v>2555</v>
      </c>
      <c r="E76" s="573" t="s">
        <v>2556</v>
      </c>
      <c r="F76" s="573" t="s">
        <v>2557</v>
      </c>
      <c r="G76" s="573" t="s">
        <v>2558</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2559</v>
      </c>
      <c r="C78" s="578" t="s">
        <v>2554</v>
      </c>
      <c r="D78" s="578" t="s">
        <v>2555</v>
      </c>
      <c r="E78" s="578" t="s">
        <v>2556</v>
      </c>
      <c r="F78" s="578" t="s">
        <v>2557</v>
      </c>
      <c r="G78" s="578" t="s">
        <v>2558</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2560</v>
      </c>
      <c r="C80" s="578" t="s">
        <v>2554</v>
      </c>
      <c r="D80" s="578" t="s">
        <v>2555</v>
      </c>
      <c r="E80" s="578" t="s">
        <v>2556</v>
      </c>
      <c r="F80" s="578" t="s">
        <v>2557</v>
      </c>
      <c r="G80" s="578" t="s">
        <v>2558</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2612</v>
      </c>
      <c r="C82" s="660" t="s">
        <v>2632</v>
      </c>
      <c r="D82" s="660" t="s">
        <v>2633</v>
      </c>
      <c r="E82" s="660" t="s">
        <v>2634</v>
      </c>
      <c r="F82" s="660" t="s">
        <v>2635</v>
      </c>
      <c r="G82" s="660" t="s">
        <v>2636</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2566</v>
      </c>
      <c r="C84" s="578" t="s">
        <v>2554</v>
      </c>
      <c r="D84" s="578" t="s">
        <v>2555</v>
      </c>
      <c r="E84" s="578" t="s">
        <v>2556</v>
      </c>
      <c r="F84" s="578" t="s">
        <v>2557</v>
      </c>
      <c r="G84" s="578" t="s">
        <v>2558</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2637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2521</v>
      </c>
      <c r="B100" s="528" t="s">
        <v>2638</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2570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2571</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2573</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1963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2575</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2639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2640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2641</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2642</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2577</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2578</v>
      </c>
      <c r="C124" s="578" t="s">
        <v>2554</v>
      </c>
      <c r="D124" s="578" t="s">
        <v>2555</v>
      </c>
      <c r="E124" s="578" t="s">
        <v>2556</v>
      </c>
      <c r="F124" s="578" t="s">
        <v>2557</v>
      </c>
      <c r="G124" s="578" t="s">
        <v>2558</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669" t="s">
        <v>2643</v>
      </c>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IF(C2="——",ROUND(C50*D3/10000,0),ROUND(C50*D3/10000,0)-D2)</f>
        <v>#DIV/0!</v>
      </c>
      <c r="C2" s="2587"/>
      <c r="D2" s="1368" t="e">
        <f ca="1">SUMIF(INDIRECT("'"&amp;F2&amp;"'"&amp;"!A:A"),"承租人权益价值",INDIRECT("'"&amp;F2&amp;"'"&amp;"!c:c"))</f>
        <v>#REF!</v>
      </c>
      <c r="E2" s="2588" t="s">
        <v>2289</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 ca="1">IF(C2="——",C50,ROUND(B2*10000/D3,0))</f>
        <v>#DIV/0!</v>
      </c>
      <c r="C3" s="400" t="s">
        <v>2601</v>
      </c>
      <c r="D3" s="399">
        <f>IF(D1="",'数据-汇总表'!E3,SUMIF('数据-汇总表'!$C19:$C33,D1,'数据-汇总表'!$E19:$E33))</f>
        <v>19689.989999999998</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2602</v>
      </c>
      <c r="B4" s="402"/>
      <c r="C4" s="3161" t="s">
        <v>2603</v>
      </c>
      <c r="D4" s="3162"/>
      <c r="E4" s="3163" t="s">
        <v>2604</v>
      </c>
      <c r="F4" s="3164"/>
      <c r="G4" s="3161" t="s">
        <v>2605</v>
      </c>
      <c r="H4" s="3162"/>
      <c r="I4" s="3161" t="s">
        <v>2606</v>
      </c>
      <c r="J4" s="3162"/>
      <c r="K4" s="610" t="s">
        <v>2607</v>
      </c>
      <c r="L4" s="1133"/>
      <c r="M4" s="1134"/>
      <c r="N4" s="1134"/>
      <c r="O4" s="1134"/>
      <c r="P4" s="3230" t="s">
        <v>2608</v>
      </c>
      <c r="Q4" s="3231"/>
      <c r="R4" s="3225" t="s">
        <v>2604</v>
      </c>
      <c r="S4" s="3226"/>
      <c r="T4" s="3225" t="s">
        <v>2605</v>
      </c>
      <c r="U4" s="3226"/>
      <c r="V4" s="3234" t="s">
        <v>2606</v>
      </c>
      <c r="W4" s="3234"/>
      <c r="X4" s="2670"/>
      <c r="Y4" s="3225" t="s">
        <v>2608</v>
      </c>
      <c r="Z4" s="3226"/>
      <c r="AA4" s="3224" t="s">
        <v>2604</v>
      </c>
      <c r="AB4" s="3224" t="s">
        <v>2605</v>
      </c>
      <c r="AC4" s="3227" t="s">
        <v>2606</v>
      </c>
    </row>
    <row r="5" spans="1:29" ht="15">
      <c r="A5" s="404"/>
      <c r="B5" s="405"/>
      <c r="C5" s="3154" t="s">
        <v>2500</v>
      </c>
      <c r="D5" s="3155"/>
      <c r="E5" s="3152" t="s">
        <v>2501</v>
      </c>
      <c r="F5" s="3153"/>
      <c r="G5" s="3154" t="s">
        <v>2502</v>
      </c>
      <c r="H5" s="3155"/>
      <c r="I5" s="3154" t="s">
        <v>2503</v>
      </c>
      <c r="J5" s="3155"/>
      <c r="K5" s="610"/>
      <c r="L5" s="1133"/>
      <c r="M5" s="1134"/>
      <c r="N5" s="1134"/>
      <c r="O5" s="1134"/>
      <c r="P5" s="3232"/>
      <c r="Q5" s="3168"/>
      <c r="R5" s="3150"/>
      <c r="S5" s="3151"/>
      <c r="T5" s="3150"/>
      <c r="U5" s="3151"/>
      <c r="V5" s="3173"/>
      <c r="W5" s="3173"/>
      <c r="X5" s="1815"/>
      <c r="Y5" s="3150"/>
      <c r="Z5" s="3151"/>
      <c r="AA5" s="3144"/>
      <c r="AB5" s="3144"/>
      <c r="AC5" s="3228"/>
    </row>
    <row r="6" spans="1:29" ht="15.75" thickBot="1">
      <c r="A6" s="406"/>
      <c r="B6" s="407"/>
      <c r="C6" s="3156" t="s">
        <v>2504</v>
      </c>
      <c r="D6" s="3157"/>
      <c r="E6" s="3158" t="s">
        <v>2504</v>
      </c>
      <c r="F6" s="3159"/>
      <c r="G6" s="3156" t="s">
        <v>2504</v>
      </c>
      <c r="H6" s="3157"/>
      <c r="I6" s="3156" t="s">
        <v>2504</v>
      </c>
      <c r="J6" s="3157"/>
      <c r="K6" s="610" t="s">
        <v>2505</v>
      </c>
      <c r="L6" s="1133"/>
      <c r="M6" s="1134"/>
      <c r="N6" s="1134"/>
      <c r="O6" s="1134"/>
      <c r="P6" s="3233"/>
      <c r="Q6" s="3170"/>
      <c r="R6" s="3150"/>
      <c r="S6" s="3151"/>
      <c r="T6" s="3171"/>
      <c r="U6" s="3172"/>
      <c r="V6" s="3173"/>
      <c r="W6" s="3173"/>
      <c r="X6" s="1815"/>
      <c r="Y6" s="3171"/>
      <c r="Z6" s="3172"/>
      <c r="AA6" s="3145"/>
      <c r="AB6" s="3145"/>
      <c r="AC6" s="3229"/>
    </row>
    <row r="7" spans="1:29" s="117" customFormat="1" ht="15.75" thickBot="1">
      <c r="A7" s="408" t="s">
        <v>2506</v>
      </c>
      <c r="B7" s="409"/>
      <c r="C7" s="410">
        <f>'数据-取费表'!B2</f>
        <v>43420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5" t="s">
        <v>2507</v>
      </c>
      <c r="Q7" s="3174"/>
      <c r="R7" s="770" t="s">
        <v>17</v>
      </c>
      <c r="S7" s="771">
        <f t="shared" ref="S7:S15" si="0">F7</f>
        <v>0</v>
      </c>
      <c r="T7" s="770" t="s">
        <v>17</v>
      </c>
      <c r="U7" s="771">
        <f t="shared" ref="U7:U15" si="1">H7</f>
        <v>0</v>
      </c>
      <c r="V7" s="770" t="s">
        <v>17</v>
      </c>
      <c r="W7" s="771">
        <f t="shared" ref="W7:W15" si="2">J7</f>
        <v>0</v>
      </c>
      <c r="X7" s="772"/>
      <c r="Y7" s="3146" t="s">
        <v>2507</v>
      </c>
      <c r="Z7" s="3147"/>
      <c r="AA7" s="773" t="e">
        <f>D7/F7</f>
        <v>#DIV/0!</v>
      </c>
      <c r="AB7" s="773" t="e">
        <f>D7/H7</f>
        <v>#DIV/0!</v>
      </c>
      <c r="AC7" s="2671" t="e">
        <f>D7/J7</f>
        <v>#DIV/0!</v>
      </c>
    </row>
    <row r="8" spans="1:29" s="117" customFormat="1" ht="15.75" thickBot="1">
      <c r="A8" s="408" t="s">
        <v>2508</v>
      </c>
      <c r="B8" s="409"/>
      <c r="C8" s="414" t="s">
        <v>2609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5" t="s">
        <v>2510</v>
      </c>
      <c r="Q8" s="3147"/>
      <c r="R8" s="770" t="s">
        <v>17</v>
      </c>
      <c r="S8" s="771">
        <f t="shared" si="0"/>
        <v>0</v>
      </c>
      <c r="T8" s="770" t="s">
        <v>17</v>
      </c>
      <c r="U8" s="771">
        <f t="shared" si="1"/>
        <v>0</v>
      </c>
      <c r="V8" s="770" t="s">
        <v>17</v>
      </c>
      <c r="W8" s="771">
        <f t="shared" si="2"/>
        <v>0</v>
      </c>
      <c r="X8" s="772"/>
      <c r="Y8" s="3146" t="s">
        <v>2510</v>
      </c>
      <c r="Z8" s="3147"/>
      <c r="AA8" s="773" t="e">
        <f t="shared" ref="AA8:AA47" si="3">D8/F8</f>
        <v>#DIV/0!</v>
      </c>
      <c r="AB8" s="773" t="e">
        <f t="shared" ref="AB8:AB47" si="4">D8/H8</f>
        <v>#DIV/0!</v>
      </c>
      <c r="AC8" s="2671" t="e">
        <f t="shared" ref="AC8:AC47" si="5">D8/J8</f>
        <v>#DIV/0!</v>
      </c>
    </row>
    <row r="9" spans="1:29" s="117" customFormat="1">
      <c r="A9" s="415" t="s">
        <v>2511</v>
      </c>
      <c r="B9" s="71" t="s">
        <v>2512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4" t="s">
        <v>2513</v>
      </c>
      <c r="Q9" s="1797" t="str">
        <f t="shared" ref="Q9:Q15" si="6">B9</f>
        <v>用途</v>
      </c>
      <c r="R9" s="770" t="s">
        <v>17</v>
      </c>
      <c r="S9" s="771">
        <f t="shared" si="0"/>
        <v>100</v>
      </c>
      <c r="T9" s="770" t="s">
        <v>17</v>
      </c>
      <c r="U9" s="771">
        <f t="shared" si="1"/>
        <v>100</v>
      </c>
      <c r="V9" s="770" t="s">
        <v>17</v>
      </c>
      <c r="W9" s="771">
        <f t="shared" si="2"/>
        <v>100</v>
      </c>
      <c r="X9" s="772"/>
      <c r="Y9" s="3023" t="s">
        <v>2514</v>
      </c>
      <c r="Z9" s="55" t="str">
        <f t="shared" ref="Z9:Z15" si="7">Q9</f>
        <v>用途</v>
      </c>
      <c r="AA9" s="773">
        <f t="shared" si="3"/>
        <v>1</v>
      </c>
      <c r="AB9" s="773">
        <f t="shared" si="4"/>
        <v>1</v>
      </c>
      <c r="AC9" s="2671">
        <f t="shared" si="5"/>
        <v>1</v>
      </c>
    </row>
    <row r="10" spans="1:29" s="427" customFormat="1" ht="27">
      <c r="A10" s="421"/>
      <c r="B10" s="422" t="s">
        <v>2515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4"/>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1">
        <f t="shared" si="5"/>
        <v>1</v>
      </c>
    </row>
    <row r="11" spans="1:29" ht="15">
      <c r="A11" s="428"/>
      <c r="B11" s="422" t="s">
        <v>2516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4"/>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1" t="e">
        <f t="shared" si="5"/>
        <v>#N/A</v>
      </c>
    </row>
    <row r="12" spans="1:29" s="117" customFormat="1" ht="15">
      <c r="A12" s="431"/>
      <c r="B12" s="2601">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84"/>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1">
        <f>D12/J12</f>
        <v>1</v>
      </c>
    </row>
    <row r="13" spans="1:29" ht="15">
      <c r="A13" s="428"/>
      <c r="B13" s="2601">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84"/>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1">
        <f t="shared" si="5"/>
        <v>1</v>
      </c>
    </row>
    <row r="14" spans="1:29" ht="15.75" thickBot="1">
      <c r="A14" s="436"/>
      <c r="B14" s="2603">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84"/>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1">
        <f t="shared" si="5"/>
        <v>1</v>
      </c>
    </row>
    <row r="15" spans="1:29" ht="15">
      <c r="A15" s="440" t="s">
        <v>2517</v>
      </c>
      <c r="B15" s="629" t="s">
        <v>2644</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2" t="s">
        <v>2518</v>
      </c>
      <c r="Q15" s="1812" t="str">
        <f t="shared" si="6"/>
        <v>办公集聚程度</v>
      </c>
      <c r="R15" s="774" t="s">
        <v>17</v>
      </c>
      <c r="S15" s="775">
        <f t="shared" si="0"/>
        <v>100</v>
      </c>
      <c r="T15" s="774" t="s">
        <v>17</v>
      </c>
      <c r="U15" s="775">
        <f t="shared" si="1"/>
        <v>100</v>
      </c>
      <c r="V15" s="774" t="s">
        <v>17</v>
      </c>
      <c r="W15" s="775">
        <f t="shared" si="2"/>
        <v>100</v>
      </c>
      <c r="X15" s="1815"/>
      <c r="Y15" s="3175" t="s">
        <v>2518</v>
      </c>
      <c r="Z15" s="1816" t="str">
        <f t="shared" si="7"/>
        <v>办公集聚程度</v>
      </c>
      <c r="AA15" s="1813">
        <f t="shared" si="3"/>
        <v>1</v>
      </c>
      <c r="AB15" s="1813">
        <f t="shared" si="4"/>
        <v>1</v>
      </c>
      <c r="AC15" s="2674">
        <f t="shared" si="5"/>
        <v>1</v>
      </c>
    </row>
    <row r="16" spans="1:29" ht="15">
      <c r="A16" s="428"/>
      <c r="B16" s="630"/>
      <c r="C16" s="2612"/>
      <c r="D16" s="448"/>
      <c r="E16" s="447"/>
      <c r="F16" s="448"/>
      <c r="G16" s="2612"/>
      <c r="H16" s="450"/>
      <c r="I16" s="447"/>
      <c r="J16" s="448"/>
      <c r="K16" s="615"/>
      <c r="L16" s="1143"/>
      <c r="M16" s="1134"/>
      <c r="N16" s="1134"/>
      <c r="O16" s="1134"/>
      <c r="P16" s="3223"/>
      <c r="Q16" s="1812"/>
      <c r="R16" s="774"/>
      <c r="S16" s="775"/>
      <c r="T16" s="774"/>
      <c r="U16" s="775"/>
      <c r="V16" s="774"/>
      <c r="W16" s="775"/>
      <c r="X16" s="1815"/>
      <c r="Y16" s="3176"/>
      <c r="Z16" s="1816"/>
      <c r="AA16" s="1813">
        <v>1</v>
      </c>
      <c r="AB16" s="1813">
        <v>1</v>
      </c>
      <c r="AC16" s="2674">
        <v>1</v>
      </c>
    </row>
    <row r="17" spans="1:29" ht="71.25">
      <c r="A17" s="428"/>
      <c r="B17" s="631" t="s">
        <v>2059</v>
      </c>
      <c r="C17" s="2675" t="str">
        <f>估价对象房地状况!C6</f>
        <v>估价对象周边道路状况较好、公共交通通达情况较好、停车便捷程度较好，周边有香河203、/20路等公交线路，综合评价交通便捷度较好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3"/>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2674">
        <f t="shared" si="5"/>
        <v>1</v>
      </c>
    </row>
    <row r="18" spans="1:29" ht="15">
      <c r="A18" s="428"/>
      <c r="B18" s="632"/>
      <c r="C18" s="2676"/>
      <c r="D18" s="450"/>
      <c r="E18" s="2610"/>
      <c r="F18" s="450"/>
      <c r="G18" s="2611"/>
      <c r="H18" s="448"/>
      <c r="I18" s="2611"/>
      <c r="J18" s="448"/>
      <c r="K18" s="615"/>
      <c r="L18" s="1143"/>
      <c r="M18" s="1134"/>
      <c r="N18" s="1134"/>
      <c r="O18" s="1134"/>
      <c r="P18" s="3223"/>
      <c r="Q18" s="1812"/>
      <c r="R18" s="774"/>
      <c r="S18" s="775"/>
      <c r="T18" s="774"/>
      <c r="U18" s="775"/>
      <c r="V18" s="774"/>
      <c r="W18" s="775"/>
      <c r="X18" s="1815"/>
      <c r="Y18" s="3176"/>
      <c r="Z18" s="1816"/>
      <c r="AA18" s="1813">
        <v>1</v>
      </c>
      <c r="AB18" s="1813">
        <v>1</v>
      </c>
      <c r="AC18" s="2674">
        <v>1</v>
      </c>
    </row>
    <row r="19" spans="1:29" ht="42.75">
      <c r="A19" s="428"/>
      <c r="B19" s="631" t="s">
        <v>2645</v>
      </c>
      <c r="C19" s="2675"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3"/>
      <c r="Q19" s="1812" t="str">
        <f>B19</f>
        <v>公共配套设施</v>
      </c>
      <c r="R19" s="774" t="s">
        <v>17</v>
      </c>
      <c r="S19" s="775">
        <f>F19</f>
        <v>100</v>
      </c>
      <c r="T19" s="774" t="s">
        <v>17</v>
      </c>
      <c r="U19" s="775">
        <f>H19</f>
        <v>100</v>
      </c>
      <c r="V19" s="774" t="s">
        <v>17</v>
      </c>
      <c r="W19" s="775">
        <f>J19</f>
        <v>100</v>
      </c>
      <c r="X19" s="1815"/>
      <c r="Y19" s="3176"/>
      <c r="Z19" s="1816" t="str">
        <f>Q19</f>
        <v>公共配套设施</v>
      </c>
      <c r="AA19" s="1813">
        <f t="shared" si="3"/>
        <v>1</v>
      </c>
      <c r="AB19" s="1813">
        <f t="shared" si="4"/>
        <v>1</v>
      </c>
      <c r="AC19" s="2674">
        <f t="shared" si="5"/>
        <v>1</v>
      </c>
    </row>
    <row r="20" spans="1:29" ht="15">
      <c r="A20" s="428"/>
      <c r="B20" s="632"/>
      <c r="C20" s="2612"/>
      <c r="D20" s="448"/>
      <c r="E20" s="2605"/>
      <c r="F20" s="448"/>
      <c r="G20" s="2606"/>
      <c r="H20" s="448"/>
      <c r="I20" s="2606"/>
      <c r="J20" s="448"/>
      <c r="K20" s="615"/>
      <c r="L20" s="1143"/>
      <c r="M20" s="1134"/>
      <c r="N20" s="1134"/>
      <c r="O20" s="1134"/>
      <c r="P20" s="3223"/>
      <c r="Q20" s="1812"/>
      <c r="R20" s="774"/>
      <c r="S20" s="775"/>
      <c r="T20" s="774"/>
      <c r="U20" s="775"/>
      <c r="V20" s="774"/>
      <c r="W20" s="775"/>
      <c r="X20" s="1815"/>
      <c r="Y20" s="3176"/>
      <c r="Z20" s="1816"/>
      <c r="AA20" s="1813">
        <v>1</v>
      </c>
      <c r="AB20" s="1813">
        <v>1</v>
      </c>
      <c r="AC20" s="2674">
        <v>1</v>
      </c>
    </row>
    <row r="21" spans="1:29" ht="28.5">
      <c r="A21" s="428"/>
      <c r="B21" s="633" t="s">
        <v>2646</v>
      </c>
      <c r="C21" s="2675"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3"/>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2"/>
      <c r="H22" s="448"/>
      <c r="I22" s="2612"/>
      <c r="J22" s="448"/>
      <c r="K22" s="1386"/>
      <c r="L22" s="1143"/>
      <c r="M22" s="1134"/>
      <c r="N22" s="1134"/>
      <c r="O22" s="1134"/>
      <c r="P22" s="3223"/>
      <c r="Q22" s="1812"/>
      <c r="R22" s="774"/>
      <c r="S22" s="775"/>
      <c r="T22" s="774"/>
      <c r="U22" s="775"/>
      <c r="V22" s="774"/>
      <c r="W22" s="775"/>
      <c r="X22" s="1815"/>
      <c r="Y22" s="3176"/>
      <c r="Z22" s="1816"/>
      <c r="AA22" s="1813">
        <v>1</v>
      </c>
      <c r="AB22" s="1813">
        <v>1</v>
      </c>
      <c r="AC22" s="2674">
        <v>1</v>
      </c>
    </row>
    <row r="23" spans="1:29" ht="42.75">
      <c r="A23" s="428"/>
      <c r="B23" s="631" t="s">
        <v>2647</v>
      </c>
      <c r="C23" s="2675" t="str">
        <f>估价对象房地状况!C9</f>
        <v>区域自然环境较好，人文环境较好，周边有廊坊广播电视大学(香河县分校)、五一公园等；综合评价环境状况较好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3"/>
      <c r="Q23" s="1812" t="str">
        <f>B23</f>
        <v>环境质量</v>
      </c>
      <c r="R23" s="774" t="s">
        <v>17</v>
      </c>
      <c r="S23" s="775">
        <f>F23</f>
        <v>100</v>
      </c>
      <c r="T23" s="774" t="s">
        <v>17</v>
      </c>
      <c r="U23" s="775">
        <f>H23</f>
        <v>100</v>
      </c>
      <c r="V23" s="774" t="s">
        <v>17</v>
      </c>
      <c r="W23" s="775">
        <f>J23</f>
        <v>100</v>
      </c>
      <c r="X23" s="1815"/>
      <c r="Y23" s="3176"/>
      <c r="Z23" s="1816" t="str">
        <f>Q23</f>
        <v>环境质量</v>
      </c>
      <c r="AA23" s="1813">
        <f t="shared" si="3"/>
        <v>1</v>
      </c>
      <c r="AB23" s="1813">
        <f t="shared" si="4"/>
        <v>1</v>
      </c>
      <c r="AC23" s="2674">
        <f t="shared" si="5"/>
        <v>1</v>
      </c>
    </row>
    <row r="24" spans="1:29" ht="15">
      <c r="A24" s="428"/>
      <c r="B24" s="633"/>
      <c r="C24" s="2612"/>
      <c r="D24" s="448"/>
      <c r="E24" s="2605"/>
      <c r="F24" s="448"/>
      <c r="G24" s="2606"/>
      <c r="H24" s="448"/>
      <c r="I24" s="2606"/>
      <c r="J24" s="448"/>
      <c r="K24" s="615"/>
      <c r="L24" s="1143"/>
      <c r="M24" s="1134"/>
      <c r="N24" s="1134"/>
      <c r="O24" s="1134"/>
      <c r="P24" s="3223"/>
      <c r="Q24" s="1812"/>
      <c r="R24" s="774"/>
      <c r="S24" s="775"/>
      <c r="T24" s="774"/>
      <c r="U24" s="775"/>
      <c r="V24" s="774"/>
      <c r="W24" s="775"/>
      <c r="X24" s="1815"/>
      <c r="Y24" s="3176"/>
      <c r="Z24" s="1816"/>
      <c r="AA24" s="1813">
        <v>1</v>
      </c>
      <c r="AB24" s="1813">
        <v>1</v>
      </c>
      <c r="AC24" s="2674">
        <v>1</v>
      </c>
    </row>
    <row r="25" spans="1:29" ht="27">
      <c r="A25" s="404"/>
      <c r="B25" s="631" t="s">
        <v>2648</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23"/>
      <c r="Q25" s="1812" t="str">
        <f>B25</f>
        <v>毗邻道路的类型与等级</v>
      </c>
      <c r="R25" s="774" t="s">
        <v>17</v>
      </c>
      <c r="S25" s="775">
        <f>F25</f>
        <v>100</v>
      </c>
      <c r="T25" s="774" t="s">
        <v>17</v>
      </c>
      <c r="U25" s="775">
        <f>H25</f>
        <v>100</v>
      </c>
      <c r="V25" s="774" t="s">
        <v>17</v>
      </c>
      <c r="W25" s="775">
        <f>J25</f>
        <v>100</v>
      </c>
      <c r="X25" s="1815"/>
      <c r="Y25" s="3176"/>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3"/>
      <c r="M26" s="1134"/>
      <c r="N26" s="1134"/>
      <c r="O26" s="1134"/>
      <c r="P26" s="3223"/>
      <c r="Q26" s="1812"/>
      <c r="R26" s="774"/>
      <c r="S26" s="775"/>
      <c r="T26" s="774"/>
      <c r="U26" s="775"/>
      <c r="V26" s="774"/>
      <c r="W26" s="775"/>
      <c r="X26" s="1815"/>
      <c r="Y26" s="3176"/>
      <c r="Z26" s="1816"/>
      <c r="AA26" s="1813">
        <v>1</v>
      </c>
      <c r="AB26" s="1813">
        <v>1</v>
      </c>
      <c r="AC26" s="2674">
        <v>1</v>
      </c>
    </row>
    <row r="27" spans="1:29" ht="15">
      <c r="A27" s="428"/>
      <c r="B27" s="632" t="s">
        <v>2616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3"/>
      <c r="Q27" s="1812" t="str">
        <f t="shared" ref="Q27:Q47" si="11">B27</f>
        <v>楼层</v>
      </c>
      <c r="R27" s="774" t="s">
        <v>17</v>
      </c>
      <c r="S27" s="775">
        <f>F27</f>
        <v>100</v>
      </c>
      <c r="T27" s="774" t="s">
        <v>17</v>
      </c>
      <c r="U27" s="775">
        <f>H27</f>
        <v>100</v>
      </c>
      <c r="V27" s="774" t="s">
        <v>17</v>
      </c>
      <c r="W27" s="775">
        <f>J27</f>
        <v>100</v>
      </c>
      <c r="X27" s="1815"/>
      <c r="Y27" s="3176"/>
      <c r="Z27" s="1816" t="str">
        <f>Q27</f>
        <v>楼层</v>
      </c>
      <c r="AA27" s="1813">
        <f t="shared" si="3"/>
        <v>1</v>
      </c>
      <c r="AB27" s="1813">
        <f t="shared" si="4"/>
        <v>1</v>
      </c>
      <c r="AC27" s="2674">
        <f t="shared" si="5"/>
        <v>1</v>
      </c>
    </row>
    <row r="28" spans="1:29" s="117" customFormat="1" ht="15">
      <c r="A28" s="431"/>
      <c r="B28" s="631" t="s">
        <v>2649</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23"/>
      <c r="Q28" s="1797" t="str">
        <f t="shared" si="11"/>
        <v>朝向</v>
      </c>
      <c r="R28" s="770" t="s">
        <v>17</v>
      </c>
      <c r="S28" s="771">
        <f>F28</f>
        <v>100</v>
      </c>
      <c r="T28" s="770" t="s">
        <v>17</v>
      </c>
      <c r="U28" s="771">
        <f>H28</f>
        <v>100</v>
      </c>
      <c r="V28" s="770" t="s">
        <v>17</v>
      </c>
      <c r="W28" s="771">
        <f>J28</f>
        <v>100</v>
      </c>
      <c r="X28" s="772"/>
      <c r="Y28" s="3176"/>
      <c r="Z28" s="55" t="str">
        <f>Q28</f>
        <v>朝向</v>
      </c>
      <c r="AA28" s="1813">
        <f>D28/F28</f>
        <v>1</v>
      </c>
      <c r="AB28" s="1813">
        <f>D28/H28</f>
        <v>1</v>
      </c>
      <c r="AC28" s="2674">
        <f>D28/J28</f>
        <v>1</v>
      </c>
    </row>
    <row r="29" spans="1:29" ht="15">
      <c r="A29" s="428"/>
      <c r="B29" s="2678">
        <v>111</v>
      </c>
      <c r="C29" s="2616"/>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23"/>
      <c r="Q29" s="1812">
        <f t="shared" si="11"/>
        <v>111</v>
      </c>
      <c r="R29" s="774" t="s">
        <v>17</v>
      </c>
      <c r="S29" s="775">
        <f t="shared" ref="S29:S47" si="12">F29</f>
        <v>100</v>
      </c>
      <c r="T29" s="774" t="s">
        <v>17</v>
      </c>
      <c r="U29" s="775">
        <f t="shared" ref="U29:U47" si="13">H29</f>
        <v>100</v>
      </c>
      <c r="V29" s="774" t="s">
        <v>17</v>
      </c>
      <c r="W29" s="775">
        <f t="shared" ref="W29:W47" si="14">J29</f>
        <v>100</v>
      </c>
      <c r="X29" s="1815"/>
      <c r="Y29" s="3176"/>
      <c r="Z29" s="1816">
        <f t="shared" ref="Z29:Z47" si="15">Q29</f>
        <v>111</v>
      </c>
      <c r="AA29" s="1813">
        <f t="shared" si="3"/>
        <v>1</v>
      </c>
      <c r="AB29" s="1813">
        <f t="shared" si="4"/>
        <v>1</v>
      </c>
      <c r="AC29" s="2674">
        <f t="shared" si="5"/>
        <v>1</v>
      </c>
    </row>
    <row r="30" spans="1:29" ht="15">
      <c r="A30" s="428"/>
      <c r="B30" s="2678">
        <v>111</v>
      </c>
      <c r="C30" s="2616"/>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23"/>
      <c r="Q30" s="1812">
        <f t="shared" si="11"/>
        <v>111</v>
      </c>
      <c r="R30" s="774" t="s">
        <v>17</v>
      </c>
      <c r="S30" s="775">
        <f t="shared" si="12"/>
        <v>100</v>
      </c>
      <c r="T30" s="774" t="s">
        <v>17</v>
      </c>
      <c r="U30" s="775">
        <f t="shared" si="13"/>
        <v>100</v>
      </c>
      <c r="V30" s="774" t="s">
        <v>17</v>
      </c>
      <c r="W30" s="775">
        <f t="shared" si="14"/>
        <v>100</v>
      </c>
      <c r="X30" s="1815"/>
      <c r="Y30" s="3176"/>
      <c r="Z30" s="1816">
        <f t="shared" si="15"/>
        <v>111</v>
      </c>
      <c r="AA30" s="1813">
        <f t="shared" si="3"/>
        <v>1</v>
      </c>
      <c r="AB30" s="1813">
        <f t="shared" si="4"/>
        <v>1</v>
      </c>
      <c r="AC30" s="2674">
        <f t="shared" si="5"/>
        <v>1</v>
      </c>
    </row>
    <row r="31" spans="1:29" ht="15">
      <c r="A31" s="428"/>
      <c r="B31" s="2678">
        <v>111</v>
      </c>
      <c r="C31" s="2616"/>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23"/>
      <c r="Q31" s="1812">
        <f t="shared" si="11"/>
        <v>111</v>
      </c>
      <c r="R31" s="774" t="s">
        <v>17</v>
      </c>
      <c r="S31" s="775">
        <f t="shared" si="12"/>
        <v>100</v>
      </c>
      <c r="T31" s="774" t="s">
        <v>17</v>
      </c>
      <c r="U31" s="775">
        <f t="shared" si="13"/>
        <v>100</v>
      </c>
      <c r="V31" s="774" t="s">
        <v>17</v>
      </c>
      <c r="W31" s="775">
        <f t="shared" si="14"/>
        <v>100</v>
      </c>
      <c r="X31" s="1815"/>
      <c r="Y31" s="3176"/>
      <c r="Z31" s="1816">
        <f t="shared" si="15"/>
        <v>111</v>
      </c>
      <c r="AA31" s="1813">
        <f t="shared" si="3"/>
        <v>1</v>
      </c>
      <c r="AB31" s="1813">
        <f t="shared" si="4"/>
        <v>1</v>
      </c>
      <c r="AC31" s="2674">
        <f t="shared" si="5"/>
        <v>1</v>
      </c>
    </row>
    <row r="32" spans="1:29" ht="15.75" thickBot="1">
      <c r="A32" s="436"/>
      <c r="B32" s="635">
        <v>111</v>
      </c>
      <c r="C32" s="2617"/>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23"/>
      <c r="Q32" s="1812">
        <f t="shared" si="11"/>
        <v>111</v>
      </c>
      <c r="R32" s="774" t="s">
        <v>17</v>
      </c>
      <c r="S32" s="775">
        <f t="shared" si="12"/>
        <v>100</v>
      </c>
      <c r="T32" s="774" t="s">
        <v>17</v>
      </c>
      <c r="U32" s="775">
        <f t="shared" si="13"/>
        <v>100</v>
      </c>
      <c r="V32" s="774" t="s">
        <v>17</v>
      </c>
      <c r="W32" s="775">
        <f t="shared" si="14"/>
        <v>100</v>
      </c>
      <c r="X32" s="1815"/>
      <c r="Y32" s="3176"/>
      <c r="Z32" s="1816">
        <f t="shared" si="15"/>
        <v>111</v>
      </c>
      <c r="AA32" s="1813">
        <f t="shared" si="3"/>
        <v>1</v>
      </c>
      <c r="AB32" s="1813">
        <f t="shared" si="4"/>
        <v>1</v>
      </c>
      <c r="AC32" s="2674">
        <f t="shared" si="5"/>
        <v>1</v>
      </c>
    </row>
    <row r="33" spans="1:29" ht="15">
      <c r="A33" s="440" t="s">
        <v>2521</v>
      </c>
      <c r="B33" s="71" t="s">
        <v>2650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18" t="s">
        <v>2523</v>
      </c>
      <c r="Q33" s="1812" t="str">
        <f t="shared" si="11"/>
        <v>建筑类型</v>
      </c>
      <c r="R33" s="774" t="s">
        <v>17</v>
      </c>
      <c r="S33" s="775">
        <f t="shared" si="12"/>
        <v>100</v>
      </c>
      <c r="T33" s="774" t="s">
        <v>17</v>
      </c>
      <c r="U33" s="775">
        <f t="shared" si="13"/>
        <v>100</v>
      </c>
      <c r="V33" s="774" t="s">
        <v>17</v>
      </c>
      <c r="W33" s="775">
        <f t="shared" si="14"/>
        <v>100</v>
      </c>
      <c r="X33" s="1815"/>
      <c r="Y33" s="3178" t="s">
        <v>2523</v>
      </c>
      <c r="Z33" s="1816" t="str">
        <f t="shared" si="15"/>
        <v>建筑类型</v>
      </c>
      <c r="AA33" s="1813">
        <f t="shared" si="3"/>
        <v>1</v>
      </c>
      <c r="AB33" s="1813">
        <f t="shared" si="4"/>
        <v>1</v>
      </c>
      <c r="AC33" s="2674">
        <f t="shared" si="5"/>
        <v>1</v>
      </c>
    </row>
    <row r="34" spans="1:29" s="471" customFormat="1" ht="15">
      <c r="A34" s="468"/>
      <c r="B34" s="422" t="s">
        <v>2524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9"/>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3" t="e">
        <f t="shared" si="3"/>
        <v>#N/A</v>
      </c>
      <c r="AB34" s="1813" t="e">
        <f t="shared" si="4"/>
        <v>#N/A</v>
      </c>
      <c r="AC34" s="2674" t="e">
        <f t="shared" si="5"/>
        <v>#N/A</v>
      </c>
    </row>
    <row r="35" spans="1:29" ht="15">
      <c r="A35" s="472"/>
      <c r="B35" s="422" t="s">
        <v>2525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9"/>
      <c r="Q35" s="1812" t="str">
        <f t="shared" si="11"/>
        <v>建筑结构</v>
      </c>
      <c r="R35" s="774" t="s">
        <v>17</v>
      </c>
      <c r="S35" s="775">
        <f t="shared" si="12"/>
        <v>100</v>
      </c>
      <c r="T35" s="774" t="s">
        <v>17</v>
      </c>
      <c r="U35" s="775">
        <f t="shared" si="13"/>
        <v>100</v>
      </c>
      <c r="V35" s="774" t="s">
        <v>17</v>
      </c>
      <c r="W35" s="775">
        <f t="shared" si="14"/>
        <v>100</v>
      </c>
      <c r="X35" s="1815"/>
      <c r="Y35" s="3178"/>
      <c r="Z35" s="1816" t="str">
        <f t="shared" si="15"/>
        <v>建筑结构</v>
      </c>
      <c r="AA35" s="1813">
        <f t="shared" si="3"/>
        <v>1</v>
      </c>
      <c r="AB35" s="1813">
        <f t="shared" si="4"/>
        <v>1</v>
      </c>
      <c r="AC35" s="2674">
        <f t="shared" si="5"/>
        <v>1</v>
      </c>
    </row>
    <row r="36" spans="1:29" ht="15">
      <c r="A36" s="472"/>
      <c r="B36" s="422" t="s">
        <v>2618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9"/>
      <c r="Q36" s="1812" t="str">
        <f t="shared" si="11"/>
        <v>公共部分装修</v>
      </c>
      <c r="R36" s="774" t="s">
        <v>17</v>
      </c>
      <c r="S36" s="775">
        <f t="shared" si="12"/>
        <v>100</v>
      </c>
      <c r="T36" s="774" t="s">
        <v>17</v>
      </c>
      <c r="U36" s="775">
        <f t="shared" si="13"/>
        <v>100</v>
      </c>
      <c r="V36" s="774" t="s">
        <v>17</v>
      </c>
      <c r="W36" s="775">
        <f t="shared" si="14"/>
        <v>100</v>
      </c>
      <c r="X36" s="1815"/>
      <c r="Y36" s="3178"/>
      <c r="Z36" s="1816" t="str">
        <f t="shared" si="15"/>
        <v>公共部分装修</v>
      </c>
      <c r="AA36" s="1813">
        <f t="shared" si="3"/>
        <v>1</v>
      </c>
      <c r="AB36" s="1813">
        <f t="shared" si="4"/>
        <v>1</v>
      </c>
      <c r="AC36" s="2674">
        <f t="shared" si="5"/>
        <v>1</v>
      </c>
    </row>
    <row r="37" spans="1:29" ht="15">
      <c r="A37" s="472"/>
      <c r="B37" s="422" t="s">
        <v>2619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9"/>
      <c r="Q37" s="1812" t="str">
        <f t="shared" si="11"/>
        <v>成新度</v>
      </c>
      <c r="R37" s="774" t="s">
        <v>17</v>
      </c>
      <c r="S37" s="775" t="e">
        <f t="shared" si="12"/>
        <v>#N/A</v>
      </c>
      <c r="T37" s="774" t="s">
        <v>17</v>
      </c>
      <c r="U37" s="775" t="e">
        <f t="shared" si="13"/>
        <v>#N/A</v>
      </c>
      <c r="V37" s="774" t="s">
        <v>17</v>
      </c>
      <c r="W37" s="775" t="e">
        <f t="shared" si="14"/>
        <v>#N/A</v>
      </c>
      <c r="X37" s="1815"/>
      <c r="Y37" s="3178"/>
      <c r="Z37" s="1816" t="str">
        <f t="shared" si="15"/>
        <v>成新度</v>
      </c>
      <c r="AA37" s="1813" t="e">
        <f t="shared" si="3"/>
        <v>#N/A</v>
      </c>
      <c r="AB37" s="1813" t="e">
        <f t="shared" si="4"/>
        <v>#N/A</v>
      </c>
      <c r="AC37" s="2674" t="e">
        <f t="shared" si="5"/>
        <v>#N/A</v>
      </c>
    </row>
    <row r="38" spans="1:29" s="117" customFormat="1" ht="15">
      <c r="A38" s="473"/>
      <c r="B38" s="422" t="s">
        <v>2651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9"/>
      <c r="Q38" s="1797"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1">
        <f t="shared" si="5"/>
        <v>1</v>
      </c>
    </row>
    <row r="39" spans="1:29" ht="15">
      <c r="A39" s="472"/>
      <c r="B39" s="422" t="s">
        <v>2652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9" t="s">
        <v>2523</v>
      </c>
      <c r="Q39" s="1812" t="str">
        <f t="shared" si="11"/>
        <v>物业管理</v>
      </c>
      <c r="R39" s="774" t="s">
        <v>17</v>
      </c>
      <c r="S39" s="775">
        <f t="shared" si="12"/>
        <v>100</v>
      </c>
      <c r="T39" s="774" t="s">
        <v>17</v>
      </c>
      <c r="U39" s="775">
        <f t="shared" si="13"/>
        <v>100</v>
      </c>
      <c r="V39" s="774" t="s">
        <v>17</v>
      </c>
      <c r="W39" s="775">
        <f t="shared" si="14"/>
        <v>100</v>
      </c>
      <c r="X39" s="1815"/>
      <c r="Y39" s="3178" t="s">
        <v>2523</v>
      </c>
      <c r="Z39" s="1816" t="str">
        <f t="shared" si="15"/>
        <v>物业管理</v>
      </c>
      <c r="AA39" s="1813">
        <f t="shared" si="3"/>
        <v>1</v>
      </c>
      <c r="AB39" s="1813">
        <f t="shared" si="4"/>
        <v>1</v>
      </c>
      <c r="AC39" s="2674">
        <f t="shared" si="5"/>
        <v>1</v>
      </c>
    </row>
    <row r="40" spans="1:29" ht="15">
      <c r="A40" s="472"/>
      <c r="B40" s="422" t="s">
        <v>2620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9"/>
      <c r="Q40" s="1812" t="str">
        <f t="shared" si="11"/>
        <v>市政基础设施</v>
      </c>
      <c r="R40" s="774" t="s">
        <v>17</v>
      </c>
      <c r="S40" s="775">
        <f t="shared" si="12"/>
        <v>100</v>
      </c>
      <c r="T40" s="774" t="s">
        <v>17</v>
      </c>
      <c r="U40" s="775">
        <f t="shared" si="13"/>
        <v>100</v>
      </c>
      <c r="V40" s="774" t="s">
        <v>17</v>
      </c>
      <c r="W40" s="775">
        <f t="shared" si="14"/>
        <v>100</v>
      </c>
      <c r="X40" s="1815"/>
      <c r="Y40" s="3178"/>
      <c r="Z40" s="1816" t="str">
        <f t="shared" si="15"/>
        <v>市政基础设施</v>
      </c>
      <c r="AA40" s="1813">
        <f t="shared" si="3"/>
        <v>1</v>
      </c>
      <c r="AB40" s="1813">
        <f t="shared" si="4"/>
        <v>1</v>
      </c>
      <c r="AC40" s="2674">
        <f t="shared" si="5"/>
        <v>1</v>
      </c>
    </row>
    <row r="41" spans="1:29" ht="15">
      <c r="A41" s="472"/>
      <c r="B41" s="422" t="s">
        <v>2622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9"/>
      <c r="Q41" s="1812" t="str">
        <f t="shared" si="11"/>
        <v>层高</v>
      </c>
      <c r="R41" s="774" t="s">
        <v>17</v>
      </c>
      <c r="S41" s="775">
        <f t="shared" si="12"/>
        <v>100</v>
      </c>
      <c r="T41" s="774" t="s">
        <v>17</v>
      </c>
      <c r="U41" s="775">
        <f t="shared" si="13"/>
        <v>100</v>
      </c>
      <c r="V41" s="774" t="s">
        <v>17</v>
      </c>
      <c r="W41" s="775">
        <f t="shared" si="14"/>
        <v>100</v>
      </c>
      <c r="X41" s="1815"/>
      <c r="Y41" s="3178"/>
      <c r="Z41" s="1816" t="str">
        <f t="shared" si="15"/>
        <v>层高</v>
      </c>
      <c r="AA41" s="1813">
        <f t="shared" si="3"/>
        <v>1</v>
      </c>
      <c r="AB41" s="1813">
        <f t="shared" si="4"/>
        <v>1</v>
      </c>
      <c r="AC41" s="2674">
        <f t="shared" si="5"/>
        <v>1</v>
      </c>
    </row>
    <row r="42" spans="1:29" s="471" customFormat="1" ht="15">
      <c r="A42" s="468"/>
      <c r="B42" s="1814" t="s">
        <v>2653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9"/>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3">
        <f t="shared" si="3"/>
        <v>1</v>
      </c>
      <c r="AB42" s="1813">
        <f t="shared" si="4"/>
        <v>1</v>
      </c>
      <c r="AC42" s="2674">
        <f t="shared" si="5"/>
        <v>1</v>
      </c>
    </row>
    <row r="43" spans="1:29" ht="15">
      <c r="A43" s="472"/>
      <c r="B43" s="422" t="s">
        <v>2625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9"/>
      <c r="Q43" s="1812" t="str">
        <f t="shared" si="11"/>
        <v>内部装修</v>
      </c>
      <c r="R43" s="774" t="s">
        <v>17</v>
      </c>
      <c r="S43" s="775">
        <f t="shared" si="12"/>
        <v>100</v>
      </c>
      <c r="T43" s="774" t="s">
        <v>17</v>
      </c>
      <c r="U43" s="775">
        <f t="shared" si="13"/>
        <v>100</v>
      </c>
      <c r="V43" s="774" t="s">
        <v>17</v>
      </c>
      <c r="W43" s="775">
        <f t="shared" si="14"/>
        <v>100</v>
      </c>
      <c r="X43" s="1815"/>
      <c r="Y43" s="3178"/>
      <c r="Z43" s="1816" t="str">
        <f t="shared" si="15"/>
        <v>内部装修</v>
      </c>
      <c r="AA43" s="1813">
        <f t="shared" si="3"/>
        <v>1</v>
      </c>
      <c r="AB43" s="1813">
        <f t="shared" si="4"/>
        <v>1</v>
      </c>
      <c r="AC43" s="2674">
        <f t="shared" si="5"/>
        <v>1</v>
      </c>
    </row>
    <row r="44" spans="1:29" ht="15">
      <c r="A44" s="472"/>
      <c r="B44" s="422" t="s">
        <v>2534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19"/>
      <c r="Q44" s="1812" t="str">
        <f t="shared" si="11"/>
        <v>内部装修维护情况</v>
      </c>
      <c r="R44" s="774" t="s">
        <v>17</v>
      </c>
      <c r="S44" s="775">
        <f t="shared" si="12"/>
        <v>100</v>
      </c>
      <c r="T44" s="774" t="s">
        <v>17</v>
      </c>
      <c r="U44" s="775">
        <f t="shared" si="13"/>
        <v>100</v>
      </c>
      <c r="V44" s="774" t="s">
        <v>17</v>
      </c>
      <c r="W44" s="775">
        <f t="shared" si="14"/>
        <v>100</v>
      </c>
      <c r="X44" s="1815"/>
      <c r="Y44" s="3178"/>
      <c r="Z44" s="1816" t="str">
        <f t="shared" si="15"/>
        <v>内部装修维护情况</v>
      </c>
      <c r="AA44" s="1813">
        <f t="shared" si="3"/>
        <v>1</v>
      </c>
      <c r="AB44" s="1813">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9"/>
      <c r="Q45" s="1797">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9"/>
      <c r="Q46" s="1812">
        <f t="shared" si="11"/>
        <v>111</v>
      </c>
      <c r="R46" s="774" t="s">
        <v>17</v>
      </c>
      <c r="S46" s="775">
        <f t="shared" si="12"/>
        <v>100</v>
      </c>
      <c r="T46" s="774" t="s">
        <v>17</v>
      </c>
      <c r="U46" s="775">
        <f t="shared" si="13"/>
        <v>100</v>
      </c>
      <c r="V46" s="774" t="s">
        <v>17</v>
      </c>
      <c r="W46" s="775">
        <f t="shared" si="14"/>
        <v>100</v>
      </c>
      <c r="X46" s="1815"/>
      <c r="Y46" s="3178"/>
      <c r="Z46" s="1816">
        <f t="shared" si="15"/>
        <v>111</v>
      </c>
      <c r="AA46" s="1813">
        <f t="shared" si="3"/>
        <v>1</v>
      </c>
      <c r="AB46" s="1813">
        <f t="shared" si="4"/>
        <v>1</v>
      </c>
      <c r="AC46" s="2674">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0"/>
      <c r="Q47" s="1812">
        <f t="shared" si="11"/>
        <v>111</v>
      </c>
      <c r="R47" s="774" t="s">
        <v>17</v>
      </c>
      <c r="S47" s="775">
        <f t="shared" si="12"/>
        <v>100</v>
      </c>
      <c r="T47" s="774" t="s">
        <v>17</v>
      </c>
      <c r="U47" s="775">
        <f t="shared" si="13"/>
        <v>100</v>
      </c>
      <c r="V47" s="774" t="s">
        <v>17</v>
      </c>
      <c r="W47" s="775">
        <f t="shared" si="14"/>
        <v>100</v>
      </c>
      <c r="X47" s="1815"/>
      <c r="Y47" s="3221"/>
      <c r="Z47" s="1816">
        <f t="shared" si="15"/>
        <v>111</v>
      </c>
      <c r="AA47" s="1813">
        <f t="shared" si="3"/>
        <v>1</v>
      </c>
      <c r="AB47" s="1813">
        <f t="shared" si="4"/>
        <v>1</v>
      </c>
      <c r="AC47" s="2674">
        <f t="shared" si="5"/>
        <v>1</v>
      </c>
    </row>
    <row r="48" spans="1:29" ht="15">
      <c r="A48" s="479" t="s">
        <v>2535</v>
      </c>
      <c r="B48" s="480"/>
      <c r="C48" s="1410" t="s">
        <v>1</v>
      </c>
      <c r="D48" s="1411"/>
      <c r="E48" s="1412"/>
      <c r="F48" s="1413"/>
      <c r="G48" s="1414"/>
      <c r="H48" s="1415"/>
      <c r="I48" s="1412"/>
      <c r="J48" s="485"/>
      <c r="K48" s="783"/>
      <c r="L48" s="1146"/>
      <c r="M48" s="1134"/>
      <c r="N48" s="1134"/>
      <c r="O48" s="1134"/>
      <c r="P48" s="3184" t="str">
        <f>A48</f>
        <v>成交单价（元/平方米）</v>
      </c>
      <c r="Q48" s="3160"/>
      <c r="R48" s="3217">
        <f>E48</f>
        <v>0</v>
      </c>
      <c r="S48" s="3217"/>
      <c r="T48" s="3217">
        <f>G48</f>
        <v>0</v>
      </c>
      <c r="U48" s="3217"/>
      <c r="V48" s="3217">
        <f>I48</f>
        <v>0</v>
      </c>
      <c r="W48" s="3217"/>
      <c r="X48" s="446"/>
      <c r="Y48" s="781"/>
      <c r="Z48" s="446"/>
      <c r="AA48" s="446"/>
      <c r="AB48" s="446"/>
      <c r="AC48" s="630"/>
    </row>
    <row r="49" spans="1:29" ht="15.75" thickBot="1">
      <c r="A49" s="486" t="s">
        <v>2626</v>
      </c>
      <c r="B49" s="487"/>
      <c r="C49" s="1416" t="e">
        <f>R50</f>
        <v>#DIV/0!</v>
      </c>
      <c r="D49" s="1417"/>
      <c r="E49" s="1418" t="e">
        <f>R49</f>
        <v>#DIV/0!</v>
      </c>
      <c r="F49" s="1418"/>
      <c r="G49" s="1416" t="e">
        <f>T49</f>
        <v>#DIV/0!</v>
      </c>
      <c r="H49" s="1417"/>
      <c r="I49" s="1418" t="e">
        <f>V49</f>
        <v>#DIV/0!</v>
      </c>
      <c r="J49" s="489"/>
      <c r="K49" s="784"/>
      <c r="L49" s="1146"/>
      <c r="M49" s="1134"/>
      <c r="N49" s="1134"/>
      <c r="O49" s="1134"/>
      <c r="P49" s="3184" t="str">
        <f>A49</f>
        <v>比较价值（元/平方米）</v>
      </c>
      <c r="Q49" s="3160"/>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6"/>
      <c r="Y49" s="446"/>
      <c r="Z49" s="446"/>
      <c r="AA49" s="446"/>
      <c r="AB49" s="446"/>
      <c r="AC49" s="630"/>
    </row>
    <row r="50" spans="1:29" ht="15.75" thickBot="1">
      <c r="A50" s="492" t="s">
        <v>2627</v>
      </c>
      <c r="B50" s="493"/>
      <c r="C50" s="1420" t="e">
        <f>R50</f>
        <v>#DIV/0!</v>
      </c>
      <c r="D50" s="1420"/>
      <c r="E50" s="1420"/>
      <c r="F50" s="1420"/>
      <c r="G50" s="1420"/>
      <c r="H50" s="1420"/>
      <c r="I50" s="1420"/>
      <c r="J50" s="494"/>
      <c r="K50" s="785"/>
      <c r="L50" s="1146"/>
      <c r="M50" s="1134"/>
      <c r="N50" s="1134"/>
      <c r="O50" s="1134"/>
      <c r="P50" s="3236" t="str">
        <f>A50</f>
        <v>估价对象XX用房的比较价值（楼面单价，元/平方米）</v>
      </c>
      <c r="Q50" s="3237"/>
      <c r="R50" s="3238" t="e">
        <f>IF(F1="售价",ROUND(AVERAGE(R49:V49),0),ROUND(AVERAGE(R49:V49),1))</f>
        <v>#DIV/0!</v>
      </c>
      <c r="S50" s="3238"/>
      <c r="T50" s="3238"/>
      <c r="U50" s="3238"/>
      <c r="V50" s="3238"/>
      <c r="W50" s="3238"/>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2630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2631</v>
      </c>
      <c r="B58" s="759"/>
      <c r="C58" s="764"/>
      <c r="D58" s="764"/>
      <c r="E58" s="764"/>
      <c r="F58" s="765"/>
      <c r="G58" s="765"/>
      <c r="H58" s="764"/>
      <c r="I58" s="764"/>
      <c r="J58" s="764"/>
      <c r="K58" s="766"/>
      <c r="L58" s="1164"/>
      <c r="M58" s="1162"/>
      <c r="N58" s="1162"/>
      <c r="O58" s="1162"/>
      <c r="P58" s="2681"/>
      <c r="Q58" s="504"/>
    </row>
    <row r="59" spans="1:29" s="508" customFormat="1" ht="15">
      <c r="A59" s="505" t="s">
        <v>2506</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2542</v>
      </c>
      <c r="B61" s="516"/>
      <c r="C61" s="517"/>
      <c r="D61" s="518"/>
      <c r="E61" s="518"/>
      <c r="F61" s="518"/>
      <c r="G61" s="518"/>
      <c r="H61" s="518"/>
      <c r="I61" s="518"/>
      <c r="J61" s="518"/>
      <c r="K61" s="518"/>
      <c r="L61" s="518"/>
      <c r="M61" s="519"/>
      <c r="N61" s="518"/>
      <c r="O61" s="519"/>
      <c r="P61" s="2682"/>
      <c r="Q61" s="504"/>
    </row>
    <row r="62" spans="1:29" s="117" customFormat="1" ht="15">
      <c r="A62" s="521" t="s">
        <v>2508</v>
      </c>
      <c r="B62" s="510"/>
      <c r="C62" s="522" t="s">
        <v>2609</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2545</v>
      </c>
      <c r="B64" s="528" t="s">
        <v>2512</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2515</v>
      </c>
      <c r="C66" s="539" t="s">
        <v>2546</v>
      </c>
      <c r="D66" s="539" t="s">
        <v>2547</v>
      </c>
      <c r="E66" s="539" t="s">
        <v>2548</v>
      </c>
      <c r="F66" s="539" t="s">
        <v>2549</v>
      </c>
      <c r="G66" s="539" t="s">
        <v>2550</v>
      </c>
      <c r="H66" s="539" t="s">
        <v>2551</v>
      </c>
      <c r="I66" s="539" t="s">
        <v>2552</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2516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2517</v>
      </c>
      <c r="B77" s="528" t="s">
        <v>2654</v>
      </c>
      <c r="C77" s="573" t="s">
        <v>2554</v>
      </c>
      <c r="D77" s="573" t="s">
        <v>2555</v>
      </c>
      <c r="E77" s="573" t="s">
        <v>2556</v>
      </c>
      <c r="F77" s="573" t="s">
        <v>2557</v>
      </c>
      <c r="G77" s="573" t="s">
        <v>2558</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2559</v>
      </c>
      <c r="C79" s="578" t="s">
        <v>2554</v>
      </c>
      <c r="D79" s="578" t="s">
        <v>2555</v>
      </c>
      <c r="E79" s="578" t="s">
        <v>2556</v>
      </c>
      <c r="F79" s="578" t="s">
        <v>2557</v>
      </c>
      <c r="G79" s="578" t="s">
        <v>2558</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2560</v>
      </c>
      <c r="C81" s="578" t="s">
        <v>2554</v>
      </c>
      <c r="D81" s="578" t="s">
        <v>2555</v>
      </c>
      <c r="E81" s="578" t="s">
        <v>2556</v>
      </c>
      <c r="F81" s="578" t="s">
        <v>2557</v>
      </c>
      <c r="G81" s="578" t="s">
        <v>2558</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2646</v>
      </c>
      <c r="C83" s="660" t="s">
        <v>2632</v>
      </c>
      <c r="D83" s="660" t="s">
        <v>2633</v>
      </c>
      <c r="E83" s="660" t="s">
        <v>2634</v>
      </c>
      <c r="F83" s="660" t="s">
        <v>2635</v>
      </c>
      <c r="G83" s="660" t="s">
        <v>2636</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2655</v>
      </c>
      <c r="C85" s="578" t="s">
        <v>2554</v>
      </c>
      <c r="D85" s="578" t="s">
        <v>2555</v>
      </c>
      <c r="E85" s="578" t="s">
        <v>2556</v>
      </c>
      <c r="F85" s="578" t="s">
        <v>2557</v>
      </c>
      <c r="G85" s="578" t="s">
        <v>2558</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2656</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2521</v>
      </c>
      <c r="B101" s="528" t="s">
        <v>2569</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2570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2571</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2573</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1963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2657</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2574</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2575</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2658</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2641</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2577</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2578</v>
      </c>
      <c r="C125" s="578" t="s">
        <v>2554</v>
      </c>
      <c r="D125" s="578" t="s">
        <v>2555</v>
      </c>
      <c r="E125" s="578" t="s">
        <v>2556</v>
      </c>
      <c r="F125" s="578" t="s">
        <v>2557</v>
      </c>
      <c r="G125" s="578" t="s">
        <v>2558</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受贵公司委托，我公司对河北省廊坊市香河县出让国有建设用地使用权及在建建筑物房地产抵押价值进行了预评估。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估价对象为河北省廊坊市香河县出让国有建设用地使用权及在建建筑物房地产，为所有。根据《国有土地使用证》[]，估价对象（分摊）出让国有建设用地使用权面积为7296.02平方米，建筑面积为19689.99平方米。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县出让国有建设用地使用权及在建建筑物房地产,为开发建设的居住项目，该项目尚在开发建设中。根据《国有土地使用证》[]，估价对象（分摊）出让国有建设用地使用权面积为7296.02平方米，规划建筑面积为19689.99平方米。</v>
      </c>
    </row>
    <row r="11" spans="1:1" ht="76.5">
      <c r="A11" s="1953" t="s">
        <v>1612</v>
      </c>
    </row>
    <row r="12" spans="1:1" ht="18.75">
      <c r="A12" s="1951" t="s">
        <v>1613</v>
      </c>
    </row>
    <row r="13" spans="1:1" ht="38.25" customHeight="1">
      <c r="A13" s="1954" t="str">
        <f>IF(项目基本情况!B8="抵押",IF(项目基本情况!B5=项目基本情况!B6,定义!C51,定义!B51),定义!D51)</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2018年11月16日（评估专业人员实地查勘之日）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669" t="s">
        <v>2659</v>
      </c>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IF(C2="——",ROUND(C43*D3/10000,0),ROUND(C43*D3/10000,0)-D2)</f>
        <v>#DIV/0!</v>
      </c>
      <c r="C2" s="2587"/>
      <c r="D2" s="1127" t="e">
        <f ca="1">SUMIF(INDIRECT("'"&amp;F2&amp;"'"&amp;"!A:A"),"承租人权益价值",INDIRECT("'"&amp;F2&amp;"'"&amp;"!c:c"))</f>
        <v>#REF!</v>
      </c>
      <c r="E2" s="2588" t="s">
        <v>2289</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2290</v>
      </c>
      <c r="B3" s="609" t="e">
        <f ca="1">IF(C2="——",C43,ROUND(B2*10000/D3,0))</f>
        <v>#DIV/0!</v>
      </c>
      <c r="C3" s="400" t="s">
        <v>2601</v>
      </c>
      <c r="D3" s="399">
        <f>IF(D1="",'数据-汇总表'!E3,SUMIF('数据-汇总表'!$C19:$C33,D1,'数据-汇总表'!$E19:$E33))</f>
        <v>19689.989999999998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61" t="s">
        <v>2603</v>
      </c>
      <c r="D4" s="3162"/>
      <c r="E4" s="3163" t="s">
        <v>2604</v>
      </c>
      <c r="F4" s="3164"/>
      <c r="G4" s="3161" t="s">
        <v>2605</v>
      </c>
      <c r="H4" s="3162"/>
      <c r="I4" s="3161" t="s">
        <v>2606</v>
      </c>
      <c r="J4" s="3162"/>
      <c r="K4" s="610" t="s">
        <v>2607</v>
      </c>
      <c r="L4" s="1133"/>
      <c r="M4" s="1134"/>
      <c r="N4" s="1134"/>
      <c r="O4" s="1134"/>
      <c r="P4" s="3165" t="s">
        <v>2608</v>
      </c>
      <c r="Q4" s="3166"/>
      <c r="R4" s="3148" t="s">
        <v>2604</v>
      </c>
      <c r="S4" s="3149"/>
      <c r="T4" s="3148" t="s">
        <v>2605</v>
      </c>
      <c r="U4" s="3149"/>
      <c r="V4" s="3173" t="s">
        <v>2606</v>
      </c>
      <c r="W4" s="3173"/>
      <c r="X4" s="1815"/>
      <c r="Y4" s="3148" t="s">
        <v>2608</v>
      </c>
      <c r="Z4" s="3149"/>
      <c r="AA4" s="3143" t="s">
        <v>2604</v>
      </c>
      <c r="AB4" s="3144" t="s">
        <v>2605</v>
      </c>
      <c r="AC4" s="3143" t="s">
        <v>2606</v>
      </c>
    </row>
    <row r="5" spans="1:29" ht="15">
      <c r="A5" s="404"/>
      <c r="B5" s="405"/>
      <c r="C5" s="3154" t="s">
        <v>2500</v>
      </c>
      <c r="D5" s="3155"/>
      <c r="E5" s="3152" t="s">
        <v>2501</v>
      </c>
      <c r="F5" s="3153"/>
      <c r="G5" s="3154" t="s">
        <v>2502</v>
      </c>
      <c r="H5" s="3155"/>
      <c r="I5" s="3154" t="s">
        <v>2503</v>
      </c>
      <c r="J5" s="3155"/>
      <c r="K5" s="610"/>
      <c r="L5" s="1133"/>
      <c r="M5" s="1134"/>
      <c r="N5" s="1134"/>
      <c r="O5" s="1134"/>
      <c r="P5" s="3167"/>
      <c r="Q5" s="3168"/>
      <c r="R5" s="3150"/>
      <c r="S5" s="3151"/>
      <c r="T5" s="3150"/>
      <c r="U5" s="3151"/>
      <c r="V5" s="3173"/>
      <c r="W5" s="3173"/>
      <c r="X5" s="1815"/>
      <c r="Y5" s="3150"/>
      <c r="Z5" s="3151"/>
      <c r="AA5" s="3144"/>
      <c r="AB5" s="3144"/>
      <c r="AC5" s="3144"/>
    </row>
    <row r="6" spans="1:29" ht="15.75" thickBot="1">
      <c r="A6" s="406"/>
      <c r="B6" s="407"/>
      <c r="C6" s="3156" t="s">
        <v>2504</v>
      </c>
      <c r="D6" s="3157"/>
      <c r="E6" s="3158" t="s">
        <v>2504</v>
      </c>
      <c r="F6" s="3159"/>
      <c r="G6" s="3156" t="s">
        <v>2504</v>
      </c>
      <c r="H6" s="3157"/>
      <c r="I6" s="3156" t="s">
        <v>2504</v>
      </c>
      <c r="J6" s="3157"/>
      <c r="K6" s="610" t="s">
        <v>2505</v>
      </c>
      <c r="L6" s="1133"/>
      <c r="M6" s="1134"/>
      <c r="N6" s="1134"/>
      <c r="O6" s="1134"/>
      <c r="P6" s="3169"/>
      <c r="Q6" s="3170"/>
      <c r="R6" s="3150"/>
      <c r="S6" s="3151"/>
      <c r="T6" s="3171"/>
      <c r="U6" s="3172"/>
      <c r="V6" s="3173"/>
      <c r="W6" s="3173"/>
      <c r="X6" s="1815"/>
      <c r="Y6" s="3171"/>
      <c r="Z6" s="3172"/>
      <c r="AA6" s="3145"/>
      <c r="AB6" s="3145"/>
      <c r="AC6" s="3145"/>
    </row>
    <row r="7" spans="1:29" s="117" customFormat="1" ht="15.75" thickBot="1">
      <c r="A7" s="408" t="s">
        <v>2506</v>
      </c>
      <c r="B7" s="409"/>
      <c r="C7" s="410">
        <f>'数据-取费表'!B2</f>
        <v>43420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46" t="s">
        <v>2507</v>
      </c>
      <c r="Q7" s="3174"/>
      <c r="R7" s="770" t="s">
        <v>17</v>
      </c>
      <c r="S7" s="771">
        <f t="shared" ref="S7:S15" si="0">F7</f>
        <v>0</v>
      </c>
      <c r="T7" s="770" t="s">
        <v>17</v>
      </c>
      <c r="U7" s="771">
        <f t="shared" ref="U7:U15" si="1">H7</f>
        <v>0</v>
      </c>
      <c r="V7" s="770" t="s">
        <v>17</v>
      </c>
      <c r="W7" s="771">
        <f t="shared" ref="W7:W15" si="2">J7</f>
        <v>0</v>
      </c>
      <c r="X7" s="772"/>
      <c r="Y7" s="3146" t="s">
        <v>2507</v>
      </c>
      <c r="Z7" s="3147"/>
      <c r="AA7" s="773" t="e">
        <f>D7/F7</f>
        <v>#DIV/0!</v>
      </c>
      <c r="AB7" s="773" t="e">
        <f>D7/H7</f>
        <v>#DIV/0!</v>
      </c>
      <c r="AC7" s="773" t="e">
        <f>D7/J7</f>
        <v>#DIV/0!</v>
      </c>
    </row>
    <row r="8" spans="1:29" s="117" customFormat="1" ht="15.75" thickBot="1">
      <c r="A8" s="408" t="s">
        <v>2508</v>
      </c>
      <c r="B8" s="409"/>
      <c r="C8" s="414" t="s">
        <v>2509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46" t="s">
        <v>2510</v>
      </c>
      <c r="Q8" s="3147"/>
      <c r="R8" s="770" t="s">
        <v>17</v>
      </c>
      <c r="S8" s="771">
        <f t="shared" si="0"/>
        <v>0</v>
      </c>
      <c r="T8" s="770" t="s">
        <v>17</v>
      </c>
      <c r="U8" s="771">
        <f t="shared" si="1"/>
        <v>0</v>
      </c>
      <c r="V8" s="770" t="s">
        <v>17</v>
      </c>
      <c r="W8" s="771">
        <f t="shared" si="2"/>
        <v>0</v>
      </c>
      <c r="X8" s="772"/>
      <c r="Y8" s="3146" t="s">
        <v>2510</v>
      </c>
      <c r="Z8" s="3147"/>
      <c r="AA8" s="773" t="e">
        <f t="shared" ref="AA8:AA40" si="3">D8/F8</f>
        <v>#DIV/0!</v>
      </c>
      <c r="AB8" s="773" t="e">
        <f t="shared" ref="AB8:AB40" si="4">D8/H8</f>
        <v>#DIV/0!</v>
      </c>
      <c r="AC8" s="773" t="e">
        <f t="shared" ref="AC8:AC40" si="5">D8/J8</f>
        <v>#DIV/0!</v>
      </c>
    </row>
    <row r="9" spans="1:29" s="117" customFormat="1">
      <c r="A9" s="415" t="s">
        <v>2511</v>
      </c>
      <c r="B9" s="71" t="s">
        <v>2512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0" t="s">
        <v>2513</v>
      </c>
      <c r="Q9" s="1797" t="str">
        <f t="shared" ref="Q9:Q15" si="6">B9</f>
        <v>用途</v>
      </c>
      <c r="R9" s="770" t="s">
        <v>17</v>
      </c>
      <c r="S9" s="771">
        <f t="shared" si="0"/>
        <v>100</v>
      </c>
      <c r="T9" s="770" t="s">
        <v>17</v>
      </c>
      <c r="U9" s="771">
        <f t="shared" si="1"/>
        <v>100</v>
      </c>
      <c r="V9" s="770" t="s">
        <v>17</v>
      </c>
      <c r="W9" s="771">
        <f t="shared" si="2"/>
        <v>100</v>
      </c>
      <c r="X9" s="772"/>
      <c r="Y9" s="3023"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0"/>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2516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0"/>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60"/>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60"/>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60"/>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2517</v>
      </c>
      <c r="B15" s="69" t="s">
        <v>2660</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5" t="s">
        <v>2518</v>
      </c>
      <c r="Q15" s="1812" t="str">
        <f t="shared" si="6"/>
        <v>产业集聚程度</v>
      </c>
      <c r="R15" s="774" t="s">
        <v>17</v>
      </c>
      <c r="S15" s="775">
        <f t="shared" si="0"/>
        <v>100</v>
      </c>
      <c r="T15" s="774" t="s">
        <v>17</v>
      </c>
      <c r="U15" s="775">
        <f t="shared" si="1"/>
        <v>100</v>
      </c>
      <c r="V15" s="774" t="s">
        <v>17</v>
      </c>
      <c r="W15" s="775">
        <f t="shared" si="2"/>
        <v>100</v>
      </c>
      <c r="X15" s="1815"/>
      <c r="Y15" s="3175" t="s">
        <v>2518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6"/>
      <c r="Q16" s="1812"/>
      <c r="R16" s="774"/>
      <c r="S16" s="775"/>
      <c r="T16" s="774"/>
      <c r="U16" s="775"/>
      <c r="V16" s="774"/>
      <c r="W16" s="775"/>
      <c r="X16" s="1815"/>
      <c r="Y16" s="3176"/>
      <c r="Z16" s="1816"/>
      <c r="AA16" s="1813">
        <v>1</v>
      </c>
      <c r="AB16" s="1813">
        <v>1</v>
      </c>
      <c r="AC16" s="1813">
        <v>1</v>
      </c>
    </row>
    <row r="17" spans="1:29" ht="15">
      <c r="A17" s="428"/>
      <c r="B17" s="451" t="s">
        <v>2059</v>
      </c>
      <c r="C17" s="2608">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6"/>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76"/>
      <c r="Q18" s="1812"/>
      <c r="R18" s="774"/>
      <c r="S18" s="775"/>
      <c r="T18" s="774"/>
      <c r="U18" s="775"/>
      <c r="V18" s="774"/>
      <c r="W18" s="775"/>
      <c r="X18" s="1815"/>
      <c r="Y18" s="3176"/>
      <c r="Z18" s="1816"/>
      <c r="AA18" s="1813">
        <v>1</v>
      </c>
      <c r="AB18" s="1813">
        <v>1</v>
      </c>
      <c r="AC18" s="1813">
        <v>1</v>
      </c>
    </row>
    <row r="19" spans="1:29" ht="15">
      <c r="A19" s="428"/>
      <c r="B19" s="451" t="s">
        <v>2645</v>
      </c>
      <c r="C19" s="2608">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6"/>
      <c r="Q19" s="1812" t="str">
        <f>B19</f>
        <v>公共配套设施</v>
      </c>
      <c r="R19" s="774" t="s">
        <v>17</v>
      </c>
      <c r="S19" s="775">
        <f>F19</f>
        <v>100</v>
      </c>
      <c r="T19" s="774" t="s">
        <v>17</v>
      </c>
      <c r="U19" s="775">
        <f>H19</f>
        <v>100</v>
      </c>
      <c r="V19" s="774" t="s">
        <v>17</v>
      </c>
      <c r="W19" s="775">
        <f>J19</f>
        <v>100</v>
      </c>
      <c r="X19" s="1815"/>
      <c r="Y19" s="3176"/>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76"/>
      <c r="Q20" s="1812"/>
      <c r="R20" s="774"/>
      <c r="S20" s="775"/>
      <c r="T20" s="774"/>
      <c r="U20" s="775"/>
      <c r="V20" s="774"/>
      <c r="W20" s="775"/>
      <c r="X20" s="1815"/>
      <c r="Y20" s="3176"/>
      <c r="Z20" s="1816"/>
      <c r="AA20" s="1813">
        <v>1</v>
      </c>
      <c r="AB20" s="1813">
        <v>1</v>
      </c>
      <c r="AC20" s="1813">
        <v>1</v>
      </c>
    </row>
    <row r="21" spans="1:29" ht="15">
      <c r="A21" s="428"/>
      <c r="B21" s="1387" t="s">
        <v>2646</v>
      </c>
      <c r="C21" s="2608">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6"/>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176"/>
      <c r="Q22" s="1812"/>
      <c r="R22" s="774"/>
      <c r="S22" s="775"/>
      <c r="T22" s="774"/>
      <c r="U22" s="775"/>
      <c r="V22" s="774"/>
      <c r="W22" s="775"/>
      <c r="X22" s="1815"/>
      <c r="Y22" s="3176"/>
      <c r="Z22" s="1816"/>
      <c r="AA22" s="1813">
        <v>1</v>
      </c>
      <c r="AB22" s="1813">
        <v>1</v>
      </c>
      <c r="AC22" s="1813">
        <v>1</v>
      </c>
    </row>
    <row r="23" spans="1:29" ht="15">
      <c r="A23" s="428"/>
      <c r="B23" s="451" t="s">
        <v>2647</v>
      </c>
      <c r="C23" s="2608">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6"/>
      <c r="Q23" s="1812" t="str">
        <f>B23</f>
        <v>环境质量</v>
      </c>
      <c r="R23" s="774" t="s">
        <v>17</v>
      </c>
      <c r="S23" s="775">
        <f>F23</f>
        <v>100</v>
      </c>
      <c r="T23" s="774" t="s">
        <v>17</v>
      </c>
      <c r="U23" s="775">
        <f>H23</f>
        <v>100</v>
      </c>
      <c r="V23" s="774" t="s">
        <v>17</v>
      </c>
      <c r="W23" s="775">
        <f>J23</f>
        <v>100</v>
      </c>
      <c r="X23" s="1815"/>
      <c r="Y23" s="3176"/>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176"/>
      <c r="Q24" s="1812"/>
      <c r="R24" s="774"/>
      <c r="S24" s="775"/>
      <c r="T24" s="774"/>
      <c r="U24" s="775"/>
      <c r="V24" s="774"/>
      <c r="W24" s="775"/>
      <c r="X24" s="1815"/>
      <c r="Y24" s="317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6"/>
      <c r="Q25" s="1812">
        <f>B25</f>
        <v>111</v>
      </c>
      <c r="R25" s="774" t="s">
        <v>17</v>
      </c>
      <c r="S25" s="775">
        <f>F25</f>
        <v>100</v>
      </c>
      <c r="T25" s="774" t="s">
        <v>17</v>
      </c>
      <c r="U25" s="775">
        <f>H25</f>
        <v>100</v>
      </c>
      <c r="V25" s="774" t="s">
        <v>17</v>
      </c>
      <c r="W25" s="775">
        <f>J25</f>
        <v>100</v>
      </c>
      <c r="X25" s="1815"/>
      <c r="Y25" s="317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6"/>
      <c r="Q26" s="1812">
        <f t="shared" ref="Q26:Q40" si="11">B26</f>
        <v>111</v>
      </c>
      <c r="R26" s="774" t="s">
        <v>17</v>
      </c>
      <c r="S26" s="775">
        <f>F26</f>
        <v>100</v>
      </c>
      <c r="T26" s="774" t="s">
        <v>17</v>
      </c>
      <c r="U26" s="775">
        <f>H26</f>
        <v>100</v>
      </c>
      <c r="V26" s="774" t="s">
        <v>17</v>
      </c>
      <c r="W26" s="775">
        <f>J26</f>
        <v>100</v>
      </c>
      <c r="X26" s="1815"/>
      <c r="Y26" s="317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6"/>
      <c r="Q27" s="1797">
        <f t="shared" si="11"/>
        <v>111</v>
      </c>
      <c r="R27" s="770" t="s">
        <v>17</v>
      </c>
      <c r="S27" s="771">
        <f>F27</f>
        <v>100</v>
      </c>
      <c r="T27" s="770" t="s">
        <v>17</v>
      </c>
      <c r="U27" s="771">
        <f>H27</f>
        <v>100</v>
      </c>
      <c r="V27" s="770" t="s">
        <v>17</v>
      </c>
      <c r="W27" s="771">
        <f>J27</f>
        <v>100</v>
      </c>
      <c r="X27" s="772"/>
      <c r="Y27" s="317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6"/>
      <c r="Q28" s="1812">
        <f t="shared" si="11"/>
        <v>111</v>
      </c>
      <c r="R28" s="774" t="s">
        <v>17</v>
      </c>
      <c r="S28" s="775">
        <f t="shared" ref="S28:S40" si="12">F28</f>
        <v>100</v>
      </c>
      <c r="T28" s="774" t="s">
        <v>17</v>
      </c>
      <c r="U28" s="775">
        <f t="shared" ref="U28:U40" si="13">H28</f>
        <v>100</v>
      </c>
      <c r="V28" s="774" t="s">
        <v>17</v>
      </c>
      <c r="W28" s="775">
        <f t="shared" ref="W28:W40" si="14">J28</f>
        <v>100</v>
      </c>
      <c r="X28" s="1815"/>
      <c r="Y28" s="3176"/>
      <c r="Z28" s="1816">
        <f t="shared" ref="Z28:Z40" si="15">Q28</f>
        <v>111</v>
      </c>
      <c r="AA28" s="1813">
        <f t="shared" si="3"/>
        <v>1</v>
      </c>
      <c r="AB28" s="1813">
        <f t="shared" si="4"/>
        <v>1</v>
      </c>
      <c r="AC28" s="1813">
        <f t="shared" si="5"/>
        <v>1</v>
      </c>
    </row>
    <row r="29" spans="1:29" ht="15">
      <c r="A29" s="466" t="s">
        <v>2521</v>
      </c>
      <c r="B29" s="71" t="s">
        <v>2650</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177" t="s">
        <v>2523</v>
      </c>
      <c r="Q29" s="1812" t="str">
        <f t="shared" si="11"/>
        <v>建筑类型</v>
      </c>
      <c r="R29" s="774" t="s">
        <v>17</v>
      </c>
      <c r="S29" s="775">
        <f t="shared" si="12"/>
        <v>100</v>
      </c>
      <c r="T29" s="774" t="s">
        <v>17</v>
      </c>
      <c r="U29" s="775">
        <f t="shared" si="13"/>
        <v>100</v>
      </c>
      <c r="V29" s="774" t="s">
        <v>17</v>
      </c>
      <c r="W29" s="775">
        <f t="shared" si="14"/>
        <v>100</v>
      </c>
      <c r="X29" s="1815"/>
      <c r="Y29" s="3178" t="s">
        <v>2523</v>
      </c>
      <c r="Z29" s="1816" t="str">
        <f t="shared" si="15"/>
        <v>建筑类型</v>
      </c>
      <c r="AA29" s="1813">
        <f t="shared" si="3"/>
        <v>1</v>
      </c>
      <c r="AB29" s="1813">
        <f t="shared" si="4"/>
        <v>1</v>
      </c>
      <c r="AC29" s="1813">
        <f t="shared" si="5"/>
        <v>1</v>
      </c>
    </row>
    <row r="30" spans="1:29" s="471" customFormat="1" ht="15">
      <c r="A30" s="468"/>
      <c r="B30" s="422" t="s">
        <v>2524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3" t="e">
        <f t="shared" si="3"/>
        <v>#N/A</v>
      </c>
      <c r="AB30" s="1813" t="e">
        <f t="shared" si="4"/>
        <v>#N/A</v>
      </c>
      <c r="AC30" s="1813" t="e">
        <f t="shared" si="5"/>
        <v>#N/A</v>
      </c>
    </row>
    <row r="31" spans="1:29" ht="15">
      <c r="A31" s="472"/>
      <c r="B31" s="422" t="s">
        <v>2525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2" t="str">
        <f t="shared" si="11"/>
        <v>建筑结构</v>
      </c>
      <c r="R31" s="774" t="s">
        <v>17</v>
      </c>
      <c r="S31" s="775">
        <f t="shared" si="12"/>
        <v>100</v>
      </c>
      <c r="T31" s="774" t="s">
        <v>17</v>
      </c>
      <c r="U31" s="775">
        <f t="shared" si="13"/>
        <v>100</v>
      </c>
      <c r="V31" s="774" t="s">
        <v>17</v>
      </c>
      <c r="W31" s="775">
        <f t="shared" si="14"/>
        <v>100</v>
      </c>
      <c r="X31" s="1815"/>
      <c r="Y31" s="3178"/>
      <c r="Z31" s="1816" t="str">
        <f t="shared" si="15"/>
        <v>建筑结构</v>
      </c>
      <c r="AA31" s="1813">
        <f t="shared" si="3"/>
        <v>1</v>
      </c>
      <c r="AB31" s="1813">
        <f t="shared" si="4"/>
        <v>1</v>
      </c>
      <c r="AC31" s="1813">
        <f t="shared" si="5"/>
        <v>1</v>
      </c>
    </row>
    <row r="32" spans="1:29" ht="15">
      <c r="A32" s="472"/>
      <c r="B32" s="422" t="s">
        <v>2618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2" t="str">
        <f t="shared" si="11"/>
        <v>公共部分装修</v>
      </c>
      <c r="R32" s="774" t="s">
        <v>17</v>
      </c>
      <c r="S32" s="775">
        <f t="shared" si="12"/>
        <v>100</v>
      </c>
      <c r="T32" s="774" t="s">
        <v>17</v>
      </c>
      <c r="U32" s="775">
        <f t="shared" si="13"/>
        <v>100</v>
      </c>
      <c r="V32" s="774" t="s">
        <v>17</v>
      </c>
      <c r="W32" s="775">
        <f t="shared" si="14"/>
        <v>100</v>
      </c>
      <c r="X32" s="1815"/>
      <c r="Y32" s="3178"/>
      <c r="Z32" s="1816" t="str">
        <f t="shared" si="15"/>
        <v>公共部分装修</v>
      </c>
      <c r="AA32" s="1813">
        <f t="shared" si="3"/>
        <v>1</v>
      </c>
      <c r="AB32" s="1813">
        <f t="shared" si="4"/>
        <v>1</v>
      </c>
      <c r="AC32" s="1813">
        <f t="shared" si="5"/>
        <v>1</v>
      </c>
    </row>
    <row r="33" spans="1:29" ht="15">
      <c r="A33" s="472"/>
      <c r="B33" s="422" t="s">
        <v>2619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2" t="str">
        <f t="shared" si="11"/>
        <v>成新度</v>
      </c>
      <c r="R33" s="774" t="s">
        <v>17</v>
      </c>
      <c r="S33" s="775" t="e">
        <f t="shared" si="12"/>
        <v>#N/A</v>
      </c>
      <c r="T33" s="774" t="s">
        <v>17</v>
      </c>
      <c r="U33" s="775" t="e">
        <f t="shared" si="13"/>
        <v>#N/A</v>
      </c>
      <c r="V33" s="774" t="s">
        <v>17</v>
      </c>
      <c r="W33" s="775" t="e">
        <f t="shared" si="14"/>
        <v>#N/A</v>
      </c>
      <c r="X33" s="1815"/>
      <c r="Y33" s="3178"/>
      <c r="Z33" s="1816" t="str">
        <f t="shared" si="15"/>
        <v>成新度</v>
      </c>
      <c r="AA33" s="1813" t="e">
        <f t="shared" si="3"/>
        <v>#N/A</v>
      </c>
      <c r="AB33" s="1813" t="e">
        <f t="shared" si="4"/>
        <v>#N/A</v>
      </c>
      <c r="AC33" s="1813" t="e">
        <f t="shared" si="5"/>
        <v>#N/A</v>
      </c>
    </row>
    <row r="34" spans="1:29" s="117" customFormat="1" ht="15">
      <c r="A34" s="473"/>
      <c r="B34" s="422" t="s">
        <v>2652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7"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2620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2523</v>
      </c>
      <c r="Q35" s="1812" t="str">
        <f t="shared" si="11"/>
        <v>市政基础设施</v>
      </c>
      <c r="R35" s="774" t="s">
        <v>17</v>
      </c>
      <c r="S35" s="775">
        <f t="shared" si="12"/>
        <v>100</v>
      </c>
      <c r="T35" s="774" t="s">
        <v>17</v>
      </c>
      <c r="U35" s="775">
        <f t="shared" si="13"/>
        <v>100</v>
      </c>
      <c r="V35" s="774" t="s">
        <v>17</v>
      </c>
      <c r="W35" s="775">
        <f t="shared" si="14"/>
        <v>100</v>
      </c>
      <c r="X35" s="1815"/>
      <c r="Y35" s="3178" t="s">
        <v>2523</v>
      </c>
      <c r="Z35" s="1816" t="str">
        <f t="shared" si="15"/>
        <v>市政基础设施</v>
      </c>
      <c r="AA35" s="1813">
        <f t="shared" si="3"/>
        <v>1</v>
      </c>
      <c r="AB35" s="1813">
        <f t="shared" si="4"/>
        <v>1</v>
      </c>
      <c r="AC35" s="1813">
        <f t="shared" si="5"/>
        <v>1</v>
      </c>
    </row>
    <row r="36" spans="1:29" ht="15">
      <c r="A36" s="472"/>
      <c r="B36" s="422" t="s">
        <v>2625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2" t="str">
        <f t="shared" si="11"/>
        <v>内部装修</v>
      </c>
      <c r="R36" s="774" t="s">
        <v>17</v>
      </c>
      <c r="S36" s="775">
        <f t="shared" si="12"/>
        <v>100</v>
      </c>
      <c r="T36" s="774" t="s">
        <v>17</v>
      </c>
      <c r="U36" s="775">
        <f t="shared" si="13"/>
        <v>100</v>
      </c>
      <c r="V36" s="774" t="s">
        <v>17</v>
      </c>
      <c r="W36" s="775">
        <f t="shared" si="14"/>
        <v>100</v>
      </c>
      <c r="X36" s="1815"/>
      <c r="Y36" s="3178"/>
      <c r="Z36" s="1816" t="str">
        <f t="shared" si="15"/>
        <v>内部装修</v>
      </c>
      <c r="AA36" s="1813">
        <f t="shared" si="3"/>
        <v>1</v>
      </c>
      <c r="AB36" s="1813">
        <f t="shared" si="4"/>
        <v>1</v>
      </c>
      <c r="AC36" s="1813">
        <f t="shared" si="5"/>
        <v>1</v>
      </c>
    </row>
    <row r="37" spans="1:29" ht="15">
      <c r="A37" s="472"/>
      <c r="B37" s="422" t="s">
        <v>2661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2" t="str">
        <f t="shared" si="11"/>
        <v>内部装修状况</v>
      </c>
      <c r="R37" s="774" t="s">
        <v>17</v>
      </c>
      <c r="S37" s="775">
        <f t="shared" si="12"/>
        <v>100</v>
      </c>
      <c r="T37" s="774" t="s">
        <v>17</v>
      </c>
      <c r="U37" s="775">
        <f t="shared" si="13"/>
        <v>100</v>
      </c>
      <c r="V37" s="774" t="s">
        <v>17</v>
      </c>
      <c r="W37" s="775">
        <f t="shared" si="14"/>
        <v>100</v>
      </c>
      <c r="X37" s="1815"/>
      <c r="Y37" s="317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2">
        <f t="shared" si="11"/>
        <v>111</v>
      </c>
      <c r="R39" s="774" t="s">
        <v>17</v>
      </c>
      <c r="S39" s="775">
        <f t="shared" si="12"/>
        <v>100</v>
      </c>
      <c r="T39" s="774" t="s">
        <v>17</v>
      </c>
      <c r="U39" s="775">
        <f t="shared" si="13"/>
        <v>100</v>
      </c>
      <c r="V39" s="774" t="s">
        <v>17</v>
      </c>
      <c r="W39" s="775">
        <f t="shared" si="14"/>
        <v>100</v>
      </c>
      <c r="X39" s="1815"/>
      <c r="Y39" s="3178"/>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2">
        <f t="shared" si="11"/>
        <v>111</v>
      </c>
      <c r="R40" s="774" t="s">
        <v>17</v>
      </c>
      <c r="S40" s="775">
        <f t="shared" si="12"/>
        <v>100</v>
      </c>
      <c r="T40" s="774" t="s">
        <v>17</v>
      </c>
      <c r="U40" s="775">
        <f t="shared" si="13"/>
        <v>100</v>
      </c>
      <c r="V40" s="774" t="s">
        <v>17</v>
      </c>
      <c r="W40" s="775">
        <f t="shared" si="14"/>
        <v>100</v>
      </c>
      <c r="X40" s="1815"/>
      <c r="Y40" s="3221"/>
      <c r="Z40" s="1816">
        <f t="shared" si="15"/>
        <v>111</v>
      </c>
      <c r="AA40" s="1813">
        <f t="shared" si="3"/>
        <v>1</v>
      </c>
      <c r="AB40" s="1813">
        <f t="shared" si="4"/>
        <v>1</v>
      </c>
      <c r="AC40" s="1813">
        <f t="shared" si="5"/>
        <v>1</v>
      </c>
    </row>
    <row r="41" spans="1:29" ht="15">
      <c r="A41" s="479" t="s">
        <v>2535</v>
      </c>
      <c r="B41" s="480"/>
      <c r="C41" s="1410" t="s">
        <v>1</v>
      </c>
      <c r="D41" s="1411"/>
      <c r="E41" s="1412"/>
      <c r="F41" s="1413"/>
      <c r="G41" s="1414"/>
      <c r="H41" s="1415"/>
      <c r="I41" s="1412"/>
      <c r="J41" s="1415"/>
      <c r="K41" s="783"/>
      <c r="L41" s="1146"/>
      <c r="M41" s="1147"/>
      <c r="N41" s="1134"/>
      <c r="O41" s="1147"/>
      <c r="P41" s="3160" t="str">
        <f>A41</f>
        <v>成交单价（元/平方米）</v>
      </c>
      <c r="Q41" s="3160"/>
      <c r="R41" s="3217">
        <f>E41</f>
        <v>0</v>
      </c>
      <c r="S41" s="3217"/>
      <c r="T41" s="3217">
        <f>G41</f>
        <v>0</v>
      </c>
      <c r="U41" s="3217"/>
      <c r="V41" s="3217">
        <f>I41</f>
        <v>0</v>
      </c>
      <c r="W41" s="3217"/>
      <c r="X41" s="759"/>
      <c r="Y41" s="781"/>
      <c r="Z41" s="759"/>
      <c r="AA41" s="759"/>
      <c r="AB41" s="759"/>
      <c r="AC41" s="759"/>
    </row>
    <row r="42" spans="1:29" ht="15.75" thickBot="1">
      <c r="A42" s="486" t="s">
        <v>2626</v>
      </c>
      <c r="B42" s="487"/>
      <c r="C42" s="1416" t="e">
        <f>R43</f>
        <v>#DIV/0!</v>
      </c>
      <c r="D42" s="1417"/>
      <c r="E42" s="1418" t="e">
        <f>R42</f>
        <v>#DIV/0!</v>
      </c>
      <c r="F42" s="1418"/>
      <c r="G42" s="1416" t="e">
        <f>T42</f>
        <v>#DIV/0!</v>
      </c>
      <c r="H42" s="1417"/>
      <c r="I42" s="1418" t="e">
        <f>V42</f>
        <v>#DIV/0!</v>
      </c>
      <c r="J42" s="1417"/>
      <c r="K42" s="784"/>
      <c r="L42" s="1146"/>
      <c r="M42" s="1147"/>
      <c r="N42" s="1134"/>
      <c r="O42" s="1147"/>
      <c r="P42" s="3160" t="str">
        <f>A42</f>
        <v>比较价值（元/平方米）</v>
      </c>
      <c r="Q42" s="3160"/>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9"/>
      <c r="Y42" s="759"/>
      <c r="Z42" s="759"/>
      <c r="AA42" s="759"/>
      <c r="AB42" s="759"/>
      <c r="AC42" s="759"/>
    </row>
    <row r="43" spans="1:29" ht="15.75" thickBot="1">
      <c r="A43" s="492" t="s">
        <v>2627</v>
      </c>
      <c r="B43" s="493"/>
      <c r="C43" s="1420" t="e">
        <f>R43</f>
        <v>#DIV/0!</v>
      </c>
      <c r="D43" s="1420"/>
      <c r="E43" s="1420"/>
      <c r="F43" s="1420"/>
      <c r="G43" s="1420"/>
      <c r="H43" s="1420"/>
      <c r="I43" s="1420"/>
      <c r="J43" s="1420"/>
      <c r="K43" s="785"/>
      <c r="L43" s="1146"/>
      <c r="M43" s="1147"/>
      <c r="N43" s="1147"/>
      <c r="O43" s="1147"/>
      <c r="P43" s="3180" t="str">
        <f>A43</f>
        <v>估价对象XX用房的比较价值（楼面单价，元/平方米）</v>
      </c>
      <c r="Q43" s="3181"/>
      <c r="R43" s="3216" t="e">
        <f>IF(F1="售价",ROUND(AVERAGE(R42:V42),0),ROUND(AVERAGE(R42:V42),1))</f>
        <v>#DIV/0!</v>
      </c>
      <c r="S43" s="3216"/>
      <c r="T43" s="3216"/>
      <c r="U43" s="3216"/>
      <c r="V43" s="3216"/>
      <c r="W43" s="321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2630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2631</v>
      </c>
      <c r="B51" s="759"/>
      <c r="C51" s="764"/>
      <c r="D51" s="764"/>
      <c r="E51" s="764"/>
      <c r="F51" s="765"/>
      <c r="G51" s="765"/>
      <c r="H51" s="764"/>
      <c r="I51" s="764"/>
      <c r="J51" s="764"/>
      <c r="K51" s="1163"/>
      <c r="L51" s="1164"/>
      <c r="M51" s="1162"/>
      <c r="N51" s="1162"/>
      <c r="O51" s="1162"/>
      <c r="P51" s="503"/>
      <c r="Q51" s="504"/>
    </row>
    <row r="52" spans="1:17" s="508" customFormat="1" ht="15">
      <c r="A52" s="505" t="s">
        <v>2506</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2542</v>
      </c>
      <c r="B54" s="516"/>
      <c r="C54" s="517"/>
      <c r="D54" s="518"/>
      <c r="E54" s="518"/>
      <c r="F54" s="518"/>
      <c r="G54" s="518"/>
      <c r="H54" s="518"/>
      <c r="I54" s="518"/>
      <c r="J54" s="518"/>
      <c r="K54" s="518"/>
      <c r="L54" s="518"/>
      <c r="M54" s="519"/>
      <c r="N54" s="518"/>
      <c r="O54" s="520"/>
      <c r="P54" s="504"/>
      <c r="Q54" s="504"/>
    </row>
    <row r="55" spans="1:17" s="117" customFormat="1" ht="15">
      <c r="A55" s="521" t="s">
        <v>2508</v>
      </c>
      <c r="B55" s="510"/>
      <c r="C55" s="522" t="s">
        <v>2609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2545</v>
      </c>
      <c r="B57" s="528" t="s">
        <v>2512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2515</v>
      </c>
      <c r="C59" s="539" t="s">
        <v>2546</v>
      </c>
      <c r="D59" s="539" t="s">
        <v>2547</v>
      </c>
      <c r="E59" s="539" t="s">
        <v>2548</v>
      </c>
      <c r="F59" s="539" t="s">
        <v>2549</v>
      </c>
      <c r="G59" s="539" t="s">
        <v>2550</v>
      </c>
      <c r="H59" s="539" t="s">
        <v>2551</v>
      </c>
      <c r="I59" s="539" t="s">
        <v>2552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2517</v>
      </c>
      <c r="B70" s="528" t="s">
        <v>2662</v>
      </c>
      <c r="C70" s="573" t="s">
        <v>2554</v>
      </c>
      <c r="D70" s="573" t="s">
        <v>2555</v>
      </c>
      <c r="E70" s="573" t="s">
        <v>2556</v>
      </c>
      <c r="F70" s="573" t="s">
        <v>2557</v>
      </c>
      <c r="G70" s="573" t="s">
        <v>2558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2559</v>
      </c>
      <c r="C72" s="578" t="s">
        <v>2554</v>
      </c>
      <c r="D72" s="578" t="s">
        <v>2555</v>
      </c>
      <c r="E72" s="578" t="s">
        <v>2556</v>
      </c>
      <c r="F72" s="578" t="s">
        <v>2557</v>
      </c>
      <c r="G72" s="578" t="s">
        <v>2558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2560</v>
      </c>
      <c r="C74" s="578" t="s">
        <v>2554</v>
      </c>
      <c r="D74" s="578" t="s">
        <v>2555</v>
      </c>
      <c r="E74" s="578" t="s">
        <v>2556</v>
      </c>
      <c r="F74" s="578" t="s">
        <v>2557</v>
      </c>
      <c r="G74" s="578" t="s">
        <v>2558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2646</v>
      </c>
      <c r="C76" s="660" t="s">
        <v>2632</v>
      </c>
      <c r="D76" s="660" t="s">
        <v>2633</v>
      </c>
      <c r="E76" s="660" t="s">
        <v>2634</v>
      </c>
      <c r="F76" s="660" t="s">
        <v>2635</v>
      </c>
      <c r="G76" s="660" t="s">
        <v>2636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2655</v>
      </c>
      <c r="C78" s="578" t="s">
        <v>2554</v>
      </c>
      <c r="D78" s="578" t="s">
        <v>2555</v>
      </c>
      <c r="E78" s="578" t="s">
        <v>2556</v>
      </c>
      <c r="F78" s="578" t="s">
        <v>2557</v>
      </c>
      <c r="G78" s="578" t="s">
        <v>2558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2521</v>
      </c>
      <c r="B88" s="528" t="s">
        <v>2569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2570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2571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2663</v>
      </c>
      <c r="C106" s="578" t="s">
        <v>2554</v>
      </c>
      <c r="D106" s="578" t="s">
        <v>2555</v>
      </c>
      <c r="E106" s="578" t="s">
        <v>2556</v>
      </c>
      <c r="F106" s="578" t="s">
        <v>2557</v>
      </c>
      <c r="G106" s="578" t="s">
        <v>2558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2664</v>
      </c>
      <c r="B1" s="1621"/>
      <c r="C1" s="1622" t="s">
        <v>2488</v>
      </c>
      <c r="D1" s="1623"/>
      <c r="E1" s="1624"/>
      <c r="F1" s="2585"/>
      <c r="G1" s="1625" t="s">
        <v>2600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2288</v>
      </c>
      <c r="B2" s="1421" t="e">
        <f ca="1">IF(C2="——",IF(B37="元/平方米",ROUND(C39*D3/10000,0),ROUND(F3*C39/10000,0)),IF(B37="元/平方米",ROUND(C39*D3/10000,0),ROUND(F3*C39/10000,0))-D2)</f>
        <v>#DIV/0!</v>
      </c>
      <c r="C2" s="2587"/>
      <c r="D2" s="1127" t="e">
        <f ca="1">SUMIF(INDIRECT("'"&amp;F2&amp;"'"&amp;"!A:A"),"承租人权益价值",INDIRECT("'"&amp;F2&amp;"'"&amp;"!c:c"))</f>
        <v>#REF!</v>
      </c>
      <c r="E2" s="2588" t="s">
        <v>2289</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2290</v>
      </c>
      <c r="B3" s="609" t="e">
        <f ca="1">IF(AND(C2="——",B37="元/平方米"),C39,ROUND(B2*10000/D3,0))</f>
        <v>#DIV/0!</v>
      </c>
      <c r="C3" s="400" t="s">
        <v>2601</v>
      </c>
      <c r="D3" s="399">
        <f>SUMIF('数据-汇总表'!$C19:$C33,D1,'数据-汇总表'!$E19:$E33)</f>
        <v>0</v>
      </c>
      <c r="E3" s="400" t="s">
        <v>2665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2602</v>
      </c>
      <c r="B4" s="402"/>
      <c r="C4" s="3161" t="s">
        <v>2603</v>
      </c>
      <c r="D4" s="3162"/>
      <c r="E4" s="3163" t="s">
        <v>2604</v>
      </c>
      <c r="F4" s="3164"/>
      <c r="G4" s="3161" t="s">
        <v>2605</v>
      </c>
      <c r="H4" s="3162"/>
      <c r="I4" s="3161" t="s">
        <v>2606</v>
      </c>
      <c r="J4" s="3162"/>
      <c r="K4" s="610" t="s">
        <v>2607</v>
      </c>
      <c r="L4" s="1133"/>
      <c r="M4" s="1134"/>
      <c r="N4" s="1134"/>
      <c r="O4" s="1134"/>
      <c r="P4" s="3165" t="s">
        <v>2608</v>
      </c>
      <c r="Q4" s="3166"/>
      <c r="R4" s="3148" t="s">
        <v>2604</v>
      </c>
      <c r="S4" s="3149"/>
      <c r="T4" s="3148" t="s">
        <v>2605</v>
      </c>
      <c r="U4" s="3149"/>
      <c r="V4" s="3173" t="s">
        <v>2606</v>
      </c>
      <c r="W4" s="3173"/>
      <c r="X4" s="1815"/>
      <c r="Y4" s="3148" t="s">
        <v>2608</v>
      </c>
      <c r="Z4" s="3149"/>
      <c r="AA4" s="3143" t="s">
        <v>2604</v>
      </c>
      <c r="AB4" s="3144" t="s">
        <v>2605</v>
      </c>
      <c r="AC4" s="3143" t="s">
        <v>2606</v>
      </c>
    </row>
    <row r="5" spans="1:29" ht="15">
      <c r="A5" s="404"/>
      <c r="B5" s="405"/>
      <c r="C5" s="3154" t="s">
        <v>2500</v>
      </c>
      <c r="D5" s="3155"/>
      <c r="E5" s="3152" t="s">
        <v>2501</v>
      </c>
      <c r="F5" s="3153"/>
      <c r="G5" s="3154" t="s">
        <v>2502</v>
      </c>
      <c r="H5" s="3155"/>
      <c r="I5" s="3154" t="s">
        <v>2503</v>
      </c>
      <c r="J5" s="3155"/>
      <c r="K5" s="610"/>
      <c r="L5" s="1133"/>
      <c r="M5" s="1134"/>
      <c r="N5" s="1134"/>
      <c r="O5" s="1134"/>
      <c r="P5" s="3167"/>
      <c r="Q5" s="3168"/>
      <c r="R5" s="3150"/>
      <c r="S5" s="3151"/>
      <c r="T5" s="3150"/>
      <c r="U5" s="3151"/>
      <c r="V5" s="3173"/>
      <c r="W5" s="3173"/>
      <c r="X5" s="1815"/>
      <c r="Y5" s="3150"/>
      <c r="Z5" s="3151"/>
      <c r="AA5" s="3144"/>
      <c r="AB5" s="3144"/>
      <c r="AC5" s="3144"/>
    </row>
    <row r="6" spans="1:29" ht="15.75" thickBot="1">
      <c r="A6" s="406"/>
      <c r="B6" s="407"/>
      <c r="C6" s="3156" t="s">
        <v>2504</v>
      </c>
      <c r="D6" s="3157"/>
      <c r="E6" s="3158" t="s">
        <v>2504</v>
      </c>
      <c r="F6" s="3159"/>
      <c r="G6" s="3156" t="s">
        <v>2504</v>
      </c>
      <c r="H6" s="3157"/>
      <c r="I6" s="3156" t="s">
        <v>2504</v>
      </c>
      <c r="J6" s="3157"/>
      <c r="K6" s="610" t="s">
        <v>2505</v>
      </c>
      <c r="L6" s="1133"/>
      <c r="M6" s="1134"/>
      <c r="N6" s="1134"/>
      <c r="O6" s="1134"/>
      <c r="P6" s="3169"/>
      <c r="Q6" s="3170"/>
      <c r="R6" s="3150"/>
      <c r="S6" s="3151"/>
      <c r="T6" s="3171"/>
      <c r="U6" s="3172"/>
      <c r="V6" s="3173"/>
      <c r="W6" s="3173"/>
      <c r="X6" s="1815"/>
      <c r="Y6" s="3171"/>
      <c r="Z6" s="3172"/>
      <c r="AA6" s="3145"/>
      <c r="AB6" s="3145"/>
      <c r="AC6" s="3145"/>
    </row>
    <row r="7" spans="1:29" s="117" customFormat="1" ht="15.75" thickBot="1">
      <c r="A7" s="408" t="s">
        <v>2506</v>
      </c>
      <c r="B7" s="409"/>
      <c r="C7" s="410">
        <f>'数据-取费表'!B2</f>
        <v>43420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46" t="s">
        <v>2507</v>
      </c>
      <c r="Q7" s="3174"/>
      <c r="R7" s="770" t="s">
        <v>17</v>
      </c>
      <c r="S7" s="771">
        <f t="shared" ref="S7:S14" si="0">F7</f>
        <v>0</v>
      </c>
      <c r="T7" s="770" t="s">
        <v>17</v>
      </c>
      <c r="U7" s="771">
        <f t="shared" ref="U7:U14" si="1">H7</f>
        <v>0</v>
      </c>
      <c r="V7" s="770" t="s">
        <v>17</v>
      </c>
      <c r="W7" s="771">
        <f t="shared" ref="W7:W14" si="2">J7</f>
        <v>0</v>
      </c>
      <c r="X7" s="772"/>
      <c r="Y7" s="3146" t="s">
        <v>2507</v>
      </c>
      <c r="Z7" s="3147"/>
      <c r="AA7" s="773" t="e">
        <f>D7/F7</f>
        <v>#DIV/0!</v>
      </c>
      <c r="AB7" s="773" t="e">
        <f>D7/H7</f>
        <v>#DIV/0!</v>
      </c>
      <c r="AC7" s="773" t="e">
        <f>D7/J7</f>
        <v>#DIV/0!</v>
      </c>
    </row>
    <row r="8" spans="1:29" s="117" customFormat="1" ht="15.75" thickBot="1">
      <c r="A8" s="408" t="s">
        <v>2508</v>
      </c>
      <c r="B8" s="409"/>
      <c r="C8" s="414" t="s">
        <v>2609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46" t="s">
        <v>2510</v>
      </c>
      <c r="Q8" s="3147"/>
      <c r="R8" s="770" t="s">
        <v>17</v>
      </c>
      <c r="S8" s="771">
        <f t="shared" si="0"/>
        <v>0</v>
      </c>
      <c r="T8" s="770" t="s">
        <v>17</v>
      </c>
      <c r="U8" s="771">
        <f t="shared" si="1"/>
        <v>0</v>
      </c>
      <c r="V8" s="770" t="s">
        <v>17</v>
      </c>
      <c r="W8" s="771">
        <f t="shared" si="2"/>
        <v>0</v>
      </c>
      <c r="X8" s="772"/>
      <c r="Y8" s="3146" t="s">
        <v>2510</v>
      </c>
      <c r="Z8" s="3147"/>
      <c r="AA8" s="773" t="e">
        <f t="shared" ref="AA8:AA36" si="3">D8/F8</f>
        <v>#DIV/0!</v>
      </c>
      <c r="AB8" s="773" t="e">
        <f t="shared" ref="AB8:AB36" si="4">D8/H8</f>
        <v>#DIV/0!</v>
      </c>
      <c r="AC8" s="773" t="e">
        <f t="shared" ref="AC8:AC36" si="5">D8/J8</f>
        <v>#DIV/0!</v>
      </c>
    </row>
    <row r="9" spans="1:29" s="117" customFormat="1">
      <c r="A9" s="68" t="s">
        <v>2511</v>
      </c>
      <c r="B9" s="640" t="s">
        <v>2512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0" t="s">
        <v>2513</v>
      </c>
      <c r="Q9" s="1797" t="str">
        <f t="shared" ref="Q9:Q14" si="6">B9</f>
        <v>用途</v>
      </c>
      <c r="R9" s="770" t="s">
        <v>17</v>
      </c>
      <c r="S9" s="771">
        <f t="shared" si="0"/>
        <v>100</v>
      </c>
      <c r="T9" s="770" t="s">
        <v>17</v>
      </c>
      <c r="U9" s="771">
        <f t="shared" si="1"/>
        <v>100</v>
      </c>
      <c r="V9" s="770" t="s">
        <v>17</v>
      </c>
      <c r="W9" s="771">
        <f t="shared" si="2"/>
        <v>100</v>
      </c>
      <c r="X9" s="772"/>
      <c r="Y9" s="3023" t="s">
        <v>2514</v>
      </c>
      <c r="Z9" s="55" t="str">
        <f t="shared" ref="Z9:Z14" si="7">Q9</f>
        <v>用途</v>
      </c>
      <c r="AA9" s="773">
        <f t="shared" si="3"/>
        <v>1</v>
      </c>
      <c r="AB9" s="773">
        <f t="shared" si="4"/>
        <v>1</v>
      </c>
      <c r="AC9" s="773">
        <f t="shared" si="5"/>
        <v>1</v>
      </c>
    </row>
    <row r="10" spans="1:29" s="427" customFormat="1" ht="27">
      <c r="A10" s="641"/>
      <c r="B10" s="642" t="s">
        <v>2515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0"/>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0"/>
      <c r="Q11" s="1797">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0"/>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0"/>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2517</v>
      </c>
      <c r="B14" s="629" t="s">
        <v>2666</v>
      </c>
      <c r="C14" s="2693" t="str">
        <f>IF(B1="工业",估价对象房地状况!G4,估价对象房地状况!C6)</f>
        <v>估价对象周边道路状况较好、公共交通通达情况较好、停车便捷程度较好，周边有香河203、/20路等公交线路，综合评价交通便捷度较好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5" t="s">
        <v>2518</v>
      </c>
      <c r="Q14" s="1812" t="str">
        <f t="shared" si="6"/>
        <v>交通便捷度</v>
      </c>
      <c r="R14" s="774" t="s">
        <v>17</v>
      </c>
      <c r="S14" s="775">
        <f t="shared" si="0"/>
        <v>100</v>
      </c>
      <c r="T14" s="774" t="s">
        <v>17</v>
      </c>
      <c r="U14" s="775">
        <f t="shared" si="1"/>
        <v>100</v>
      </c>
      <c r="V14" s="774" t="s">
        <v>17</v>
      </c>
      <c r="W14" s="775">
        <f t="shared" si="2"/>
        <v>100</v>
      </c>
      <c r="X14" s="1815"/>
      <c r="Y14" s="3175" t="s">
        <v>2518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6"/>
      <c r="Q15" s="1812"/>
      <c r="R15" s="774"/>
      <c r="S15" s="775"/>
      <c r="T15" s="774"/>
      <c r="U15" s="775"/>
      <c r="V15" s="774"/>
      <c r="W15" s="775"/>
      <c r="X15" s="1815"/>
      <c r="Y15" s="3176"/>
      <c r="Z15" s="1816"/>
      <c r="AA15" s="1813">
        <v>1</v>
      </c>
      <c r="AB15" s="1813">
        <v>1</v>
      </c>
      <c r="AC15" s="1813">
        <v>1</v>
      </c>
    </row>
    <row r="16" spans="1:29" ht="42.75">
      <c r="A16" s="404"/>
      <c r="B16" s="631" t="s">
        <v>2645</v>
      </c>
      <c r="C16" s="2608"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6"/>
      <c r="Q16" s="1812" t="str">
        <f>B16</f>
        <v>公共配套设施</v>
      </c>
      <c r="R16" s="774" t="s">
        <v>17</v>
      </c>
      <c r="S16" s="775">
        <f>F16</f>
        <v>100</v>
      </c>
      <c r="T16" s="774" t="s">
        <v>17</v>
      </c>
      <c r="U16" s="775">
        <f>H16</f>
        <v>100</v>
      </c>
      <c r="V16" s="774" t="s">
        <v>17</v>
      </c>
      <c r="W16" s="775">
        <f>J16</f>
        <v>100</v>
      </c>
      <c r="X16" s="1815"/>
      <c r="Y16" s="3176"/>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76"/>
      <c r="Q17" s="1812"/>
      <c r="R17" s="774"/>
      <c r="S17" s="775"/>
      <c r="T17" s="774"/>
      <c r="U17" s="775"/>
      <c r="V17" s="774"/>
      <c r="W17" s="775"/>
      <c r="X17" s="1815"/>
      <c r="Y17" s="3176"/>
      <c r="Z17" s="1816"/>
      <c r="AA17" s="1813">
        <v>1</v>
      </c>
      <c r="AB17" s="1813">
        <v>1</v>
      </c>
      <c r="AC17" s="1813">
        <v>1</v>
      </c>
    </row>
    <row r="18" spans="1:29" ht="42.75">
      <c r="A18" s="404"/>
      <c r="B18" s="633" t="s">
        <v>2646</v>
      </c>
      <c r="C18" s="2608"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6"/>
      <c r="Q18" s="1812" t="str">
        <f>B18</f>
        <v>基础设施水平</v>
      </c>
      <c r="R18" s="774" t="s">
        <v>17</v>
      </c>
      <c r="S18" s="775">
        <f>F18</f>
        <v>100</v>
      </c>
      <c r="T18" s="774" t="s">
        <v>17</v>
      </c>
      <c r="U18" s="775">
        <f>H18</f>
        <v>100</v>
      </c>
      <c r="V18" s="774" t="s">
        <v>17</v>
      </c>
      <c r="W18" s="775">
        <f>J18</f>
        <v>100</v>
      </c>
      <c r="X18" s="1815"/>
      <c r="Y18" s="3176"/>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176"/>
      <c r="Q19" s="1812"/>
      <c r="R19" s="774"/>
      <c r="S19" s="775"/>
      <c r="T19" s="774"/>
      <c r="U19" s="775"/>
      <c r="V19" s="774"/>
      <c r="W19" s="775"/>
      <c r="X19" s="1815"/>
      <c r="Y19" s="3176"/>
      <c r="Z19" s="1816"/>
      <c r="AA19" s="1813">
        <v>1</v>
      </c>
      <c r="AB19" s="1813">
        <v>1</v>
      </c>
      <c r="AC19" s="1813">
        <v>1</v>
      </c>
    </row>
    <row r="20" spans="1:29" ht="57">
      <c r="A20" s="404"/>
      <c r="B20" s="631" t="s">
        <v>2667</v>
      </c>
      <c r="C20" s="2608" t="str">
        <f>IF(B1="工业",估价对象房地状况!G7,估价对象房地状况!C9)</f>
        <v>区域自然环境较好，人文环境较好，周边有廊坊广播电视大学(香河县分校)、五一公园等；综合评价环境状况较好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6"/>
      <c r="Q20" s="1812" t="str">
        <f>B20</f>
        <v>自然及人文环境</v>
      </c>
      <c r="R20" s="774" t="s">
        <v>17</v>
      </c>
      <c r="S20" s="775">
        <f>F20</f>
        <v>100</v>
      </c>
      <c r="T20" s="774" t="s">
        <v>17</v>
      </c>
      <c r="U20" s="775">
        <f>H20</f>
        <v>100</v>
      </c>
      <c r="V20" s="774" t="s">
        <v>17</v>
      </c>
      <c r="W20" s="775">
        <f>J20</f>
        <v>100</v>
      </c>
      <c r="X20" s="1815"/>
      <c r="Y20" s="317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6"/>
      <c r="Q21" s="1812"/>
      <c r="R21" s="774"/>
      <c r="S21" s="775"/>
      <c r="T21" s="774"/>
      <c r="U21" s="775"/>
      <c r="V21" s="774"/>
      <c r="W21" s="775"/>
      <c r="X21" s="1815"/>
      <c r="Y21" s="3176"/>
      <c r="Z21" s="1816"/>
      <c r="AA21" s="1813">
        <v>1</v>
      </c>
      <c r="AB21" s="1813">
        <v>1</v>
      </c>
      <c r="AC21" s="1813">
        <v>1</v>
      </c>
    </row>
    <row r="22" spans="1:29" ht="15">
      <c r="A22" s="404"/>
      <c r="B22" s="631" t="s">
        <v>2668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6"/>
      <c r="Q22" s="1812" t="str">
        <f>B22</f>
        <v>楼层</v>
      </c>
      <c r="R22" s="774" t="s">
        <v>17</v>
      </c>
      <c r="S22" s="775">
        <f>F22</f>
        <v>100</v>
      </c>
      <c r="T22" s="774" t="s">
        <v>17</v>
      </c>
      <c r="U22" s="775">
        <f>H22</f>
        <v>100</v>
      </c>
      <c r="V22" s="774" t="s">
        <v>17</v>
      </c>
      <c r="W22" s="775">
        <f>J22</f>
        <v>100</v>
      </c>
      <c r="X22" s="1815"/>
      <c r="Y22" s="317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6"/>
      <c r="Q23" s="1812">
        <f>B23</f>
        <v>111</v>
      </c>
      <c r="R23" s="774" t="s">
        <v>17</v>
      </c>
      <c r="S23" s="775">
        <f>F23</f>
        <v>100</v>
      </c>
      <c r="T23" s="774" t="s">
        <v>17</v>
      </c>
      <c r="U23" s="775">
        <f>H23</f>
        <v>100</v>
      </c>
      <c r="V23" s="774" t="s">
        <v>17</v>
      </c>
      <c r="W23" s="775">
        <f>J23</f>
        <v>100</v>
      </c>
      <c r="X23" s="1815"/>
      <c r="Y23" s="317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6"/>
      <c r="Q24" s="1812">
        <f t="shared" ref="Q24:Q36" si="11">B24</f>
        <v>111</v>
      </c>
      <c r="R24" s="774" t="s">
        <v>17</v>
      </c>
      <c r="S24" s="775">
        <f>F24</f>
        <v>100</v>
      </c>
      <c r="T24" s="774" t="s">
        <v>17</v>
      </c>
      <c r="U24" s="775">
        <f>H24</f>
        <v>100</v>
      </c>
      <c r="V24" s="774" t="s">
        <v>17</v>
      </c>
      <c r="W24" s="775">
        <f>J24</f>
        <v>100</v>
      </c>
      <c r="X24" s="1815"/>
      <c r="Y24" s="317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6"/>
      <c r="Q25" s="1797">
        <f t="shared" si="11"/>
        <v>111</v>
      </c>
      <c r="R25" s="770" t="s">
        <v>17</v>
      </c>
      <c r="S25" s="771">
        <f>F25</f>
        <v>100</v>
      </c>
      <c r="T25" s="770" t="s">
        <v>17</v>
      </c>
      <c r="U25" s="771">
        <f>H25</f>
        <v>100</v>
      </c>
      <c r="V25" s="770" t="s">
        <v>17</v>
      </c>
      <c r="W25" s="771">
        <f>J25</f>
        <v>100</v>
      </c>
      <c r="X25" s="772"/>
      <c r="Y25" s="3176"/>
      <c r="Z25" s="55">
        <f>Q25</f>
        <v>111</v>
      </c>
      <c r="AA25" s="1813">
        <f>D25/F25</f>
        <v>1</v>
      </c>
      <c r="AB25" s="1813">
        <f>D25/H25</f>
        <v>1</v>
      </c>
      <c r="AC25" s="1813">
        <f>D25/J25</f>
        <v>1</v>
      </c>
    </row>
    <row r="26" spans="1:29" ht="15">
      <c r="A26" s="652" t="s">
        <v>2521</v>
      </c>
      <c r="B26" s="70" t="s">
        <v>2669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7" t="s">
        <v>2523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8" t="s">
        <v>2523</v>
      </c>
      <c r="Z26" s="1816" t="str">
        <f t="shared" ref="Z26:Z36" si="15">Q26</f>
        <v>配套类型</v>
      </c>
      <c r="AA26" s="1813">
        <f t="shared" si="3"/>
        <v>1</v>
      </c>
      <c r="AB26" s="1813">
        <f t="shared" si="4"/>
        <v>1</v>
      </c>
      <c r="AC26" s="1813">
        <f t="shared" si="5"/>
        <v>1</v>
      </c>
    </row>
    <row r="27" spans="1:29" s="471" customFormat="1" ht="15">
      <c r="A27" s="653"/>
      <c r="B27" s="654" t="s">
        <v>2670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3">
        <f t="shared" si="3"/>
        <v>1</v>
      </c>
      <c r="AB27" s="1813">
        <f t="shared" si="4"/>
        <v>1</v>
      </c>
      <c r="AC27" s="1813">
        <f t="shared" si="5"/>
        <v>1</v>
      </c>
    </row>
    <row r="28" spans="1:29" ht="15">
      <c r="A28" s="656"/>
      <c r="B28" s="654" t="s">
        <v>2671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2" t="str">
        <f t="shared" si="11"/>
        <v>公共部分装修</v>
      </c>
      <c r="R28" s="774" t="s">
        <v>17</v>
      </c>
      <c r="S28" s="775">
        <f t="shared" si="12"/>
        <v>100</v>
      </c>
      <c r="T28" s="774" t="s">
        <v>17</v>
      </c>
      <c r="U28" s="775">
        <f t="shared" si="13"/>
        <v>100</v>
      </c>
      <c r="V28" s="774" t="s">
        <v>17</v>
      </c>
      <c r="W28" s="775">
        <f t="shared" si="14"/>
        <v>100</v>
      </c>
      <c r="X28" s="1815"/>
      <c r="Y28" s="3178"/>
      <c r="Z28" s="1816" t="str">
        <f t="shared" si="15"/>
        <v>公共部分装修</v>
      </c>
      <c r="AA28" s="1813">
        <f t="shared" si="3"/>
        <v>1</v>
      </c>
      <c r="AB28" s="1813">
        <f t="shared" si="4"/>
        <v>1</v>
      </c>
      <c r="AC28" s="1813">
        <f t="shared" si="5"/>
        <v>1</v>
      </c>
    </row>
    <row r="29" spans="1:29" ht="15">
      <c r="A29" s="656"/>
      <c r="B29" s="654" t="s">
        <v>2672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2" t="str">
        <f t="shared" si="11"/>
        <v>成新率</v>
      </c>
      <c r="R29" s="774" t="s">
        <v>17</v>
      </c>
      <c r="S29" s="775" t="e">
        <f t="shared" si="12"/>
        <v>#N/A</v>
      </c>
      <c r="T29" s="774" t="s">
        <v>17</v>
      </c>
      <c r="U29" s="775" t="e">
        <f t="shared" si="13"/>
        <v>#N/A</v>
      </c>
      <c r="V29" s="774" t="s">
        <v>17</v>
      </c>
      <c r="W29" s="775" t="e">
        <f t="shared" si="14"/>
        <v>#N/A</v>
      </c>
      <c r="X29" s="1815"/>
      <c r="Y29" s="3178"/>
      <c r="Z29" s="1816" t="str">
        <f t="shared" si="15"/>
        <v>成新率</v>
      </c>
      <c r="AA29" s="1813" t="e">
        <f t="shared" si="3"/>
        <v>#N/A</v>
      </c>
      <c r="AB29" s="1813" t="e">
        <f t="shared" si="4"/>
        <v>#N/A</v>
      </c>
      <c r="AC29" s="1813" t="e">
        <f t="shared" si="5"/>
        <v>#N/A</v>
      </c>
    </row>
    <row r="30" spans="1:29" ht="15">
      <c r="A30" s="656"/>
      <c r="B30" s="654" t="s">
        <v>2673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2" t="str">
        <f t="shared" si="11"/>
        <v>物业等级</v>
      </c>
      <c r="R30" s="774" t="s">
        <v>17</v>
      </c>
      <c r="S30" s="775">
        <f t="shared" si="12"/>
        <v>100</v>
      </c>
      <c r="T30" s="774" t="s">
        <v>17</v>
      </c>
      <c r="U30" s="775">
        <f t="shared" si="13"/>
        <v>100</v>
      </c>
      <c r="V30" s="774" t="s">
        <v>17</v>
      </c>
      <c r="W30" s="775">
        <f t="shared" si="14"/>
        <v>100</v>
      </c>
      <c r="X30" s="1815"/>
      <c r="Y30" s="3178"/>
      <c r="Z30" s="1816" t="str">
        <f t="shared" si="15"/>
        <v>物业等级</v>
      </c>
      <c r="AA30" s="1813">
        <f t="shared" si="3"/>
        <v>1</v>
      </c>
      <c r="AB30" s="1813">
        <f t="shared" si="4"/>
        <v>1</v>
      </c>
      <c r="AC30" s="1813">
        <f t="shared" si="5"/>
        <v>1</v>
      </c>
    </row>
    <row r="31" spans="1:29" s="117" customFormat="1" ht="15">
      <c r="A31" s="658"/>
      <c r="B31" s="654" t="s">
        <v>2674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7"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2675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2523</v>
      </c>
      <c r="Q32" s="1812" t="str">
        <f t="shared" si="11"/>
        <v>车位类型</v>
      </c>
      <c r="R32" s="774" t="s">
        <v>17</v>
      </c>
      <c r="S32" s="775">
        <f t="shared" si="12"/>
        <v>100</v>
      </c>
      <c r="T32" s="774" t="s">
        <v>17</v>
      </c>
      <c r="U32" s="775">
        <f t="shared" si="13"/>
        <v>100</v>
      </c>
      <c r="V32" s="774" t="s">
        <v>17</v>
      </c>
      <c r="W32" s="775">
        <f t="shared" si="14"/>
        <v>100</v>
      </c>
      <c r="X32" s="1815"/>
      <c r="Y32" s="3178" t="s">
        <v>2523</v>
      </c>
      <c r="Z32" s="1816" t="str">
        <f t="shared" si="15"/>
        <v>车位类型</v>
      </c>
      <c r="AA32" s="1813">
        <f t="shared" si="3"/>
        <v>1</v>
      </c>
      <c r="AB32" s="1813">
        <f t="shared" si="4"/>
        <v>1</v>
      </c>
      <c r="AC32" s="1813">
        <f t="shared" si="5"/>
        <v>1</v>
      </c>
    </row>
    <row r="33" spans="1:29" ht="15">
      <c r="A33" s="656"/>
      <c r="B33" s="654" t="s">
        <v>2676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2" t="str">
        <f t="shared" si="11"/>
        <v>是否直接入户</v>
      </c>
      <c r="R33" s="774" t="s">
        <v>17</v>
      </c>
      <c r="S33" s="775">
        <f t="shared" si="12"/>
        <v>100</v>
      </c>
      <c r="T33" s="774" t="s">
        <v>17</v>
      </c>
      <c r="U33" s="775">
        <f t="shared" si="13"/>
        <v>100</v>
      </c>
      <c r="V33" s="774" t="s">
        <v>17</v>
      </c>
      <c r="W33" s="775">
        <f t="shared" si="14"/>
        <v>100</v>
      </c>
      <c r="X33" s="1815"/>
      <c r="Y33" s="317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2">
        <f t="shared" si="11"/>
        <v>111</v>
      </c>
      <c r="R34" s="774" t="s">
        <v>17</v>
      </c>
      <c r="S34" s="775">
        <f t="shared" si="12"/>
        <v>100</v>
      </c>
      <c r="T34" s="774" t="s">
        <v>17</v>
      </c>
      <c r="U34" s="775">
        <f t="shared" si="13"/>
        <v>100</v>
      </c>
      <c r="V34" s="774" t="s">
        <v>17</v>
      </c>
      <c r="W34" s="775">
        <f t="shared" si="14"/>
        <v>100</v>
      </c>
      <c r="X34" s="1815"/>
      <c r="Y34" s="317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2">
        <f t="shared" si="11"/>
        <v>111</v>
      </c>
      <c r="R36" s="774" t="s">
        <v>17</v>
      </c>
      <c r="S36" s="775">
        <f t="shared" si="12"/>
        <v>100</v>
      </c>
      <c r="T36" s="774" t="s">
        <v>17</v>
      </c>
      <c r="U36" s="775">
        <f t="shared" si="13"/>
        <v>100</v>
      </c>
      <c r="V36" s="774" t="s">
        <v>17</v>
      </c>
      <c r="W36" s="775">
        <f t="shared" si="14"/>
        <v>100</v>
      </c>
      <c r="X36" s="1815"/>
      <c r="Y36" s="3178"/>
      <c r="Z36" s="1816">
        <f t="shared" si="15"/>
        <v>111</v>
      </c>
      <c r="AA36" s="1813">
        <f t="shared" si="3"/>
        <v>1</v>
      </c>
      <c r="AB36" s="1813">
        <f t="shared" si="4"/>
        <v>1</v>
      </c>
      <c r="AC36" s="1813">
        <f t="shared" si="5"/>
        <v>1</v>
      </c>
    </row>
    <row r="37" spans="1:29" ht="15">
      <c r="A37" s="479" t="s">
        <v>2677</v>
      </c>
      <c r="B37" s="2695" t="s">
        <v>2678</v>
      </c>
      <c r="C37" s="1410" t="s">
        <v>1</v>
      </c>
      <c r="D37" s="1411"/>
      <c r="E37" s="1412"/>
      <c r="F37" s="1413"/>
      <c r="G37" s="1414"/>
      <c r="H37" s="1415"/>
      <c r="I37" s="1412"/>
      <c r="J37" s="1415"/>
      <c r="K37" s="619"/>
      <c r="L37" s="1146"/>
      <c r="M37" s="1147"/>
      <c r="N37" s="1134"/>
      <c r="O37" s="1147"/>
      <c r="P37" s="3160" t="str">
        <f>A37</f>
        <v>成交单价</v>
      </c>
      <c r="Q37" s="3160"/>
      <c r="R37" s="3217">
        <f>E37</f>
        <v>0</v>
      </c>
      <c r="S37" s="3217"/>
      <c r="T37" s="3217">
        <f>G37</f>
        <v>0</v>
      </c>
      <c r="U37" s="3217"/>
      <c r="V37" s="3217">
        <f>I37</f>
        <v>0</v>
      </c>
      <c r="W37" s="3217"/>
      <c r="X37" s="759"/>
      <c r="Y37" s="781"/>
      <c r="Z37" s="759"/>
      <c r="AA37" s="759"/>
      <c r="AB37" s="759"/>
      <c r="AC37" s="759"/>
    </row>
    <row r="38" spans="1:29" ht="15.75" thickBot="1">
      <c r="A38" s="486" t="s">
        <v>2679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0" t="str">
        <f>A38</f>
        <v>比较价值（元/平方米）</v>
      </c>
      <c r="Q38" s="3160"/>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9"/>
      <c r="Y38" s="759"/>
      <c r="Z38" s="759"/>
      <c r="AA38" s="759"/>
      <c r="AB38" s="759"/>
      <c r="AC38" s="759"/>
    </row>
    <row r="39" spans="1:29" ht="15.75" thickBot="1">
      <c r="A39" s="492" t="s">
        <v>2680</v>
      </c>
      <c r="B39" s="493"/>
      <c r="C39" s="1420" t="e">
        <f>R39</f>
        <v>#DIV/0!</v>
      </c>
      <c r="D39" s="1420"/>
      <c r="E39" s="1420"/>
      <c r="F39" s="1420"/>
      <c r="G39" s="1420"/>
      <c r="H39" s="1420"/>
      <c r="I39" s="1420"/>
      <c r="J39" s="1420"/>
      <c r="K39" s="621"/>
      <c r="L39" s="1146"/>
      <c r="M39" s="1147"/>
      <c r="N39" s="1147"/>
      <c r="O39" s="1147"/>
      <c r="P39" s="3180" t="str">
        <f>A39</f>
        <v>估价对象XX用房的比较价值（楼面单价，元/平方米）</v>
      </c>
      <c r="Q39" s="3181"/>
      <c r="R39" s="3216" t="e">
        <f>IF(F1="售价",ROUND(AVERAGE(R38:V38),0),ROUND(AVERAGE(R38:V38),1))</f>
        <v>#DIV/0!</v>
      </c>
      <c r="S39" s="3216"/>
      <c r="T39" s="3216"/>
      <c r="U39" s="3216"/>
      <c r="V39" s="3216"/>
      <c r="W39" s="321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2681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2682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2685</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2542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2508</v>
      </c>
      <c r="B51" s="510"/>
      <c r="C51" s="522" t="s">
        <v>2609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2545</v>
      </c>
      <c r="B53" s="528" t="s">
        <v>2512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2515</v>
      </c>
      <c r="C55" s="539" t="s">
        <v>2546</v>
      </c>
      <c r="D55" s="539" t="s">
        <v>2547</v>
      </c>
      <c r="E55" s="539" t="s">
        <v>2548</v>
      </c>
      <c r="F55" s="539" t="s">
        <v>2549</v>
      </c>
      <c r="G55" s="539" t="s">
        <v>2550</v>
      </c>
      <c r="H55" s="539" t="s">
        <v>2551</v>
      </c>
      <c r="I55" s="539" t="s">
        <v>2552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2517</v>
      </c>
      <c r="B63" s="528" t="s">
        <v>2559</v>
      </c>
      <c r="C63" s="573" t="s">
        <v>2554</v>
      </c>
      <c r="D63" s="573" t="s">
        <v>2555</v>
      </c>
      <c r="E63" s="573" t="s">
        <v>2556</v>
      </c>
      <c r="F63" s="573" t="s">
        <v>2557</v>
      </c>
      <c r="G63" s="573" t="s">
        <v>2558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2560</v>
      </c>
      <c r="C65" s="578" t="s">
        <v>2554</v>
      </c>
      <c r="D65" s="578" t="s">
        <v>2555</v>
      </c>
      <c r="E65" s="578" t="s">
        <v>2556</v>
      </c>
      <c r="F65" s="578" t="s">
        <v>2557</v>
      </c>
      <c r="G65" s="578" t="s">
        <v>2558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2646</v>
      </c>
      <c r="C67" s="660" t="s">
        <v>2632</v>
      </c>
      <c r="D67" s="660" t="s">
        <v>2633</v>
      </c>
      <c r="E67" s="660" t="s">
        <v>2634</v>
      </c>
      <c r="F67" s="660" t="s">
        <v>2635</v>
      </c>
      <c r="G67" s="660" t="s">
        <v>2636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2566</v>
      </c>
      <c r="C69" s="578" t="s">
        <v>2554</v>
      </c>
      <c r="D69" s="578" t="s">
        <v>2555</v>
      </c>
      <c r="E69" s="578" t="s">
        <v>2556</v>
      </c>
      <c r="F69" s="578" t="s">
        <v>2557</v>
      </c>
      <c r="G69" s="578" t="s">
        <v>2558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2521</v>
      </c>
      <c r="B79" s="528" t="s">
        <v>2687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2690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2691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2692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2664</v>
      </c>
      <c r="B1" s="1621"/>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IF(C2="——",ROUND(C37*D3/10000,0),ROUND(C37*D3/10000,0)-D2)</f>
        <v>#DIV/0!</v>
      </c>
      <c r="C2" s="2587"/>
      <c r="D2" s="1127" t="e">
        <f ca="1">SUMIF(INDIRECT("'"&amp;F2&amp;"'"&amp;"!A:A"),"承租人权益价值",INDIRECT("'"&amp;F2&amp;"'"&amp;"!c:c"))</f>
        <v>#REF!</v>
      </c>
      <c r="E2" s="2588" t="s">
        <v>2289</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 ca="1">IF(C2="——",C37,ROUND(B2*10000/D3,0))</f>
        <v>#DIV/0!</v>
      </c>
      <c r="C3" s="400" t="s">
        <v>2601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61" t="s">
        <v>2603</v>
      </c>
      <c r="D4" s="3162"/>
      <c r="E4" s="3163" t="s">
        <v>2604</v>
      </c>
      <c r="F4" s="3164"/>
      <c r="G4" s="3161" t="s">
        <v>2605</v>
      </c>
      <c r="H4" s="3162"/>
      <c r="I4" s="3161" t="s">
        <v>2606</v>
      </c>
      <c r="J4" s="3162"/>
      <c r="K4" s="610" t="s">
        <v>2607</v>
      </c>
      <c r="L4" s="1133"/>
      <c r="M4" s="1134"/>
      <c r="N4" s="1134"/>
      <c r="O4" s="1134"/>
      <c r="P4" s="3165" t="s">
        <v>2608</v>
      </c>
      <c r="Q4" s="3166"/>
      <c r="R4" s="3148" t="s">
        <v>2604</v>
      </c>
      <c r="S4" s="3149"/>
      <c r="T4" s="3148" t="s">
        <v>2605</v>
      </c>
      <c r="U4" s="3149"/>
      <c r="V4" s="3173" t="s">
        <v>2606</v>
      </c>
      <c r="W4" s="3173"/>
      <c r="X4" s="1815"/>
      <c r="Y4" s="3148" t="s">
        <v>2608</v>
      </c>
      <c r="Z4" s="3149"/>
      <c r="AA4" s="3143" t="s">
        <v>2604</v>
      </c>
      <c r="AB4" s="3144" t="s">
        <v>2605</v>
      </c>
      <c r="AC4" s="3143" t="s">
        <v>2606</v>
      </c>
    </row>
    <row r="5" spans="1:29" ht="15">
      <c r="A5" s="404"/>
      <c r="B5" s="405"/>
      <c r="C5" s="3154" t="s">
        <v>2500</v>
      </c>
      <c r="D5" s="3155"/>
      <c r="E5" s="3152" t="s">
        <v>2501</v>
      </c>
      <c r="F5" s="3153"/>
      <c r="G5" s="3154" t="s">
        <v>2502</v>
      </c>
      <c r="H5" s="3155"/>
      <c r="I5" s="3154" t="s">
        <v>2503</v>
      </c>
      <c r="J5" s="3155"/>
      <c r="K5" s="610"/>
      <c r="L5" s="1133"/>
      <c r="M5" s="1134"/>
      <c r="N5" s="1134"/>
      <c r="O5" s="1134"/>
      <c r="P5" s="3167"/>
      <c r="Q5" s="3168"/>
      <c r="R5" s="3150"/>
      <c r="S5" s="3151"/>
      <c r="T5" s="3150"/>
      <c r="U5" s="3151"/>
      <c r="V5" s="3173"/>
      <c r="W5" s="3173"/>
      <c r="X5" s="1815"/>
      <c r="Y5" s="3150"/>
      <c r="Z5" s="3151"/>
      <c r="AA5" s="3144"/>
      <c r="AB5" s="3144"/>
      <c r="AC5" s="3144"/>
    </row>
    <row r="6" spans="1:29" ht="15.75" thickBot="1">
      <c r="A6" s="406"/>
      <c r="B6" s="407"/>
      <c r="C6" s="3156" t="s">
        <v>2504</v>
      </c>
      <c r="D6" s="3157"/>
      <c r="E6" s="3158" t="s">
        <v>2504</v>
      </c>
      <c r="F6" s="3159"/>
      <c r="G6" s="3156" t="s">
        <v>2504</v>
      </c>
      <c r="H6" s="3157"/>
      <c r="I6" s="3156" t="s">
        <v>2504</v>
      </c>
      <c r="J6" s="3157"/>
      <c r="K6" s="610" t="s">
        <v>2505</v>
      </c>
      <c r="L6" s="1133"/>
      <c r="M6" s="1134"/>
      <c r="N6" s="1134"/>
      <c r="O6" s="1134"/>
      <c r="P6" s="3169"/>
      <c r="Q6" s="3170"/>
      <c r="R6" s="3150"/>
      <c r="S6" s="3151"/>
      <c r="T6" s="3171"/>
      <c r="U6" s="3172"/>
      <c r="V6" s="3173"/>
      <c r="W6" s="3173"/>
      <c r="X6" s="1815"/>
      <c r="Y6" s="3171"/>
      <c r="Z6" s="3172"/>
      <c r="AA6" s="3145"/>
      <c r="AB6" s="3145"/>
      <c r="AC6" s="3145"/>
    </row>
    <row r="7" spans="1:29" s="117" customFormat="1" ht="15.75" thickBot="1">
      <c r="A7" s="408" t="s">
        <v>2506</v>
      </c>
      <c r="B7" s="409"/>
      <c r="C7" s="410">
        <f>'数据-取费表'!B2</f>
        <v>43420</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46" t="s">
        <v>2507</v>
      </c>
      <c r="Q7" s="3174"/>
      <c r="R7" s="770" t="s">
        <v>17</v>
      </c>
      <c r="S7" s="771">
        <f t="shared" ref="S7:S14" si="0">F7</f>
        <v>0</v>
      </c>
      <c r="T7" s="770" t="s">
        <v>17</v>
      </c>
      <c r="U7" s="771">
        <f t="shared" ref="U7:U14" si="1">H7</f>
        <v>0</v>
      </c>
      <c r="V7" s="770" t="s">
        <v>17</v>
      </c>
      <c r="W7" s="771">
        <f t="shared" ref="W7:W14" si="2">J7</f>
        <v>0</v>
      </c>
      <c r="X7" s="772"/>
      <c r="Y7" s="3146" t="s">
        <v>2507</v>
      </c>
      <c r="Z7" s="3147"/>
      <c r="AA7" s="773" t="e">
        <f>D7/F7</f>
        <v>#DIV/0!</v>
      </c>
      <c r="AB7" s="773" t="e">
        <f>D7/H7</f>
        <v>#DIV/0!</v>
      </c>
      <c r="AC7" s="773" t="e">
        <f>D7/J7</f>
        <v>#DIV/0!</v>
      </c>
    </row>
    <row r="8" spans="1:29" s="117" customFormat="1" ht="15.75" thickBot="1">
      <c r="A8" s="408" t="s">
        <v>2508</v>
      </c>
      <c r="B8" s="409"/>
      <c r="C8" s="414" t="s">
        <v>2609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46" t="s">
        <v>2510</v>
      </c>
      <c r="Q8" s="3147"/>
      <c r="R8" s="770" t="s">
        <v>17</v>
      </c>
      <c r="S8" s="771">
        <f t="shared" si="0"/>
        <v>0</v>
      </c>
      <c r="T8" s="770" t="s">
        <v>17</v>
      </c>
      <c r="U8" s="771">
        <f t="shared" si="1"/>
        <v>0</v>
      </c>
      <c r="V8" s="770" t="s">
        <v>17</v>
      </c>
      <c r="W8" s="771">
        <f t="shared" si="2"/>
        <v>0</v>
      </c>
      <c r="X8" s="772"/>
      <c r="Y8" s="3146" t="s">
        <v>2510</v>
      </c>
      <c r="Z8" s="3147"/>
      <c r="AA8" s="773" t="e">
        <f t="shared" ref="AA8:AA34" si="3">D8/F8</f>
        <v>#DIV/0!</v>
      </c>
      <c r="AB8" s="773" t="e">
        <f t="shared" ref="AB8:AB34" si="4">D8/H8</f>
        <v>#DIV/0!</v>
      </c>
      <c r="AC8" s="773" t="e">
        <f t="shared" ref="AC8:AC34" si="5">D8/J8</f>
        <v>#DIV/0!</v>
      </c>
    </row>
    <row r="9" spans="1:29" s="117" customFormat="1">
      <c r="A9" s="415" t="s">
        <v>2511</v>
      </c>
      <c r="B9" s="71" t="s">
        <v>2512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0" t="s">
        <v>2513</v>
      </c>
      <c r="Q9" s="1797" t="str">
        <f t="shared" ref="Q9:Q14" si="6">B9</f>
        <v>用途</v>
      </c>
      <c r="R9" s="770" t="s">
        <v>17</v>
      </c>
      <c r="S9" s="771">
        <f t="shared" si="0"/>
        <v>100</v>
      </c>
      <c r="T9" s="770" t="s">
        <v>17</v>
      </c>
      <c r="U9" s="771">
        <f t="shared" si="1"/>
        <v>100</v>
      </c>
      <c r="V9" s="770" t="s">
        <v>17</v>
      </c>
      <c r="W9" s="771">
        <f t="shared" si="2"/>
        <v>100</v>
      </c>
      <c r="X9" s="772"/>
      <c r="Y9" s="3023" t="s">
        <v>2514</v>
      </c>
      <c r="Z9" s="55" t="str">
        <f t="shared" ref="Z9:Z14" si="7">Q9</f>
        <v>用途</v>
      </c>
      <c r="AA9" s="773">
        <f t="shared" si="3"/>
        <v>1</v>
      </c>
      <c r="AB9" s="773">
        <f t="shared" si="4"/>
        <v>1</v>
      </c>
      <c r="AC9" s="773">
        <f t="shared" si="5"/>
        <v>1</v>
      </c>
    </row>
    <row r="10" spans="1:29" s="427" customFormat="1" ht="27">
      <c r="A10" s="421"/>
      <c r="B10" s="422" t="s">
        <v>2515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0"/>
      <c r="Q10" s="1797"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0"/>
      <c r="Q11" s="1797">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0"/>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60"/>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2517</v>
      </c>
      <c r="B14" s="69" t="s">
        <v>2666</v>
      </c>
      <c r="C14" s="2693" t="str">
        <f>IF(B1="工业",估价对象房地状况!G4,估价对象房地状况!C6)</f>
        <v>估价对象周边道路状况较好、公共交通通达情况较好、停车便捷程度较好，周边有香河203、/20路等公交线路，综合评价交通便捷度较好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5" t="s">
        <v>2518</v>
      </c>
      <c r="Q14" s="1812" t="str">
        <f t="shared" si="6"/>
        <v>交通便捷度</v>
      </c>
      <c r="R14" s="774" t="s">
        <v>17</v>
      </c>
      <c r="S14" s="775">
        <f t="shared" si="0"/>
        <v>100</v>
      </c>
      <c r="T14" s="774" t="s">
        <v>17</v>
      </c>
      <c r="U14" s="775">
        <f t="shared" si="1"/>
        <v>100</v>
      </c>
      <c r="V14" s="774" t="s">
        <v>17</v>
      </c>
      <c r="W14" s="775">
        <f t="shared" si="2"/>
        <v>100</v>
      </c>
      <c r="X14" s="1815"/>
      <c r="Y14" s="3175" t="s">
        <v>2518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6"/>
      <c r="Q15" s="1812"/>
      <c r="R15" s="774"/>
      <c r="S15" s="775"/>
      <c r="T15" s="774"/>
      <c r="U15" s="775"/>
      <c r="V15" s="774"/>
      <c r="W15" s="775"/>
      <c r="X15" s="1815"/>
      <c r="Y15" s="3176"/>
      <c r="Z15" s="1816"/>
      <c r="AA15" s="1813">
        <v>1</v>
      </c>
      <c r="AB15" s="1813">
        <v>1</v>
      </c>
      <c r="AC15" s="1813">
        <v>1</v>
      </c>
    </row>
    <row r="16" spans="1:29" ht="42.75">
      <c r="A16" s="428"/>
      <c r="B16" s="451" t="s">
        <v>2645</v>
      </c>
      <c r="C16" s="2608"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6"/>
      <c r="Q16" s="1812" t="str">
        <f>B16</f>
        <v>公共配套设施</v>
      </c>
      <c r="R16" s="774" t="s">
        <v>17</v>
      </c>
      <c r="S16" s="775">
        <f>F16</f>
        <v>100</v>
      </c>
      <c r="T16" s="774" t="s">
        <v>17</v>
      </c>
      <c r="U16" s="775">
        <f>H16</f>
        <v>100</v>
      </c>
      <c r="V16" s="774" t="s">
        <v>17</v>
      </c>
      <c r="W16" s="775">
        <f>J16</f>
        <v>100</v>
      </c>
      <c r="X16" s="1815"/>
      <c r="Y16" s="3176"/>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76"/>
      <c r="Q17" s="1812"/>
      <c r="R17" s="774"/>
      <c r="S17" s="775"/>
      <c r="T17" s="774"/>
      <c r="U17" s="775"/>
      <c r="V17" s="774"/>
      <c r="W17" s="775"/>
      <c r="X17" s="1815"/>
      <c r="Y17" s="3176"/>
      <c r="Z17" s="1816"/>
      <c r="AA17" s="1813">
        <v>1</v>
      </c>
      <c r="AB17" s="1813">
        <v>1</v>
      </c>
      <c r="AC17" s="1813">
        <v>1</v>
      </c>
    </row>
    <row r="18" spans="1:29" ht="42.75">
      <c r="A18" s="428"/>
      <c r="B18" s="1387" t="s">
        <v>2646</v>
      </c>
      <c r="C18" s="2608"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6"/>
      <c r="Q18" s="1812" t="str">
        <f>B18</f>
        <v>基础设施水平</v>
      </c>
      <c r="R18" s="774" t="s">
        <v>17</v>
      </c>
      <c r="S18" s="775">
        <f>F18</f>
        <v>100</v>
      </c>
      <c r="T18" s="774" t="s">
        <v>17</v>
      </c>
      <c r="U18" s="775">
        <f>H18</f>
        <v>100</v>
      </c>
      <c r="V18" s="774" t="s">
        <v>17</v>
      </c>
      <c r="W18" s="775">
        <f>J18</f>
        <v>100</v>
      </c>
      <c r="X18" s="1815"/>
      <c r="Y18" s="3176"/>
      <c r="Z18" s="1816" t="str">
        <f>Q18</f>
        <v>基础设施水平</v>
      </c>
      <c r="AA18" s="1813">
        <f t="shared" ref="AA18" si="8">D18/F18</f>
        <v>1</v>
      </c>
      <c r="AB18" s="1813">
        <f t="shared" ref="AB18" si="9">D18/H18</f>
        <v>1</v>
      </c>
      <c r="AC18" s="1813">
        <f t="shared" ref="AC18" si="10">D18/J18</f>
        <v>1</v>
      </c>
    </row>
    <row r="19" spans="1:29" ht="15">
      <c r="A19" s="428"/>
      <c r="B19" s="1387"/>
      <c r="C19" s="2609"/>
      <c r="D19" s="450"/>
      <c r="E19" s="2609"/>
      <c r="F19" s="453"/>
      <c r="G19" s="2609"/>
      <c r="H19" s="448"/>
      <c r="I19" s="447"/>
      <c r="J19" s="448"/>
      <c r="K19" s="1386"/>
      <c r="L19" s="1143"/>
      <c r="M19" s="1134"/>
      <c r="N19" s="1134"/>
      <c r="O19" s="1142"/>
      <c r="P19" s="3176"/>
      <c r="Q19" s="1812"/>
      <c r="R19" s="774"/>
      <c r="S19" s="775"/>
      <c r="T19" s="774"/>
      <c r="U19" s="775"/>
      <c r="V19" s="774"/>
      <c r="W19" s="775"/>
      <c r="X19" s="1815"/>
      <c r="Y19" s="3176"/>
      <c r="Z19" s="1816"/>
      <c r="AA19" s="1813">
        <v>1</v>
      </c>
      <c r="AB19" s="1813">
        <v>1</v>
      </c>
      <c r="AC19" s="1813">
        <v>1</v>
      </c>
    </row>
    <row r="20" spans="1:29" ht="57">
      <c r="A20" s="428"/>
      <c r="B20" s="451" t="s">
        <v>2667</v>
      </c>
      <c r="C20" s="2608" t="str">
        <f>IF(B1="工业",估价对象房地状况!G7,估价对象房地状况!C9)</f>
        <v>区域自然环境较好，人文环境较好，周边有廊坊广播电视大学(香河县分校)、五一公园等；综合评价环境状况较好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6"/>
      <c r="Q20" s="1812" t="str">
        <f>B20</f>
        <v>自然及人文环境</v>
      </c>
      <c r="R20" s="774" t="s">
        <v>17</v>
      </c>
      <c r="S20" s="775">
        <f>F20</f>
        <v>100</v>
      </c>
      <c r="T20" s="774" t="s">
        <v>17</v>
      </c>
      <c r="U20" s="775">
        <f>H20</f>
        <v>100</v>
      </c>
      <c r="V20" s="774" t="s">
        <v>17</v>
      </c>
      <c r="W20" s="775">
        <f>J20</f>
        <v>100</v>
      </c>
      <c r="X20" s="1815"/>
      <c r="Y20" s="317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6"/>
      <c r="Q21" s="1812"/>
      <c r="R21" s="774"/>
      <c r="S21" s="775"/>
      <c r="T21" s="774"/>
      <c r="U21" s="775"/>
      <c r="V21" s="774"/>
      <c r="W21" s="775"/>
      <c r="X21" s="1815"/>
      <c r="Y21" s="3176"/>
      <c r="Z21" s="1816"/>
      <c r="AA21" s="1813">
        <v>1</v>
      </c>
      <c r="AB21" s="1813">
        <v>1</v>
      </c>
      <c r="AC21" s="1813">
        <v>1</v>
      </c>
    </row>
    <row r="22" spans="1:29" ht="15">
      <c r="A22" s="428"/>
      <c r="B22" s="451" t="s">
        <v>2668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6"/>
      <c r="Q22" s="1812" t="str">
        <f>B22</f>
        <v>楼层</v>
      </c>
      <c r="R22" s="774" t="s">
        <v>17</v>
      </c>
      <c r="S22" s="775">
        <f>F22</f>
        <v>100</v>
      </c>
      <c r="T22" s="774" t="s">
        <v>17</v>
      </c>
      <c r="U22" s="775">
        <f>H22</f>
        <v>100</v>
      </c>
      <c r="V22" s="774" t="s">
        <v>17</v>
      </c>
      <c r="W22" s="775">
        <f>J22</f>
        <v>100</v>
      </c>
      <c r="X22" s="1815"/>
      <c r="Y22" s="3176"/>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6"/>
      <c r="Q23" s="1812">
        <f>B23</f>
        <v>111</v>
      </c>
      <c r="R23" s="774" t="s">
        <v>17</v>
      </c>
      <c r="S23" s="775">
        <f>F23</f>
        <v>100</v>
      </c>
      <c r="T23" s="774" t="s">
        <v>17</v>
      </c>
      <c r="U23" s="775">
        <f>H23</f>
        <v>100</v>
      </c>
      <c r="V23" s="774" t="s">
        <v>17</v>
      </c>
      <c r="W23" s="775">
        <f>J23</f>
        <v>100</v>
      </c>
      <c r="X23" s="1815"/>
      <c r="Y23" s="3176"/>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6"/>
      <c r="Q24" s="1812">
        <f t="shared" ref="Q24:Q34" si="11">B24</f>
        <v>111</v>
      </c>
      <c r="R24" s="774" t="s">
        <v>17</v>
      </c>
      <c r="S24" s="775">
        <f>F24</f>
        <v>100</v>
      </c>
      <c r="T24" s="774" t="s">
        <v>17</v>
      </c>
      <c r="U24" s="775">
        <f>H24</f>
        <v>100</v>
      </c>
      <c r="V24" s="774" t="s">
        <v>17</v>
      </c>
      <c r="W24" s="775">
        <f>J24</f>
        <v>100</v>
      </c>
      <c r="X24" s="1815"/>
      <c r="Y24" s="3176"/>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76"/>
      <c r="Q25" s="1797">
        <f t="shared" si="11"/>
        <v>111</v>
      </c>
      <c r="R25" s="770" t="s">
        <v>17</v>
      </c>
      <c r="S25" s="771">
        <f>F25</f>
        <v>100</v>
      </c>
      <c r="T25" s="770" t="s">
        <v>17</v>
      </c>
      <c r="U25" s="771">
        <f>H25</f>
        <v>100</v>
      </c>
      <c r="V25" s="770" t="s">
        <v>17</v>
      </c>
      <c r="W25" s="771">
        <f>J25</f>
        <v>100</v>
      </c>
      <c r="X25" s="772"/>
      <c r="Y25" s="3176"/>
      <c r="Z25" s="55">
        <f>Q25</f>
        <v>111</v>
      </c>
      <c r="AA25" s="1813">
        <f>D25/F25</f>
        <v>1</v>
      </c>
      <c r="AB25" s="1813">
        <f>D25/H25</f>
        <v>1</v>
      </c>
      <c r="AC25" s="1813">
        <f>D25/J25</f>
        <v>1</v>
      </c>
    </row>
    <row r="26" spans="1:29" ht="15">
      <c r="A26" s="466" t="s">
        <v>2521</v>
      </c>
      <c r="B26" s="71" t="s">
        <v>2671</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177" t="s">
        <v>2523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8" t="s">
        <v>2523</v>
      </c>
      <c r="Z26" s="1816" t="str">
        <f t="shared" ref="Z26:Z34" si="15">Q26</f>
        <v>公共部分装修</v>
      </c>
      <c r="AA26" s="1813">
        <f t="shared" si="3"/>
        <v>1</v>
      </c>
      <c r="AB26" s="1813">
        <f t="shared" si="4"/>
        <v>1</v>
      </c>
      <c r="AC26" s="1813">
        <f t="shared" si="5"/>
        <v>1</v>
      </c>
    </row>
    <row r="27" spans="1:29" s="471" customFormat="1" ht="15">
      <c r="A27" s="468"/>
      <c r="B27" s="422" t="s">
        <v>2672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3" t="e">
        <f t="shared" si="3"/>
        <v>#N/A</v>
      </c>
      <c r="AB27" s="1813" t="e">
        <f t="shared" si="4"/>
        <v>#N/A</v>
      </c>
      <c r="AC27" s="1813" t="e">
        <f t="shared" si="5"/>
        <v>#N/A</v>
      </c>
    </row>
    <row r="28" spans="1:29" ht="15">
      <c r="A28" s="472"/>
      <c r="B28" s="422" t="s">
        <v>2673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2" t="str">
        <f t="shared" si="11"/>
        <v>物业等级</v>
      </c>
      <c r="R28" s="774" t="s">
        <v>17</v>
      </c>
      <c r="S28" s="775">
        <f t="shared" si="12"/>
        <v>100</v>
      </c>
      <c r="T28" s="774" t="s">
        <v>17</v>
      </c>
      <c r="U28" s="775">
        <f t="shared" si="13"/>
        <v>100</v>
      </c>
      <c r="V28" s="774" t="s">
        <v>17</v>
      </c>
      <c r="W28" s="775">
        <f t="shared" si="14"/>
        <v>100</v>
      </c>
      <c r="X28" s="1815"/>
      <c r="Y28" s="3178"/>
      <c r="Z28" s="1816" t="str">
        <f t="shared" si="15"/>
        <v>物业等级</v>
      </c>
      <c r="AA28" s="1813">
        <f t="shared" si="3"/>
        <v>1</v>
      </c>
      <c r="AB28" s="1813">
        <f t="shared" si="4"/>
        <v>1</v>
      </c>
      <c r="AC28" s="1813">
        <f t="shared" si="5"/>
        <v>1</v>
      </c>
    </row>
    <row r="29" spans="1:29" ht="15">
      <c r="A29" s="472"/>
      <c r="B29" s="422" t="s">
        <v>2694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2" t="str">
        <f t="shared" si="11"/>
        <v>有无电梯</v>
      </c>
      <c r="R29" s="774" t="s">
        <v>17</v>
      </c>
      <c r="S29" s="775">
        <f t="shared" si="12"/>
        <v>100</v>
      </c>
      <c r="T29" s="774" t="s">
        <v>17</v>
      </c>
      <c r="U29" s="775">
        <f t="shared" si="13"/>
        <v>100</v>
      </c>
      <c r="V29" s="774" t="s">
        <v>17</v>
      </c>
      <c r="W29" s="775">
        <f t="shared" si="14"/>
        <v>100</v>
      </c>
      <c r="X29" s="1815"/>
      <c r="Y29" s="3178"/>
      <c r="Z29" s="1816" t="str">
        <f t="shared" si="15"/>
        <v>有无电梯</v>
      </c>
      <c r="AA29" s="1813">
        <f t="shared" si="3"/>
        <v>1</v>
      </c>
      <c r="AB29" s="1813">
        <f t="shared" si="4"/>
        <v>1</v>
      </c>
      <c r="AC29" s="1813">
        <f t="shared" si="5"/>
        <v>1</v>
      </c>
    </row>
    <row r="30" spans="1:29" ht="15">
      <c r="A30" s="472"/>
      <c r="B30" s="422" t="s">
        <v>2695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2" t="str">
        <f t="shared" si="11"/>
        <v>建筑面积</v>
      </c>
      <c r="R30" s="774" t="s">
        <v>17</v>
      </c>
      <c r="S30" s="775" t="e">
        <f t="shared" si="12"/>
        <v>#N/A</v>
      </c>
      <c r="T30" s="774" t="s">
        <v>17</v>
      </c>
      <c r="U30" s="775" t="e">
        <f t="shared" si="13"/>
        <v>#N/A</v>
      </c>
      <c r="V30" s="774" t="s">
        <v>17</v>
      </c>
      <c r="W30" s="775" t="e">
        <f t="shared" si="14"/>
        <v>#N/A</v>
      </c>
      <c r="X30" s="1815"/>
      <c r="Y30" s="3178"/>
      <c r="Z30" s="1816" t="str">
        <f t="shared" si="15"/>
        <v>建筑面积</v>
      </c>
      <c r="AA30" s="1813" t="e">
        <f t="shared" si="3"/>
        <v>#N/A</v>
      </c>
      <c r="AB30" s="1813" t="e">
        <f t="shared" si="4"/>
        <v>#N/A</v>
      </c>
      <c r="AC30" s="1813" t="e">
        <f t="shared" si="5"/>
        <v>#N/A</v>
      </c>
    </row>
    <row r="31" spans="1:29" s="117" customFormat="1" ht="15">
      <c r="A31" s="473"/>
      <c r="B31" s="422" t="s">
        <v>2696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7"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2523</v>
      </c>
      <c r="Q32" s="1812">
        <f t="shared" si="11"/>
        <v>111</v>
      </c>
      <c r="R32" s="774" t="s">
        <v>17</v>
      </c>
      <c r="S32" s="775">
        <f t="shared" si="12"/>
        <v>100</v>
      </c>
      <c r="T32" s="774" t="s">
        <v>17</v>
      </c>
      <c r="U32" s="775">
        <f t="shared" si="13"/>
        <v>100</v>
      </c>
      <c r="V32" s="774" t="s">
        <v>17</v>
      </c>
      <c r="W32" s="775">
        <f t="shared" si="14"/>
        <v>100</v>
      </c>
      <c r="X32" s="1815"/>
      <c r="Y32" s="3178" t="s">
        <v>2523</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2">
        <f t="shared" si="11"/>
        <v>111</v>
      </c>
      <c r="R33" s="774" t="s">
        <v>17</v>
      </c>
      <c r="S33" s="775">
        <f t="shared" si="12"/>
        <v>100</v>
      </c>
      <c r="T33" s="774" t="s">
        <v>17</v>
      </c>
      <c r="U33" s="775">
        <f t="shared" si="13"/>
        <v>100</v>
      </c>
      <c r="V33" s="774" t="s">
        <v>17</v>
      </c>
      <c r="W33" s="775">
        <f t="shared" si="14"/>
        <v>100</v>
      </c>
      <c r="X33" s="1815"/>
      <c r="Y33" s="3178"/>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78"/>
      <c r="Q34" s="1812">
        <f t="shared" si="11"/>
        <v>111</v>
      </c>
      <c r="R34" s="774" t="s">
        <v>17</v>
      </c>
      <c r="S34" s="775">
        <f t="shared" si="12"/>
        <v>100</v>
      </c>
      <c r="T34" s="774" t="s">
        <v>17</v>
      </c>
      <c r="U34" s="775">
        <f t="shared" si="13"/>
        <v>100</v>
      </c>
      <c r="V34" s="774" t="s">
        <v>17</v>
      </c>
      <c r="W34" s="775">
        <f t="shared" si="14"/>
        <v>100</v>
      </c>
      <c r="X34" s="1815"/>
      <c r="Y34" s="3178"/>
      <c r="Z34" s="1816">
        <f t="shared" si="15"/>
        <v>111</v>
      </c>
      <c r="AA34" s="1813">
        <f t="shared" si="3"/>
        <v>1</v>
      </c>
      <c r="AB34" s="1813">
        <f t="shared" si="4"/>
        <v>1</v>
      </c>
      <c r="AC34" s="1813">
        <f t="shared" si="5"/>
        <v>1</v>
      </c>
    </row>
    <row r="35" spans="1:29" ht="15">
      <c r="A35" s="479" t="s">
        <v>2535</v>
      </c>
      <c r="B35" s="480"/>
      <c r="C35" s="1410" t="s">
        <v>1</v>
      </c>
      <c r="D35" s="1411"/>
      <c r="E35" s="1412"/>
      <c r="F35" s="1413"/>
      <c r="G35" s="1414"/>
      <c r="H35" s="1415"/>
      <c r="I35" s="1412"/>
      <c r="J35" s="1415"/>
      <c r="K35" s="783"/>
      <c r="L35" s="1146"/>
      <c r="M35" s="1147"/>
      <c r="N35" s="1134"/>
      <c r="O35" s="1147"/>
      <c r="P35" s="3160" t="str">
        <f>A35</f>
        <v>成交单价（元/平方米）</v>
      </c>
      <c r="Q35" s="3160"/>
      <c r="R35" s="3217">
        <f>E35</f>
        <v>0</v>
      </c>
      <c r="S35" s="3217"/>
      <c r="T35" s="3217">
        <f>G35</f>
        <v>0</v>
      </c>
      <c r="U35" s="3217"/>
      <c r="V35" s="3217">
        <f>I35</f>
        <v>0</v>
      </c>
      <c r="W35" s="3217"/>
      <c r="X35" s="759"/>
      <c r="Y35" s="781"/>
      <c r="Z35" s="759"/>
      <c r="AA35" s="759"/>
      <c r="AB35" s="759"/>
      <c r="AC35" s="759"/>
    </row>
    <row r="36" spans="1:29" ht="15.75" thickBot="1">
      <c r="A36" s="486" t="s">
        <v>2626</v>
      </c>
      <c r="B36" s="487"/>
      <c r="C36" s="1416" t="e">
        <f>R37</f>
        <v>#DIV/0!</v>
      </c>
      <c r="D36" s="1417"/>
      <c r="E36" s="1418" t="e">
        <f>R36</f>
        <v>#DIV/0!</v>
      </c>
      <c r="F36" s="1418"/>
      <c r="G36" s="1416" t="e">
        <f>T36</f>
        <v>#DIV/0!</v>
      </c>
      <c r="H36" s="1417"/>
      <c r="I36" s="1418" t="e">
        <f>V36</f>
        <v>#DIV/0!</v>
      </c>
      <c r="J36" s="1417"/>
      <c r="K36" s="784"/>
      <c r="L36" s="1146"/>
      <c r="M36" s="1147"/>
      <c r="N36" s="1134"/>
      <c r="O36" s="1147"/>
      <c r="P36" s="3160" t="str">
        <f>A36</f>
        <v>比较价值（元/平方米）</v>
      </c>
      <c r="Q36" s="3160"/>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9"/>
      <c r="Y36" s="759"/>
      <c r="Z36" s="759"/>
      <c r="AA36" s="759"/>
      <c r="AB36" s="759"/>
      <c r="AC36" s="759"/>
    </row>
    <row r="37" spans="1:29" ht="15.75" thickBot="1">
      <c r="A37" s="492" t="s">
        <v>2627</v>
      </c>
      <c r="B37" s="493"/>
      <c r="C37" s="1420" t="e">
        <f>R37</f>
        <v>#DIV/0!</v>
      </c>
      <c r="D37" s="1420"/>
      <c r="E37" s="1420"/>
      <c r="F37" s="1420"/>
      <c r="G37" s="1420"/>
      <c r="H37" s="1420"/>
      <c r="I37" s="1420"/>
      <c r="J37" s="1420"/>
      <c r="K37" s="785"/>
      <c r="L37" s="1146"/>
      <c r="M37" s="1147"/>
      <c r="N37" s="1147"/>
      <c r="O37" s="1147"/>
      <c r="P37" s="3180" t="str">
        <f>A37</f>
        <v>估价对象XX用房的比较价值（楼面单价，元/平方米）</v>
      </c>
      <c r="Q37" s="3181"/>
      <c r="R37" s="3216" t="e">
        <f>IF(F1="售价",ROUND(AVERAGE(R36:V36),0),ROUND(AVERAGE(R36:V36),1))</f>
        <v>#DIV/0!</v>
      </c>
      <c r="S37" s="3216"/>
      <c r="T37" s="3216"/>
      <c r="U37" s="3216"/>
      <c r="V37" s="3216"/>
      <c r="W37" s="321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2630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2631</v>
      </c>
      <c r="B45" s="759"/>
      <c r="C45" s="764"/>
      <c r="D45" s="764"/>
      <c r="E45" s="764"/>
      <c r="F45" s="765"/>
      <c r="G45" s="765"/>
      <c r="H45" s="764"/>
      <c r="I45" s="764"/>
      <c r="J45" s="764"/>
      <c r="K45" s="766"/>
      <c r="L45" s="767"/>
      <c r="M45" s="764"/>
      <c r="N45" s="764"/>
      <c r="O45" s="764"/>
      <c r="P45" s="503"/>
      <c r="Q45" s="504"/>
    </row>
    <row r="46" spans="1:29" s="508" customFormat="1" ht="15">
      <c r="A46" s="505" t="s">
        <v>2506</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2542</v>
      </c>
      <c r="B48" s="516"/>
      <c r="C48" s="517"/>
      <c r="D48" s="518"/>
      <c r="E48" s="518"/>
      <c r="F48" s="518"/>
      <c r="G48" s="518"/>
      <c r="H48" s="518"/>
      <c r="I48" s="518"/>
      <c r="J48" s="518"/>
      <c r="K48" s="518"/>
      <c r="L48" s="518"/>
      <c r="M48" s="519"/>
      <c r="N48" s="518"/>
      <c r="O48" s="520"/>
      <c r="P48" s="504"/>
      <c r="Q48" s="504"/>
    </row>
    <row r="49" spans="1:17" s="117" customFormat="1" ht="15">
      <c r="A49" s="521" t="s">
        <v>2508</v>
      </c>
      <c r="B49" s="510"/>
      <c r="C49" s="522" t="s">
        <v>2609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2545</v>
      </c>
      <c r="B51" s="528" t="s">
        <v>2512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2515</v>
      </c>
      <c r="C53" s="539" t="s">
        <v>2546</v>
      </c>
      <c r="D53" s="539" t="s">
        <v>2547</v>
      </c>
      <c r="E53" s="539" t="s">
        <v>2548</v>
      </c>
      <c r="F53" s="539" t="s">
        <v>2549</v>
      </c>
      <c r="G53" s="539" t="s">
        <v>2550</v>
      </c>
      <c r="H53" s="539" t="s">
        <v>2551</v>
      </c>
      <c r="I53" s="539" t="s">
        <v>2552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2517</v>
      </c>
      <c r="B61" s="528" t="s">
        <v>2559</v>
      </c>
      <c r="C61" s="573" t="s">
        <v>2554</v>
      </c>
      <c r="D61" s="573" t="s">
        <v>2555</v>
      </c>
      <c r="E61" s="573" t="s">
        <v>2556</v>
      </c>
      <c r="F61" s="573" t="s">
        <v>2557</v>
      </c>
      <c r="G61" s="573" t="s">
        <v>2558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2697</v>
      </c>
      <c r="C63" s="578" t="s">
        <v>2554</v>
      </c>
      <c r="D63" s="578" t="s">
        <v>2555</v>
      </c>
      <c r="E63" s="578" t="s">
        <v>2556</v>
      </c>
      <c r="F63" s="578" t="s">
        <v>2557</v>
      </c>
      <c r="G63" s="578" t="s">
        <v>2558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2646</v>
      </c>
      <c r="C65" s="660" t="s">
        <v>2632</v>
      </c>
      <c r="D65" s="660" t="s">
        <v>2633</v>
      </c>
      <c r="E65" s="660" t="s">
        <v>2634</v>
      </c>
      <c r="F65" s="660" t="s">
        <v>2635</v>
      </c>
      <c r="G65" s="660" t="s">
        <v>2636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2566</v>
      </c>
      <c r="C67" s="578" t="s">
        <v>2554</v>
      </c>
      <c r="D67" s="578" t="s">
        <v>2555</v>
      </c>
      <c r="E67" s="578" t="s">
        <v>2556</v>
      </c>
      <c r="F67" s="578" t="s">
        <v>2557</v>
      </c>
      <c r="G67" s="578" t="s">
        <v>2558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2521</v>
      </c>
      <c r="B77" s="528" t="s">
        <v>2573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2690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2700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2701</v>
      </c>
      <c r="B1" s="395"/>
      <c r="C1" s="396" t="s">
        <v>2751</v>
      </c>
      <c r="D1" s="755"/>
      <c r="E1" s="755"/>
      <c r="F1" s="754" t="s">
        <v>2600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ROUND(IF(D3="",B2*10000/'数据-汇总表'!E3,B2*10000/D3),0)</f>
        <v>#DIV/0!</v>
      </c>
      <c r="C3" s="247" t="s">
        <v>2703</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61" t="s">
        <v>2603</v>
      </c>
      <c r="D4" s="3162"/>
      <c r="E4" s="3163" t="s">
        <v>2604</v>
      </c>
      <c r="F4" s="3164"/>
      <c r="G4" s="3161" t="s">
        <v>2605</v>
      </c>
      <c r="H4" s="3162"/>
      <c r="I4" s="3161" t="s">
        <v>2606</v>
      </c>
      <c r="J4" s="3162"/>
      <c r="K4" s="610" t="s">
        <v>2607</v>
      </c>
      <c r="L4" s="1133"/>
      <c r="M4" s="1134"/>
      <c r="N4" s="1134"/>
      <c r="O4" s="1134"/>
      <c r="P4" s="3165" t="s">
        <v>2608</v>
      </c>
      <c r="Q4" s="3166"/>
      <c r="R4" s="3148" t="s">
        <v>2604</v>
      </c>
      <c r="S4" s="3149"/>
      <c r="T4" s="3148" t="s">
        <v>2605</v>
      </c>
      <c r="U4" s="3149"/>
      <c r="V4" s="3173" t="s">
        <v>2606</v>
      </c>
      <c r="W4" s="3173"/>
      <c r="X4" s="1815"/>
      <c r="Y4" s="3148" t="s">
        <v>2608</v>
      </c>
      <c r="Z4" s="3149"/>
      <c r="AA4" s="3143" t="s">
        <v>2604</v>
      </c>
      <c r="AB4" s="3144" t="s">
        <v>2605</v>
      </c>
      <c r="AC4" s="3143" t="s">
        <v>2606</v>
      </c>
    </row>
    <row r="5" spans="1:29" ht="15">
      <c r="A5" s="404"/>
      <c r="B5" s="405"/>
      <c r="C5" s="3154" t="s">
        <v>2500</v>
      </c>
      <c r="D5" s="3155"/>
      <c r="E5" s="3152" t="s">
        <v>2501</v>
      </c>
      <c r="F5" s="3153"/>
      <c r="G5" s="3154" t="s">
        <v>2502</v>
      </c>
      <c r="H5" s="3155"/>
      <c r="I5" s="3154" t="s">
        <v>2503</v>
      </c>
      <c r="J5" s="3155"/>
      <c r="K5" s="610"/>
      <c r="L5" s="1133"/>
      <c r="M5" s="1134"/>
      <c r="N5" s="1134"/>
      <c r="O5" s="1134"/>
      <c r="P5" s="3167"/>
      <c r="Q5" s="3168"/>
      <c r="R5" s="3150"/>
      <c r="S5" s="3151"/>
      <c r="T5" s="3150"/>
      <c r="U5" s="3151"/>
      <c r="V5" s="3173"/>
      <c r="W5" s="3173"/>
      <c r="X5" s="1815"/>
      <c r="Y5" s="3150"/>
      <c r="Z5" s="3151"/>
      <c r="AA5" s="3144"/>
      <c r="AB5" s="3144"/>
      <c r="AC5" s="3144"/>
    </row>
    <row r="6" spans="1:29" ht="15.75" thickBot="1">
      <c r="A6" s="406"/>
      <c r="B6" s="407"/>
      <c r="C6" s="3239" t="s">
        <v>2752</v>
      </c>
      <c r="D6" s="3240"/>
      <c r="E6" s="3241" t="s">
        <v>2752</v>
      </c>
      <c r="F6" s="3242"/>
      <c r="G6" s="3239" t="s">
        <v>2752</v>
      </c>
      <c r="H6" s="3240"/>
      <c r="I6" s="3239" t="s">
        <v>2752</v>
      </c>
      <c r="J6" s="3240"/>
      <c r="K6" s="610" t="s">
        <v>2505</v>
      </c>
      <c r="L6" s="1133"/>
      <c r="M6" s="1134"/>
      <c r="N6" s="1134"/>
      <c r="O6" s="1134"/>
      <c r="P6" s="3169"/>
      <c r="Q6" s="3170"/>
      <c r="R6" s="3150"/>
      <c r="S6" s="3151"/>
      <c r="T6" s="3171"/>
      <c r="U6" s="3172"/>
      <c r="V6" s="3173"/>
      <c r="W6" s="3173"/>
      <c r="X6" s="1815"/>
      <c r="Y6" s="3171"/>
      <c r="Z6" s="3172"/>
      <c r="AA6" s="3145"/>
      <c r="AB6" s="3145"/>
      <c r="AC6" s="3145"/>
    </row>
    <row r="7" spans="1:29" s="117" customFormat="1" ht="15.75" thickBot="1">
      <c r="A7" s="408" t="s">
        <v>2506</v>
      </c>
      <c r="B7" s="409"/>
      <c r="C7" s="410">
        <f>'数据-取费表'!B2</f>
        <v>43420</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46" t="s">
        <v>2507</v>
      </c>
      <c r="Q7" s="3174"/>
      <c r="R7" s="770" t="s">
        <v>17</v>
      </c>
      <c r="S7" s="771">
        <f t="shared" ref="S7:S15" si="0">F7</f>
        <v>0</v>
      </c>
      <c r="T7" s="770" t="s">
        <v>17</v>
      </c>
      <c r="U7" s="771">
        <f t="shared" ref="U7:U15" si="1">H7</f>
        <v>0</v>
      </c>
      <c r="V7" s="770" t="s">
        <v>17</v>
      </c>
      <c r="W7" s="771">
        <f t="shared" ref="W7:W15" si="2">J7</f>
        <v>0</v>
      </c>
      <c r="X7" s="772"/>
      <c r="Y7" s="3146" t="s">
        <v>2507</v>
      </c>
      <c r="Z7" s="3147"/>
      <c r="AA7" s="773" t="e">
        <f>D7/F7</f>
        <v>#DIV/0!</v>
      </c>
      <c r="AB7" s="773" t="e">
        <f>D7/H7</f>
        <v>#DIV/0!</v>
      </c>
      <c r="AC7" s="773" t="e">
        <f>D7/J7</f>
        <v>#DIV/0!</v>
      </c>
    </row>
    <row r="8" spans="1:29" s="117" customFormat="1" ht="15.75" thickBot="1">
      <c r="A8" s="408" t="s">
        <v>2508</v>
      </c>
      <c r="B8" s="409"/>
      <c r="C8" s="414" t="s">
        <v>2509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46" t="s">
        <v>2510</v>
      </c>
      <c r="Q8" s="3147"/>
      <c r="R8" s="770" t="s">
        <v>17</v>
      </c>
      <c r="S8" s="771">
        <f t="shared" si="0"/>
        <v>0</v>
      </c>
      <c r="T8" s="770" t="s">
        <v>17</v>
      </c>
      <c r="U8" s="771">
        <f t="shared" si="1"/>
        <v>0</v>
      </c>
      <c r="V8" s="770" t="s">
        <v>17</v>
      </c>
      <c r="W8" s="771">
        <f t="shared" si="2"/>
        <v>0</v>
      </c>
      <c r="X8" s="772"/>
      <c r="Y8" s="3146" t="s">
        <v>2510</v>
      </c>
      <c r="Z8" s="3147"/>
      <c r="AA8" s="773" t="e">
        <f t="shared" ref="AA8:AA40" si="3">D8/F8</f>
        <v>#DIV/0!</v>
      </c>
      <c r="AB8" s="773" t="e">
        <f t="shared" ref="AB8:AB40" si="4">D8/H8</f>
        <v>#DIV/0!</v>
      </c>
      <c r="AC8" s="773" t="e">
        <f t="shared" ref="AC8:AC40" si="5">D8/J8</f>
        <v>#DIV/0!</v>
      </c>
    </row>
    <row r="9" spans="1:29" s="117" customFormat="1">
      <c r="A9" s="415" t="s">
        <v>2511</v>
      </c>
      <c r="B9" s="71" t="s">
        <v>2512</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60" t="s">
        <v>2513</v>
      </c>
      <c r="Q9" s="1797" t="str">
        <f t="shared" ref="Q9:Q15" si="6">B9</f>
        <v>用途</v>
      </c>
      <c r="R9" s="770" t="s">
        <v>17</v>
      </c>
      <c r="S9" s="771">
        <f t="shared" si="0"/>
        <v>100</v>
      </c>
      <c r="T9" s="770" t="s">
        <v>17</v>
      </c>
      <c r="U9" s="771">
        <f t="shared" si="1"/>
        <v>100</v>
      </c>
      <c r="V9" s="770" t="s">
        <v>17</v>
      </c>
      <c r="W9" s="771">
        <f t="shared" si="2"/>
        <v>100</v>
      </c>
      <c r="X9" s="772"/>
      <c r="Y9" s="3023" t="s">
        <v>2514</v>
      </c>
      <c r="Z9" s="55" t="str">
        <f t="shared" ref="Z9:Z15" si="7">Q9</f>
        <v>用途</v>
      </c>
      <c r="AA9" s="773">
        <f t="shared" si="3"/>
        <v>1</v>
      </c>
      <c r="AB9" s="773">
        <f t="shared" si="4"/>
        <v>1</v>
      </c>
      <c r="AC9" s="773">
        <f t="shared" si="5"/>
        <v>1</v>
      </c>
    </row>
    <row r="10" spans="1:29" s="427" customFormat="1" ht="27">
      <c r="A10" s="421"/>
      <c r="B10" s="422" t="s">
        <v>2515</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160"/>
      <c r="Q10" s="1797" t="str">
        <f t="shared" si="6"/>
        <v>土地使用年限（年）</v>
      </c>
      <c r="R10" s="770" t="s">
        <v>17</v>
      </c>
      <c r="S10" s="771">
        <f t="shared" si="0"/>
        <v>101</v>
      </c>
      <c r="T10" s="770" t="s">
        <v>17</v>
      </c>
      <c r="U10" s="771">
        <f t="shared" si="1"/>
        <v>101</v>
      </c>
      <c r="V10" s="770" t="s">
        <v>17</v>
      </c>
      <c r="W10" s="771">
        <f t="shared" si="2"/>
        <v>101</v>
      </c>
      <c r="X10" s="772"/>
      <c r="Y10" s="3023"/>
      <c r="Z10" s="55" t="str">
        <f t="shared" si="7"/>
        <v>土地使用年限（年）</v>
      </c>
      <c r="AA10" s="773">
        <f t="shared" si="3"/>
        <v>0.99009900990099009</v>
      </c>
      <c r="AB10" s="773">
        <f t="shared" si="4"/>
        <v>0.99009900990099009</v>
      </c>
      <c r="AC10" s="773">
        <f t="shared" si="5"/>
        <v>0.99009900990099009</v>
      </c>
    </row>
    <row r="11" spans="1:29" ht="15">
      <c r="A11" s="428"/>
      <c r="B11" s="422" t="s">
        <v>2516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0"/>
      <c r="Q11" s="1797"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0"/>
      <c r="Q12" s="1797">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0"/>
      <c r="Q13" s="1797">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0"/>
      <c r="Q14" s="1797">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2517</v>
      </c>
      <c r="B15" s="629" t="s">
        <v>2753</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5" t="s">
        <v>2518</v>
      </c>
      <c r="Q15" s="1812" t="str">
        <f t="shared" si="6"/>
        <v>产业集聚程度</v>
      </c>
      <c r="R15" s="774" t="s">
        <v>17</v>
      </c>
      <c r="S15" s="775">
        <f t="shared" si="0"/>
        <v>100</v>
      </c>
      <c r="T15" s="774" t="s">
        <v>17</v>
      </c>
      <c r="U15" s="775">
        <f t="shared" si="1"/>
        <v>100</v>
      </c>
      <c r="V15" s="774" t="s">
        <v>17</v>
      </c>
      <c r="W15" s="775">
        <f t="shared" si="2"/>
        <v>100</v>
      </c>
      <c r="X15" s="1815"/>
      <c r="Y15" s="3175" t="s">
        <v>2518</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76"/>
      <c r="Q16" s="1812"/>
      <c r="R16" s="774"/>
      <c r="S16" s="775"/>
      <c r="T16" s="774"/>
      <c r="U16" s="775"/>
      <c r="V16" s="774"/>
      <c r="W16" s="775"/>
      <c r="X16" s="1815"/>
      <c r="Y16" s="3176"/>
      <c r="Z16" s="1816"/>
      <c r="AA16" s="1813">
        <v>1</v>
      </c>
      <c r="AB16" s="1813">
        <v>1</v>
      </c>
      <c r="AC16" s="1813">
        <v>1</v>
      </c>
    </row>
    <row r="17" spans="1:29" ht="15">
      <c r="A17" s="428"/>
      <c r="B17" s="631" t="s">
        <v>2666</v>
      </c>
      <c r="C17" s="2608">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6"/>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76"/>
      <c r="Q18" s="1812"/>
      <c r="R18" s="774"/>
      <c r="S18" s="775"/>
      <c r="T18" s="774"/>
      <c r="U18" s="775"/>
      <c r="V18" s="774"/>
      <c r="W18" s="775"/>
      <c r="X18" s="1815"/>
      <c r="Y18" s="3176"/>
      <c r="Z18" s="1816"/>
      <c r="AA18" s="1813">
        <v>1</v>
      </c>
      <c r="AB18" s="1813">
        <v>1</v>
      </c>
      <c r="AC18" s="1813">
        <v>1</v>
      </c>
    </row>
    <row r="19" spans="1:29" ht="15">
      <c r="A19" s="428"/>
      <c r="B19" s="631" t="s">
        <v>2704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6"/>
      <c r="Q19" s="1812" t="str">
        <f t="shared" ref="Q19:Q33" si="8">B19</f>
        <v>区域土地利用方向</v>
      </c>
      <c r="R19" s="774" t="s">
        <v>17</v>
      </c>
      <c r="S19" s="775">
        <f>F19</f>
        <v>100</v>
      </c>
      <c r="T19" s="774" t="s">
        <v>17</v>
      </c>
      <c r="U19" s="775">
        <f>H19</f>
        <v>100</v>
      </c>
      <c r="V19" s="774" t="s">
        <v>17</v>
      </c>
      <c r="W19" s="775">
        <f>J19</f>
        <v>100</v>
      </c>
      <c r="X19" s="1815"/>
      <c r="Y19" s="3176"/>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76"/>
      <c r="Q20" s="1812"/>
      <c r="R20" s="774"/>
      <c r="S20" s="775"/>
      <c r="T20" s="774"/>
      <c r="U20" s="775"/>
      <c r="V20" s="774"/>
      <c r="W20" s="775"/>
      <c r="X20" s="1815"/>
      <c r="Y20" s="3176"/>
      <c r="Z20" s="1816"/>
      <c r="AA20" s="1813"/>
      <c r="AB20" s="1813"/>
      <c r="AC20" s="1813"/>
    </row>
    <row r="21" spans="1:29" ht="15">
      <c r="A21" s="404"/>
      <c r="B21" s="631" t="s">
        <v>2754</v>
      </c>
      <c r="C21" s="2608">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6"/>
      <c r="Q21" s="1812" t="str">
        <f t="shared" si="8"/>
        <v>环境状况</v>
      </c>
      <c r="R21" s="774" t="s">
        <v>17</v>
      </c>
      <c r="S21" s="775">
        <f>F21</f>
        <v>100</v>
      </c>
      <c r="T21" s="774" t="s">
        <v>17</v>
      </c>
      <c r="U21" s="775">
        <f>H21</f>
        <v>100</v>
      </c>
      <c r="V21" s="774" t="s">
        <v>17</v>
      </c>
      <c r="W21" s="775">
        <f>J21</f>
        <v>100</v>
      </c>
      <c r="X21" s="1815"/>
      <c r="Y21" s="3176"/>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76"/>
      <c r="Q22" s="1812"/>
      <c r="R22" s="774"/>
      <c r="S22" s="775"/>
      <c r="T22" s="774"/>
      <c r="U22" s="775"/>
      <c r="V22" s="774"/>
      <c r="W22" s="775"/>
      <c r="X22" s="1815"/>
      <c r="Y22" s="3176"/>
      <c r="Z22" s="1816"/>
      <c r="AA22" s="1813">
        <v>1</v>
      </c>
      <c r="AB22" s="1813">
        <v>1</v>
      </c>
      <c r="AC22" s="1813">
        <v>1</v>
      </c>
    </row>
    <row r="23" spans="1:29" s="117" customFormat="1" ht="15">
      <c r="A23" s="649"/>
      <c r="B23" s="633" t="s">
        <v>2611</v>
      </c>
      <c r="C23" s="2608">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6"/>
      <c r="Q23" s="1797" t="str">
        <f t="shared" si="8"/>
        <v>公共配套设施</v>
      </c>
      <c r="R23" s="770" t="s">
        <v>17</v>
      </c>
      <c r="S23" s="771">
        <f>F23</f>
        <v>100</v>
      </c>
      <c r="T23" s="770" t="s">
        <v>17</v>
      </c>
      <c r="U23" s="771">
        <f>H23</f>
        <v>100</v>
      </c>
      <c r="V23" s="770" t="s">
        <v>17</v>
      </c>
      <c r="W23" s="771">
        <f>J23</f>
        <v>100</v>
      </c>
      <c r="X23" s="772"/>
      <c r="Y23" s="3176"/>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5"/>
      <c r="M24" s="1136"/>
      <c r="N24" s="1136"/>
      <c r="O24" s="1137"/>
      <c r="P24" s="3176"/>
      <c r="Q24" s="1797"/>
      <c r="R24" s="770"/>
      <c r="S24" s="771"/>
      <c r="T24" s="770"/>
      <c r="U24" s="771"/>
      <c r="V24" s="770"/>
      <c r="W24" s="771"/>
      <c r="X24" s="772"/>
      <c r="Y24" s="3176"/>
      <c r="Z24" s="55"/>
      <c r="AA24" s="773">
        <v>1</v>
      </c>
      <c r="AB24" s="773">
        <v>1</v>
      </c>
      <c r="AC24" s="773">
        <v>1</v>
      </c>
    </row>
    <row r="25" spans="1:29" s="117" customFormat="1" ht="15">
      <c r="A25" s="649"/>
      <c r="B25" s="633" t="s">
        <v>2612</v>
      </c>
      <c r="C25" s="2608">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6"/>
      <c r="Q25" s="1797"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176"/>
      <c r="Q26" s="1797"/>
      <c r="R26" s="770"/>
      <c r="S26" s="771"/>
      <c r="T26" s="770"/>
      <c r="U26" s="771"/>
      <c r="V26" s="770"/>
      <c r="W26" s="771"/>
      <c r="X26" s="772"/>
      <c r="Y26" s="3176"/>
      <c r="Z26" s="55"/>
      <c r="AA26" s="773">
        <v>1</v>
      </c>
      <c r="AB26" s="773">
        <v>1</v>
      </c>
      <c r="AC26" s="773">
        <v>1</v>
      </c>
    </row>
    <row r="27" spans="1:29" ht="15">
      <c r="A27" s="428"/>
      <c r="B27" s="632" t="s">
        <v>2613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6"/>
      <c r="Z27" s="1816" t="str">
        <f t="shared" ref="Z27:Z40" si="13">Q27</f>
        <v>临街状况</v>
      </c>
      <c r="AA27" s="1813">
        <f t="shared" si="3"/>
        <v>1</v>
      </c>
      <c r="AB27" s="1813">
        <f t="shared" si="4"/>
        <v>1</v>
      </c>
      <c r="AC27" s="1813">
        <f t="shared" si="5"/>
        <v>1</v>
      </c>
    </row>
    <row r="28" spans="1:29" ht="27">
      <c r="A28" s="428"/>
      <c r="B28" s="633" t="s">
        <v>2648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6"/>
      <c r="Q28" s="1812" t="str">
        <f t="shared" si="8"/>
        <v>毗邻道路的类型与等级</v>
      </c>
      <c r="R28" s="774" t="s">
        <v>17</v>
      </c>
      <c r="S28" s="775">
        <f t="shared" si="10"/>
        <v>100</v>
      </c>
      <c r="T28" s="774" t="s">
        <v>17</v>
      </c>
      <c r="U28" s="775">
        <f t="shared" si="11"/>
        <v>100</v>
      </c>
      <c r="V28" s="774" t="s">
        <v>17</v>
      </c>
      <c r="W28" s="775">
        <f t="shared" si="12"/>
        <v>100</v>
      </c>
      <c r="X28" s="1815"/>
      <c r="Y28" s="3176"/>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76"/>
      <c r="Q29" s="1812"/>
      <c r="R29" s="774"/>
      <c r="S29" s="775"/>
      <c r="T29" s="774"/>
      <c r="U29" s="775"/>
      <c r="V29" s="774"/>
      <c r="W29" s="775"/>
      <c r="X29" s="1815"/>
      <c r="Y29" s="3176"/>
      <c r="Z29" s="1816"/>
      <c r="AA29" s="1813">
        <v>1</v>
      </c>
      <c r="AB29" s="1813">
        <v>1</v>
      </c>
      <c r="AC29" s="1813">
        <v>1</v>
      </c>
    </row>
    <row r="30" spans="1:29" ht="15">
      <c r="A30" s="428"/>
      <c r="B30" s="654" t="s">
        <v>2706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6"/>
      <c r="Q30" s="1812" t="str">
        <f t="shared" si="8"/>
        <v>土地级别</v>
      </c>
      <c r="R30" s="774" t="s">
        <v>17</v>
      </c>
      <c r="S30" s="775">
        <f t="shared" si="10"/>
        <v>100</v>
      </c>
      <c r="T30" s="774" t="s">
        <v>17</v>
      </c>
      <c r="U30" s="775">
        <f t="shared" si="11"/>
        <v>100</v>
      </c>
      <c r="V30" s="774" t="s">
        <v>17</v>
      </c>
      <c r="W30" s="775">
        <f t="shared" si="12"/>
        <v>100</v>
      </c>
      <c r="X30" s="1815"/>
      <c r="Y30" s="3176"/>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6"/>
      <c r="Q31" s="1812">
        <f t="shared" si="8"/>
        <v>111</v>
      </c>
      <c r="R31" s="774" t="s">
        <v>17</v>
      </c>
      <c r="S31" s="775">
        <f t="shared" si="10"/>
        <v>100</v>
      </c>
      <c r="T31" s="774" t="s">
        <v>17</v>
      </c>
      <c r="U31" s="775">
        <f t="shared" si="11"/>
        <v>100</v>
      </c>
      <c r="V31" s="774" t="s">
        <v>17</v>
      </c>
      <c r="W31" s="775">
        <f t="shared" si="12"/>
        <v>100</v>
      </c>
      <c r="X31" s="1815"/>
      <c r="Y31" s="3176"/>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7" t="s">
        <v>2523</v>
      </c>
      <c r="Q32" s="1812">
        <f t="shared" si="8"/>
        <v>111</v>
      </c>
      <c r="R32" s="774" t="s">
        <v>17</v>
      </c>
      <c r="S32" s="775">
        <f t="shared" si="10"/>
        <v>100</v>
      </c>
      <c r="T32" s="774" t="s">
        <v>17</v>
      </c>
      <c r="U32" s="775">
        <f t="shared" si="11"/>
        <v>100</v>
      </c>
      <c r="V32" s="774" t="s">
        <v>17</v>
      </c>
      <c r="W32" s="775">
        <f t="shared" si="12"/>
        <v>100</v>
      </c>
      <c r="X32" s="1815"/>
      <c r="Y32" s="3178" t="s">
        <v>2523</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2">
        <f t="shared" si="8"/>
        <v>111</v>
      </c>
      <c r="R33" s="777" t="s">
        <v>17</v>
      </c>
      <c r="S33" s="778">
        <f t="shared" si="10"/>
        <v>100</v>
      </c>
      <c r="T33" s="777" t="s">
        <v>17</v>
      </c>
      <c r="U33" s="778">
        <f t="shared" si="11"/>
        <v>100</v>
      </c>
      <c r="V33" s="777" t="s">
        <v>17</v>
      </c>
      <c r="W33" s="778">
        <f t="shared" si="12"/>
        <v>100</v>
      </c>
      <c r="X33" s="779"/>
      <c r="Y33" s="3178"/>
      <c r="Z33" s="780">
        <f t="shared" si="13"/>
        <v>111</v>
      </c>
      <c r="AA33" s="1813">
        <f t="shared" si="3"/>
        <v>1</v>
      </c>
      <c r="AB33" s="1813">
        <f t="shared" si="4"/>
        <v>1</v>
      </c>
      <c r="AC33" s="1813">
        <f t="shared" si="5"/>
        <v>1</v>
      </c>
    </row>
    <row r="34" spans="1:29" ht="15">
      <c r="A34" s="440" t="s">
        <v>2521</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2" t="str">
        <f>B34</f>
        <v>宗地面积</v>
      </c>
      <c r="R34" s="774" t="s">
        <v>17</v>
      </c>
      <c r="S34" s="775" t="e">
        <f t="shared" si="10"/>
        <v>#N/A</v>
      </c>
      <c r="T34" s="774" t="s">
        <v>17</v>
      </c>
      <c r="U34" s="775" t="e">
        <f t="shared" si="11"/>
        <v>#N/A</v>
      </c>
      <c r="V34" s="774" t="s">
        <v>17</v>
      </c>
      <c r="W34" s="775" t="e">
        <f t="shared" si="12"/>
        <v>#N/A</v>
      </c>
      <c r="X34" s="1815"/>
      <c r="Y34" s="3178"/>
      <c r="Z34" s="1816" t="str">
        <f t="shared" si="13"/>
        <v>宗地面积</v>
      </c>
      <c r="AA34" s="1813" t="e">
        <f t="shared" si="3"/>
        <v>#N/A</v>
      </c>
      <c r="AB34" s="1813" t="e">
        <f t="shared" si="4"/>
        <v>#N/A</v>
      </c>
      <c r="AC34" s="1813" t="e">
        <f t="shared" si="5"/>
        <v>#N/A</v>
      </c>
    </row>
    <row r="35" spans="1:29" ht="15">
      <c r="A35" s="472"/>
      <c r="B35" s="422" t="s">
        <v>2708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78"/>
      <c r="Q35" s="1812" t="str">
        <f t="shared" ref="Q35:Q40" si="14">B35</f>
        <v>宗地形状</v>
      </c>
      <c r="R35" s="774" t="s">
        <v>17</v>
      </c>
      <c r="S35" s="775">
        <f t="shared" si="10"/>
        <v>100</v>
      </c>
      <c r="T35" s="774" t="s">
        <v>17</v>
      </c>
      <c r="U35" s="775">
        <f t="shared" si="11"/>
        <v>100</v>
      </c>
      <c r="V35" s="774" t="s">
        <v>17</v>
      </c>
      <c r="W35" s="775">
        <f t="shared" si="12"/>
        <v>100</v>
      </c>
      <c r="X35" s="1815"/>
      <c r="Y35" s="3178"/>
      <c r="Z35" s="1816" t="str">
        <f t="shared" si="13"/>
        <v>宗地形状</v>
      </c>
      <c r="AA35" s="1813">
        <f t="shared" si="3"/>
        <v>1</v>
      </c>
      <c r="AB35" s="1813">
        <f t="shared" si="4"/>
        <v>1</v>
      </c>
      <c r="AC35" s="1813">
        <f t="shared" si="5"/>
        <v>1</v>
      </c>
    </row>
    <row r="36" spans="1:29" s="117" customFormat="1" ht="15">
      <c r="A36" s="473"/>
      <c r="B36" s="422" t="s">
        <v>2710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78"/>
      <c r="Q36" s="1812"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2711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78" t="s">
        <v>2523</v>
      </c>
      <c r="Q37" s="1812" t="str">
        <f t="shared" si="14"/>
        <v>工程地质条件</v>
      </c>
      <c r="R37" s="774" t="s">
        <v>17</v>
      </c>
      <c r="S37" s="775">
        <f t="shared" si="10"/>
        <v>100</v>
      </c>
      <c r="T37" s="774" t="s">
        <v>17</v>
      </c>
      <c r="U37" s="775">
        <f t="shared" si="11"/>
        <v>100</v>
      </c>
      <c r="V37" s="774" t="s">
        <v>17</v>
      </c>
      <c r="W37" s="775">
        <f t="shared" si="12"/>
        <v>100</v>
      </c>
      <c r="X37" s="1815"/>
      <c r="Y37" s="3178" t="s">
        <v>2523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2">
        <f t="shared" si="14"/>
        <v>111</v>
      </c>
      <c r="R38" s="774" t="s">
        <v>17</v>
      </c>
      <c r="S38" s="775">
        <f t="shared" si="10"/>
        <v>100</v>
      </c>
      <c r="T38" s="774" t="s">
        <v>17</v>
      </c>
      <c r="U38" s="775">
        <f t="shared" si="11"/>
        <v>100</v>
      </c>
      <c r="V38" s="774" t="s">
        <v>17</v>
      </c>
      <c r="W38" s="775">
        <f t="shared" si="12"/>
        <v>100</v>
      </c>
      <c r="X38" s="1815"/>
      <c r="Y38" s="317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2">
        <f t="shared" si="14"/>
        <v>111</v>
      </c>
      <c r="R39" s="774" t="s">
        <v>17</v>
      </c>
      <c r="S39" s="775">
        <f t="shared" si="10"/>
        <v>100</v>
      </c>
      <c r="T39" s="774" t="s">
        <v>17</v>
      </c>
      <c r="U39" s="775">
        <f t="shared" si="11"/>
        <v>100</v>
      </c>
      <c r="V39" s="774" t="s">
        <v>17</v>
      </c>
      <c r="W39" s="775">
        <f t="shared" si="12"/>
        <v>100</v>
      </c>
      <c r="X39" s="1815"/>
      <c r="Y39" s="3178"/>
      <c r="Z39" s="1816">
        <f t="shared" si="13"/>
        <v>111</v>
      </c>
      <c r="AA39" s="1813">
        <f t="shared" si="3"/>
        <v>1</v>
      </c>
      <c r="AB39" s="1813">
        <f t="shared" si="4"/>
        <v>1</v>
      </c>
      <c r="AC39" s="1813">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2">
        <f t="shared" si="14"/>
        <v>111</v>
      </c>
      <c r="R40" s="777" t="s">
        <v>17</v>
      </c>
      <c r="S40" s="778">
        <f t="shared" si="10"/>
        <v>100</v>
      </c>
      <c r="T40" s="777" t="s">
        <v>17</v>
      </c>
      <c r="U40" s="778">
        <f t="shared" si="11"/>
        <v>100</v>
      </c>
      <c r="V40" s="777" t="s">
        <v>17</v>
      </c>
      <c r="W40" s="778">
        <f t="shared" si="12"/>
        <v>100</v>
      </c>
      <c r="X40" s="779"/>
      <c r="Y40" s="3178"/>
      <c r="Z40" s="780">
        <f t="shared" si="13"/>
        <v>111</v>
      </c>
      <c r="AA40" s="1813">
        <f t="shared" si="3"/>
        <v>1</v>
      </c>
      <c r="AB40" s="1813">
        <f t="shared" si="4"/>
        <v>1</v>
      </c>
      <c r="AC40" s="1813">
        <f t="shared" si="5"/>
        <v>1</v>
      </c>
    </row>
    <row r="41" spans="1:29" ht="15">
      <c r="A41" s="479" t="s">
        <v>2677</v>
      </c>
      <c r="B41" s="2704" t="s">
        <v>2755</v>
      </c>
      <c r="C41" s="682" t="s">
        <v>1</v>
      </c>
      <c r="D41" s="481"/>
      <c r="E41" s="482"/>
      <c r="F41" s="483"/>
      <c r="G41" s="484"/>
      <c r="H41" s="485"/>
      <c r="I41" s="482"/>
      <c r="J41" s="485"/>
      <c r="K41" s="783"/>
      <c r="L41" s="1146"/>
      <c r="M41" s="1134"/>
      <c r="N41" s="1134"/>
      <c r="O41" s="1147"/>
      <c r="P41" s="3160" t="str">
        <f>A41</f>
        <v>成交单价</v>
      </c>
      <c r="Q41" s="3160"/>
      <c r="R41" s="3173">
        <f>E41</f>
        <v>0</v>
      </c>
      <c r="S41" s="3173"/>
      <c r="T41" s="3173">
        <f>G41</f>
        <v>0</v>
      </c>
      <c r="U41" s="3173"/>
      <c r="V41" s="3173">
        <f>I41</f>
        <v>0</v>
      </c>
      <c r="W41" s="3173"/>
      <c r="X41" s="759"/>
      <c r="Y41" s="781"/>
      <c r="Z41" s="759"/>
      <c r="AA41" s="759"/>
      <c r="AB41" s="759"/>
      <c r="AC41" s="759"/>
    </row>
    <row r="42" spans="1:29" ht="15.75" thickBot="1">
      <c r="A42" s="486" t="s">
        <v>2626</v>
      </c>
      <c r="B42" s="683"/>
      <c r="C42" s="490" t="e">
        <f>R43</f>
        <v>#DIV/0!</v>
      </c>
      <c r="D42" s="489"/>
      <c r="E42" s="490" t="e">
        <f>R42</f>
        <v>#DIV/0!</v>
      </c>
      <c r="F42" s="491"/>
      <c r="G42" s="488" t="e">
        <f>T42</f>
        <v>#DIV/0!</v>
      </c>
      <c r="H42" s="489"/>
      <c r="I42" s="490" t="e">
        <f>V42</f>
        <v>#DIV/0!</v>
      </c>
      <c r="J42" s="489"/>
      <c r="K42" s="784"/>
      <c r="L42" s="1146"/>
      <c r="M42" s="1134"/>
      <c r="N42" s="1134"/>
      <c r="O42" s="1147"/>
      <c r="P42" s="3160" t="str">
        <f>A42</f>
        <v>比较价值（元/平方米）</v>
      </c>
      <c r="Q42" s="3160"/>
      <c r="R42" s="3179" t="e">
        <f>ROUND(PRODUCT(R41,AA7:AA40),0)</f>
        <v>#DIV/0!</v>
      </c>
      <c r="S42" s="3179"/>
      <c r="T42" s="3179" t="e">
        <f>ROUND(PRODUCT(T41,AB7:AB40),0)</f>
        <v>#DIV/0!</v>
      </c>
      <c r="U42" s="3179"/>
      <c r="V42" s="3179" t="e">
        <f>ROUND(PRODUCT(V41,AC7:AC40),0)</f>
        <v>#DIV/0!</v>
      </c>
      <c r="W42" s="3179"/>
      <c r="X42" s="759"/>
      <c r="Y42" s="759"/>
      <c r="Z42" s="759"/>
      <c r="AA42" s="759"/>
      <c r="AB42" s="759"/>
      <c r="AC42" s="759"/>
    </row>
    <row r="43" spans="1:29" ht="15.75" thickBot="1">
      <c r="A43" s="492" t="s">
        <v>2627</v>
      </c>
      <c r="B43" s="493"/>
      <c r="C43" s="494" t="e">
        <f>R43</f>
        <v>#DIV/0!</v>
      </c>
      <c r="D43" s="494"/>
      <c r="E43" s="494"/>
      <c r="F43" s="494"/>
      <c r="G43" s="494"/>
      <c r="H43" s="494"/>
      <c r="I43" s="494"/>
      <c r="J43" s="494"/>
      <c r="K43" s="785"/>
      <c r="L43" s="1146"/>
      <c r="M43" s="1134"/>
      <c r="N43" s="1134"/>
      <c r="O43" s="1147"/>
      <c r="P43" s="3180" t="str">
        <f>A43</f>
        <v>估价对象XX用房的比较价值（楼面单价，元/平方米）</v>
      </c>
      <c r="Q43" s="3181"/>
      <c r="R43" s="3182" t="e">
        <f>ROUND(AVERAGE(R42:V42),0)</f>
        <v>#DIV/0!</v>
      </c>
      <c r="S43" s="3182"/>
      <c r="T43" s="3182"/>
      <c r="U43" s="3182"/>
      <c r="V43" s="3182"/>
      <c r="W43" s="318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2630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2713</v>
      </c>
      <c r="B50" s="685" t="s">
        <v>2714</v>
      </c>
      <c r="C50" s="2705" t="s">
        <v>2715</v>
      </c>
      <c r="D50" s="2706" t="s">
        <v>2716</v>
      </c>
      <c r="E50" s="686" t="s">
        <v>2717</v>
      </c>
      <c r="F50" s="687" t="s">
        <v>2718</v>
      </c>
      <c r="G50" s="3161" t="s">
        <v>2719</v>
      </c>
      <c r="H50" s="3183"/>
      <c r="I50" s="1816" t="s">
        <v>2756</v>
      </c>
      <c r="J50" s="1816" t="str">
        <f>项目基本情况!F35</f>
        <v>河北省廊坊市</v>
      </c>
      <c r="K50" s="2708" t="s">
        <v>2721</v>
      </c>
      <c r="L50" s="1109"/>
      <c r="M50" s="1147"/>
      <c r="N50" s="1147"/>
      <c r="O50" s="1147"/>
    </row>
    <row r="51" spans="1:17" s="692" customFormat="1">
      <c r="A51" s="688" t="s">
        <v>2722</v>
      </c>
      <c r="B51" s="689" t="e">
        <f>C43</f>
        <v>#DIV/0!</v>
      </c>
      <c r="C51" s="690">
        <v>1</v>
      </c>
      <c r="D51" s="1166">
        <v>1</v>
      </c>
      <c r="E51" s="690">
        <f>'数据-汇总表'!E8+'数据-汇总表'!E9</f>
        <v>17457.14</v>
      </c>
      <c r="F51" s="691" t="e">
        <f t="shared" ref="F51:F60" si="15">ROUND(B51*E51/10000,0)</f>
        <v>#DIV/0!</v>
      </c>
      <c r="G51" s="3184"/>
      <c r="H51" s="3160"/>
      <c r="I51" s="945">
        <v>1</v>
      </c>
      <c r="J51" s="945">
        <v>1</v>
      </c>
      <c r="K51" s="1148"/>
      <c r="L51" s="944"/>
      <c r="M51" s="944"/>
      <c r="N51" s="944"/>
      <c r="O51" s="944"/>
    </row>
    <row r="52" spans="1:17" s="692" customFormat="1">
      <c r="A52" s="693" t="s">
        <v>2723</v>
      </c>
      <c r="B52" s="262" t="e">
        <f>ROUND($C$43*C52*D52,0)</f>
        <v>#DIV/0!</v>
      </c>
      <c r="C52" s="200">
        <f t="shared" ref="C52:C60" si="16">IF($C$50="北京市系数",I52,J52)</f>
        <v>0</v>
      </c>
      <c r="D52" s="1167">
        <v>0.25</v>
      </c>
      <c r="E52" s="694"/>
      <c r="F52" s="691" t="e">
        <f t="shared" si="15"/>
        <v>#DIV/0!</v>
      </c>
      <c r="G52" s="3185" t="s">
        <v>2724</v>
      </c>
      <c r="H52" s="1107">
        <f>项目基本情况!B37</f>
        <v>0</v>
      </c>
      <c r="I52" s="945">
        <f>SUMIF(修正!A45:A56,H52,修正!B45:B56)</f>
        <v>0</v>
      </c>
      <c r="J52" s="946"/>
      <c r="K52" s="1147"/>
      <c r="L52" s="944"/>
      <c r="M52" s="944"/>
      <c r="N52" s="944"/>
      <c r="O52" s="944"/>
    </row>
    <row r="53" spans="1:17" s="692" customFormat="1">
      <c r="A53" s="693" t="s">
        <v>2725</v>
      </c>
      <c r="B53" s="262" t="e">
        <f t="shared" ref="B53:B60" si="17">ROUND($C$43*C53*D53,0)</f>
        <v>#DIV/0!</v>
      </c>
      <c r="C53" s="200">
        <f t="shared" si="16"/>
        <v>0</v>
      </c>
      <c r="D53" s="1167">
        <v>0.25</v>
      </c>
      <c r="E53" s="694"/>
      <c r="F53" s="691" t="e">
        <f t="shared" si="15"/>
        <v>#DIV/0!</v>
      </c>
      <c r="G53" s="3185"/>
      <c r="H53" s="1107">
        <f>项目基本情况!B37</f>
        <v>0</v>
      </c>
      <c r="I53" s="945">
        <f>SUMIF(修正!A45:A56,H53,修正!C45:C56)</f>
        <v>0</v>
      </c>
      <c r="J53" s="946"/>
      <c r="K53" s="1148"/>
      <c r="L53" s="944"/>
      <c r="M53" s="944"/>
      <c r="N53" s="944"/>
      <c r="O53" s="944"/>
    </row>
    <row r="54" spans="1:17" s="692" customFormat="1">
      <c r="A54" s="693" t="s">
        <v>2726</v>
      </c>
      <c r="B54" s="262" t="e">
        <f t="shared" si="17"/>
        <v>#DIV/0!</v>
      </c>
      <c r="C54" s="200">
        <f t="shared" si="16"/>
        <v>0</v>
      </c>
      <c r="D54" s="1167">
        <v>0.25</v>
      </c>
      <c r="E54" s="694"/>
      <c r="F54" s="691" t="e">
        <f t="shared" si="15"/>
        <v>#DIV/0!</v>
      </c>
      <c r="G54" s="3185"/>
      <c r="H54" s="1107">
        <f>项目基本情况!B37</f>
        <v>0</v>
      </c>
      <c r="I54" s="945">
        <f>SUMIF(修正!A45:A56,H54,修正!D45:D56)</f>
        <v>0</v>
      </c>
      <c r="J54" s="946"/>
      <c r="K54" s="1147"/>
      <c r="L54" s="944"/>
      <c r="M54" s="944"/>
      <c r="N54" s="944"/>
      <c r="O54" s="944"/>
    </row>
    <row r="55" spans="1:17" s="692" customFormat="1">
      <c r="A55" s="693" t="s">
        <v>2727</v>
      </c>
      <c r="B55" s="262" t="e">
        <f t="shared" si="17"/>
        <v>#DIV/0!</v>
      </c>
      <c r="C55" s="200">
        <f t="shared" si="16"/>
        <v>0</v>
      </c>
      <c r="D55" s="1167">
        <v>0.25</v>
      </c>
      <c r="E55" s="694"/>
      <c r="F55" s="691" t="e">
        <f t="shared" si="15"/>
        <v>#DIV/0!</v>
      </c>
      <c r="G55" s="3185"/>
      <c r="H55" s="1107">
        <f>项目基本情况!B37</f>
        <v>0</v>
      </c>
      <c r="I55" s="945">
        <f>SUMIF(修正!A45:A56,H55,修正!E45:E56)</f>
        <v>0</v>
      </c>
      <c r="J55" s="946"/>
      <c r="K55" s="1148"/>
      <c r="L55" s="944"/>
      <c r="M55" s="944"/>
      <c r="N55" s="944"/>
      <c r="O55" s="944"/>
    </row>
    <row r="56" spans="1:17" s="692" customFormat="1">
      <c r="A56" s="693" t="s">
        <v>2728</v>
      </c>
      <c r="B56" s="262" t="e">
        <f t="shared" si="17"/>
        <v>#DIV/0!</v>
      </c>
      <c r="C56" s="200">
        <f t="shared" si="16"/>
        <v>0</v>
      </c>
      <c r="D56" s="1167">
        <v>0.25</v>
      </c>
      <c r="E56" s="261">
        <f>'数据-汇总表'!E11</f>
        <v>0</v>
      </c>
      <c r="F56" s="691" t="e">
        <f t="shared" si="15"/>
        <v>#DIV/0!</v>
      </c>
      <c r="G56" s="2709" t="s">
        <v>2729</v>
      </c>
      <c r="H56" s="1107">
        <f>项目基本情况!C37</f>
        <v>0</v>
      </c>
      <c r="I56" s="945">
        <f>SUMIF(修正!A45:A56,H56,修正!F45:F56)</f>
        <v>0</v>
      </c>
      <c r="J56" s="946"/>
      <c r="K56" s="1147"/>
      <c r="L56" s="944"/>
      <c r="M56" s="944"/>
      <c r="N56" s="944"/>
      <c r="O56" s="944"/>
    </row>
    <row r="57" spans="1:17" s="692" customFormat="1">
      <c r="A57" s="693" t="s">
        <v>2730</v>
      </c>
      <c r="B57" s="262" t="e">
        <f t="shared" si="17"/>
        <v>#DIV/0!</v>
      </c>
      <c r="C57" s="200">
        <f t="shared" si="16"/>
        <v>0</v>
      </c>
      <c r="D57" s="1167">
        <v>0.25</v>
      </c>
      <c r="E57" s="261">
        <f>'数据-汇总表'!E12</f>
        <v>0</v>
      </c>
      <c r="F57" s="691" t="e">
        <f t="shared" si="15"/>
        <v>#DIV/0!</v>
      </c>
      <c r="G57" s="1112" t="s">
        <v>2731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2732</v>
      </c>
      <c r="B58" s="262" t="e">
        <f t="shared" si="17"/>
        <v>#DIV/0!</v>
      </c>
      <c r="C58" s="200">
        <f t="shared" si="16"/>
        <v>0</v>
      </c>
      <c r="D58" s="1167">
        <v>0.25</v>
      </c>
      <c r="E58" s="261">
        <f>'数据-汇总表'!E13</f>
        <v>0</v>
      </c>
      <c r="F58" s="691" t="e">
        <f t="shared" si="15"/>
        <v>#DIV/0!</v>
      </c>
      <c r="G58" s="1112" t="s">
        <v>2733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2734</v>
      </c>
      <c r="B59" s="262" t="e">
        <f t="shared" si="17"/>
        <v>#DIV/0!</v>
      </c>
      <c r="C59" s="200">
        <f t="shared" si="16"/>
        <v>0</v>
      </c>
      <c r="D59" s="1167">
        <v>0.25</v>
      </c>
      <c r="E59" s="261">
        <f>'数据-汇总表'!E14</f>
        <v>0</v>
      </c>
      <c r="F59" s="691" t="e">
        <f t="shared" si="15"/>
        <v>#DIV/0!</v>
      </c>
      <c r="G59" s="2709" t="s">
        <v>2724</v>
      </c>
      <c r="H59" s="1107">
        <f>项目基本情况!B37</f>
        <v>0</v>
      </c>
      <c r="I59" s="945">
        <f>SUMIF(修正!A45:A56,H59,修正!H45:H56)</f>
        <v>0</v>
      </c>
      <c r="J59" s="946"/>
      <c r="K59" s="1148"/>
      <c r="L59" s="944"/>
      <c r="M59" s="944"/>
      <c r="N59" s="944"/>
      <c r="O59" s="944"/>
    </row>
    <row r="60" spans="1:17" s="692" customFormat="1" ht="15" thickBot="1">
      <c r="A60" s="693" t="s">
        <v>2735</v>
      </c>
      <c r="B60" s="262" t="e">
        <f t="shared" si="17"/>
        <v>#DIV/0!</v>
      </c>
      <c r="C60" s="200">
        <f t="shared" si="16"/>
        <v>0</v>
      </c>
      <c r="D60" s="1167">
        <v>0.25</v>
      </c>
      <c r="E60" s="261">
        <f>'数据-汇总表'!E15</f>
        <v>0</v>
      </c>
      <c r="F60" s="691" t="e">
        <f t="shared" si="15"/>
        <v>#DIV/0!</v>
      </c>
      <c r="G60" s="2710" t="s">
        <v>2729</v>
      </c>
      <c r="H60" s="1117">
        <f>项目基本情况!C37</f>
        <v>0</v>
      </c>
      <c r="I60" s="945">
        <f>SUMIF(修正!A45:A56,H60,修正!H45:H56)</f>
        <v>0</v>
      </c>
      <c r="J60" s="946"/>
      <c r="K60" s="1147"/>
      <c r="L60" s="944"/>
      <c r="M60" s="944"/>
      <c r="N60" s="944"/>
      <c r="O60" s="944"/>
    </row>
    <row r="61" spans="1:17" s="692" customFormat="1" ht="15" thickBot="1">
      <c r="A61" s="695" t="s">
        <v>2736</v>
      </c>
      <c r="B61" s="696" t="s">
        <v>28</v>
      </c>
      <c r="C61" s="696" t="s">
        <v>29</v>
      </c>
      <c r="D61" s="696" t="s">
        <v>1028</v>
      </c>
      <c r="E61" s="696">
        <f>IF(B41="楼面地价",SUM(E51:E60),'数据-汇总表'!D3)</f>
        <v>7296.02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2631</v>
      </c>
      <c r="B64" s="759"/>
      <c r="C64" s="764"/>
      <c r="D64" s="764"/>
      <c r="E64" s="764"/>
      <c r="F64" s="765"/>
      <c r="G64" s="765"/>
      <c r="H64" s="764"/>
      <c r="I64" s="764"/>
      <c r="J64" s="764"/>
      <c r="K64" s="766"/>
      <c r="L64" s="767"/>
      <c r="M64" s="764"/>
      <c r="N64" s="764"/>
      <c r="O64" s="1162"/>
      <c r="P64" s="503"/>
      <c r="Q64" s="504"/>
    </row>
    <row r="65" spans="1:17" s="508" customFormat="1" ht="15">
      <c r="A65" s="2711" t="s">
        <v>2737</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2757</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2542</v>
      </c>
      <c r="B67" s="516"/>
      <c r="C67" s="517"/>
      <c r="D67" s="518"/>
      <c r="E67" s="518"/>
      <c r="F67" s="518"/>
      <c r="G67" s="518"/>
      <c r="H67" s="518"/>
      <c r="I67" s="518"/>
      <c r="J67" s="518"/>
      <c r="K67" s="518"/>
      <c r="L67" s="518"/>
      <c r="M67" s="519"/>
      <c r="N67" s="519"/>
      <c r="O67" s="520"/>
      <c r="P67" s="504"/>
      <c r="Q67" s="504"/>
    </row>
    <row r="68" spans="1:17" s="117" customFormat="1" ht="15">
      <c r="A68" s="521" t="s">
        <v>2508</v>
      </c>
      <c r="B68" s="510"/>
      <c r="C68" s="522" t="s">
        <v>2609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2545</v>
      </c>
      <c r="B70" s="528" t="s">
        <v>2512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2517</v>
      </c>
      <c r="B83" s="528" t="s">
        <v>2662</v>
      </c>
      <c r="C83" s="573" t="s">
        <v>2554</v>
      </c>
      <c r="D83" s="573" t="s">
        <v>2555</v>
      </c>
      <c r="E83" s="573" t="s">
        <v>2556</v>
      </c>
      <c r="F83" s="573" t="s">
        <v>2557</v>
      </c>
      <c r="G83" s="573" t="s">
        <v>2558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2559</v>
      </c>
      <c r="C85" s="578" t="s">
        <v>2554</v>
      </c>
      <c r="D85" s="578" t="s">
        <v>2555</v>
      </c>
      <c r="E85" s="578" t="s">
        <v>2556</v>
      </c>
      <c r="F85" s="578" t="s">
        <v>2557</v>
      </c>
      <c r="G85" s="578" t="s">
        <v>2558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2740</v>
      </c>
      <c r="C87" s="573" t="s">
        <v>2554</v>
      </c>
      <c r="D87" s="573" t="s">
        <v>2555</v>
      </c>
      <c r="E87" s="573" t="s">
        <v>2556</v>
      </c>
      <c r="F87" s="573" t="s">
        <v>2557</v>
      </c>
      <c r="G87" s="573" t="s">
        <v>2558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2741</v>
      </c>
      <c r="C89" s="573" t="s">
        <v>2554</v>
      </c>
      <c r="D89" s="573" t="s">
        <v>2555</v>
      </c>
      <c r="E89" s="573" t="s">
        <v>2556</v>
      </c>
      <c r="F89" s="573" t="s">
        <v>2557</v>
      </c>
      <c r="G89" s="573" t="s">
        <v>2558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2611</v>
      </c>
      <c r="C91" s="573" t="s">
        <v>2554</v>
      </c>
      <c r="D91" s="573" t="s">
        <v>2555</v>
      </c>
      <c r="E91" s="573" t="s">
        <v>2556</v>
      </c>
      <c r="F91" s="573" t="s">
        <v>2557</v>
      </c>
      <c r="G91" s="573" t="s">
        <v>2558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2758</v>
      </c>
      <c r="C93" s="660" t="s">
        <v>2632</v>
      </c>
      <c r="D93" s="660" t="s">
        <v>2633</v>
      </c>
      <c r="E93" s="660" t="s">
        <v>2634</v>
      </c>
      <c r="F93" s="660" t="s">
        <v>2635</v>
      </c>
      <c r="G93" s="660" t="s">
        <v>2636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2742</v>
      </c>
      <c r="D95" s="539" t="s">
        <v>2743</v>
      </c>
      <c r="E95" s="539" t="s">
        <v>2744</v>
      </c>
      <c r="F95" s="539" t="s">
        <v>2745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2521</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2759</v>
      </c>
      <c r="B1" s="241"/>
      <c r="C1" s="245" t="s">
        <v>2760</v>
      </c>
      <c r="D1" s="388">
        <f>SUM(D29:D30,D33:D39)</f>
        <v>0</v>
      </c>
      <c r="E1" s="2717"/>
      <c r="F1" s="2717"/>
      <c r="G1" s="2717"/>
      <c r="H1" s="2717"/>
      <c r="I1" s="2717"/>
      <c r="J1" s="2717"/>
      <c r="K1" s="1373"/>
      <c r="L1" s="2718" t="s">
        <v>2761</v>
      </c>
      <c r="M1" s="1083">
        <f>SUMPRODUCT((区片价!B5:B9=I2)*(区片价!C3:F3=E2)*(区片价!C5:F9))</f>
        <v>0</v>
      </c>
      <c r="N1" s="1086">
        <f>SUMPRODUCT((因素修正幅度!B5:B9=I2)*(因素修正幅度!C3:F3=E2)*(因素修正幅度!C5:F9))</f>
        <v>0</v>
      </c>
      <c r="O1" s="2719"/>
      <c r="P1" s="2719"/>
      <c r="Q1" s="1373"/>
      <c r="R1" s="1604" t="s">
        <v>2762</v>
      </c>
      <c r="S1" s="1604" t="s">
        <v>2763</v>
      </c>
      <c r="T1" s="1604" t="s">
        <v>2764</v>
      </c>
      <c r="U1" s="1604" t="s">
        <v>2765</v>
      </c>
      <c r="V1" s="1604" t="s">
        <v>2766</v>
      </c>
      <c r="W1" s="1608"/>
      <c r="X1" s="1608"/>
      <c r="Y1" s="1608"/>
      <c r="Z1" s="1608"/>
      <c r="AA1" s="1608"/>
      <c r="AB1" s="1608"/>
      <c r="AC1" s="1609"/>
      <c r="AD1" s="1610"/>
      <c r="AE1" s="1610"/>
      <c r="AF1" s="1610"/>
      <c r="AG1" s="1610"/>
      <c r="AH1" s="1610"/>
      <c r="AI1" s="1610"/>
      <c r="AJ1" s="1611"/>
    </row>
    <row r="2" spans="1:36" ht="15.75">
      <c r="A2" s="245" t="s">
        <v>2767</v>
      </c>
      <c r="B2" s="248" t="e">
        <f>C26</f>
        <v>#DIV/0!</v>
      </c>
      <c r="C2" s="2721" t="s">
        <v>2768</v>
      </c>
      <c r="D2" s="2722" t="s">
        <v>2769</v>
      </c>
      <c r="E2" s="2723"/>
      <c r="F2" s="2722" t="s">
        <v>2770</v>
      </c>
      <c r="G2" s="2724">
        <f>IF(E2="商业",项目基本情况!B37,IF(E2="办公",项目基本情况!C37,IF(E2="住宅",项目基本情况!D37,项目基本情况!E37)))</f>
        <v>0</v>
      </c>
      <c r="H2" s="2722" t="s">
        <v>2771</v>
      </c>
      <c r="I2" s="2724">
        <f>IF(E2="商业",项目基本情况!B38,IF(E2="办公",项目基本情况!C38,IF(E2="住宅",项目基本情况!D38,项目基本情况!E38)))</f>
        <v>0</v>
      </c>
      <c r="J2" s="2725"/>
      <c r="K2" s="1373"/>
      <c r="L2" s="2726" t="s">
        <v>2772</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2773</v>
      </c>
      <c r="B3" s="248" t="e">
        <f>ROUND(B2*10000/D1,0)</f>
        <v>#DIV/0!</v>
      </c>
      <c r="C3" s="2721" t="s">
        <v>2774</v>
      </c>
      <c r="D3" s="2722" t="s">
        <v>2775</v>
      </c>
      <c r="E3" s="2727"/>
      <c r="F3" s="2728" t="s">
        <v>2776</v>
      </c>
      <c r="G3" s="916">
        <f>IF(F3="宗地容积率",'数据-汇总表'!I4,IF(F3="估价对象容积率",'数据-汇总表'!I6,'数据-汇总表'!I7))</f>
        <v>2.5</v>
      </c>
      <c r="H3" s="198" t="s">
        <v>2777</v>
      </c>
      <c r="I3" s="947"/>
      <c r="J3" s="2725" t="s">
        <v>2778</v>
      </c>
      <c r="K3" s="1373"/>
      <c r="L3" s="2726" t="s">
        <v>2779</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7"/>
      <c r="B4" s="3258"/>
      <c r="C4" s="3258"/>
      <c r="D4" s="3259"/>
      <c r="E4" s="3259"/>
      <c r="F4" s="3259"/>
      <c r="G4" s="3259"/>
      <c r="H4" s="3259"/>
      <c r="I4" s="3259"/>
      <c r="J4" s="3260"/>
      <c r="K4" s="1373"/>
      <c r="L4" s="2726" t="s">
        <v>2780</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806</v>
      </c>
      <c r="B5" s="2730" t="s">
        <v>2781</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2782</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2783</v>
      </c>
      <c r="B6" s="2740" t="s">
        <v>2784</v>
      </c>
      <c r="C6" s="918">
        <f>SUMIF(L1:L12,G2,M1:M12)</f>
        <v>0</v>
      </c>
      <c r="D6" s="2741" t="s">
        <v>2785</v>
      </c>
      <c r="E6" s="2742"/>
      <c r="F6" s="2742"/>
      <c r="G6" s="2743"/>
      <c r="H6" s="2743"/>
      <c r="I6" s="2743"/>
      <c r="J6" s="2744"/>
      <c r="K6" s="1844"/>
      <c r="L6" s="2726" t="s">
        <v>2786</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43" t="str">
        <f>IF(E2="商业",IF(C8="不临58条商业街","",2),"")</f>
        <v/>
      </c>
      <c r="B7" s="2745" t="s">
        <v>2787</v>
      </c>
      <c r="C7" s="919" t="e">
        <f>IF(C8="不临58条商业街",1,ROUND(1+(1.6*E8+1.2*E9+0.8*E10+0.4*E11)*C9,4))</f>
        <v>#DIV/0!</v>
      </c>
      <c r="D7" s="2746" t="s">
        <v>2788</v>
      </c>
      <c r="E7" s="948"/>
      <c r="F7" s="2747"/>
      <c r="G7" s="2748"/>
      <c r="H7" s="2748"/>
      <c r="I7" s="2748"/>
      <c r="J7" s="2749"/>
      <c r="K7" s="1844"/>
      <c r="L7" s="2726" t="s">
        <v>2789</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2790</v>
      </c>
      <c r="X7" s="1606">
        <f>G2</f>
        <v>0</v>
      </c>
      <c r="Y7" s="1606" t="s">
        <v>2791</v>
      </c>
      <c r="Z7" s="1607">
        <f>G3</f>
        <v>2.5</v>
      </c>
      <c r="AA7" s="1608"/>
      <c r="AB7" s="1608"/>
      <c r="AC7" s="1609"/>
      <c r="AD7" s="1610"/>
      <c r="AE7" s="1610"/>
      <c r="AF7" s="1610"/>
      <c r="AG7" s="1610"/>
      <c r="AH7" s="1610"/>
      <c r="AI7" s="1610"/>
      <c r="AJ7" s="1611"/>
    </row>
    <row r="8" spans="1:36" ht="15">
      <c r="A8" s="3244"/>
      <c r="B8" s="198" t="s">
        <v>2792</v>
      </c>
      <c r="C8" s="2750"/>
      <c r="D8" s="920" t="s">
        <v>139</v>
      </c>
      <c r="E8" s="921" t="e">
        <f>ROUND(C11/E7,4)</f>
        <v>#DIV/0!</v>
      </c>
      <c r="F8" s="2751" t="s">
        <v>2793</v>
      </c>
      <c r="G8" s="2752"/>
      <c r="H8" s="2752"/>
      <c r="I8" s="2752"/>
      <c r="J8" s="2753"/>
      <c r="K8" s="1373"/>
      <c r="L8" s="2726" t="s">
        <v>2794</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4" t="s">
        <v>2795</v>
      </c>
      <c r="X8" s="3255"/>
      <c r="Y8" s="1612" t="s">
        <v>2796</v>
      </c>
      <c r="Z8" s="1612" t="s">
        <v>2797</v>
      </c>
      <c r="AA8" s="1612" t="s">
        <v>2798</v>
      </c>
      <c r="AB8" s="1612" t="s">
        <v>2799</v>
      </c>
      <c r="AC8" s="1612" t="s">
        <v>2800</v>
      </c>
      <c r="AD8" s="1612" t="s">
        <v>2801</v>
      </c>
      <c r="AE8" s="1612" t="s">
        <v>2802</v>
      </c>
      <c r="AF8" s="1612" t="s">
        <v>2803</v>
      </c>
      <c r="AG8" s="1612" t="s">
        <v>2804</v>
      </c>
      <c r="AH8" s="1612" t="s">
        <v>2805</v>
      </c>
      <c r="AI8" s="1612" t="s">
        <v>2806</v>
      </c>
      <c r="AJ8" s="1612" t="s">
        <v>2807</v>
      </c>
    </row>
    <row r="9" spans="1:36" ht="15">
      <c r="A9" s="3244"/>
      <c r="B9" s="198" t="s">
        <v>2808</v>
      </c>
      <c r="C9" s="922">
        <f>SUMIF(修正!C59:C119,C8,修正!E59:E119)</f>
        <v>0</v>
      </c>
      <c r="D9" s="200" t="s">
        <v>140</v>
      </c>
      <c r="E9" s="200" t="e">
        <f>ROUND(C11/E7,4)</f>
        <v>#DIV/0!</v>
      </c>
      <c r="F9" s="2751" t="s">
        <v>2809</v>
      </c>
      <c r="G9" s="2752"/>
      <c r="H9" s="2752"/>
      <c r="I9" s="2752"/>
      <c r="J9" s="2753"/>
      <c r="K9" s="1373"/>
      <c r="L9" s="2726" t="s">
        <v>2810</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6" t="s">
        <v>2811</v>
      </c>
      <c r="X9" s="1613" t="s">
        <v>2812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4"/>
      <c r="B10" s="198" t="s">
        <v>2813</v>
      </c>
      <c r="C10" s="200">
        <f>SUMIF(修正!C59:C119,C8,修正!F59:F119)</f>
        <v>0</v>
      </c>
      <c r="D10" s="200" t="s">
        <v>141</v>
      </c>
      <c r="E10" s="200" t="e">
        <f>ROUND(C11/E7,4)</f>
        <v>#DIV/0!</v>
      </c>
      <c r="F10" s="2751" t="s">
        <v>2814</v>
      </c>
      <c r="G10" s="2752"/>
      <c r="H10" s="2752"/>
      <c r="I10" s="2752"/>
      <c r="J10" s="2753"/>
      <c r="K10" s="1373"/>
      <c r="L10" s="2726" t="s">
        <v>2815</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4"/>
      <c r="B11" s="2754" t="s">
        <v>2816</v>
      </c>
      <c r="C11" s="923">
        <f>C10/4</f>
        <v>0</v>
      </c>
      <c r="D11" s="923" t="s">
        <v>142</v>
      </c>
      <c r="E11" s="923" t="e">
        <f>ROUND(C11/E7,4)</f>
        <v>#DIV/0!</v>
      </c>
      <c r="F11" s="2755" t="s">
        <v>2817</v>
      </c>
      <c r="G11" s="2756"/>
      <c r="H11" s="2756"/>
      <c r="I11" s="2756"/>
      <c r="J11" s="2757"/>
      <c r="K11" s="1373"/>
      <c r="L11" s="2726" t="s">
        <v>2818</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6" t="s">
        <v>2819</v>
      </c>
      <c r="X11" s="1616" t="s">
        <v>2820</v>
      </c>
      <c r="Y11" s="1617">
        <f>$G$3</f>
        <v>2.5</v>
      </c>
      <c r="Z11" s="1617">
        <f t="shared" ref="Z11:AJ11" si="3">$G$3</f>
        <v>2.5</v>
      </c>
      <c r="AA11" s="1617">
        <f t="shared" si="3"/>
        <v>2.5</v>
      </c>
      <c r="AB11" s="1617">
        <f t="shared" si="3"/>
        <v>2.5</v>
      </c>
      <c r="AC11" s="1617">
        <f t="shared" si="3"/>
        <v>2.5</v>
      </c>
      <c r="AD11" s="1617">
        <f t="shared" si="3"/>
        <v>2.5</v>
      </c>
      <c r="AE11" s="1617">
        <f t="shared" si="3"/>
        <v>2.5</v>
      </c>
      <c r="AF11" s="1617">
        <f t="shared" si="3"/>
        <v>2.5</v>
      </c>
      <c r="AG11" s="1617">
        <f t="shared" si="3"/>
        <v>2.5</v>
      </c>
      <c r="AH11" s="1617">
        <f t="shared" si="3"/>
        <v>2.5</v>
      </c>
      <c r="AI11" s="1617">
        <f t="shared" si="3"/>
        <v>2.5</v>
      </c>
      <c r="AJ11" s="1617">
        <f t="shared" si="3"/>
        <v>2.5</v>
      </c>
    </row>
    <row r="12" spans="1:36" ht="25.5" thickBot="1">
      <c r="A12" s="3243" t="s">
        <v>2821</v>
      </c>
      <c r="B12" s="2758" t="s">
        <v>2822</v>
      </c>
      <c r="C12" s="919">
        <f>ROUND(C15*D15*E15*F15*G15*H15*I15*J15,4)</f>
        <v>1</v>
      </c>
      <c r="D12" s="2759" t="s">
        <v>2823</v>
      </c>
      <c r="E12" s="2760"/>
      <c r="F12" s="2760"/>
      <c r="G12" s="2761"/>
      <c r="H12" s="2761"/>
      <c r="I12" s="2761"/>
      <c r="J12" s="2762"/>
      <c r="K12" s="1373"/>
      <c r="L12" s="2763" t="s">
        <v>2824</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6"/>
      <c r="X12" s="1618" t="s">
        <v>2825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1"/>
      <c r="B13" s="2764" t="s">
        <v>2826</v>
      </c>
      <c r="C13" s="2765" t="s">
        <v>2827</v>
      </c>
      <c r="D13" s="1810" t="s">
        <v>2828</v>
      </c>
      <c r="E13" s="1810" t="s">
        <v>2829</v>
      </c>
      <c r="F13" s="30" t="s">
        <v>2830</v>
      </c>
      <c r="G13" s="2766" t="s">
        <v>2831</v>
      </c>
      <c r="H13" s="2766" t="s">
        <v>2831</v>
      </c>
      <c r="I13" s="2766" t="s">
        <v>2831</v>
      </c>
      <c r="J13" s="2767" t="s">
        <v>2831</v>
      </c>
      <c r="K13" s="1373"/>
      <c r="L13" s="1373"/>
      <c r="M13" s="1373"/>
      <c r="N13" s="1373"/>
      <c r="O13" s="1373"/>
      <c r="P13" s="1373"/>
      <c r="Q13" s="1373"/>
      <c r="R13" s="1604">
        <v>12</v>
      </c>
      <c r="S13" s="1605"/>
      <c r="T13" s="1604" t="e">
        <f t="shared" si="0"/>
        <v>#DIV/0!</v>
      </c>
      <c r="U13" s="1605"/>
      <c r="V13" s="1604" t="e">
        <f t="shared" si="1"/>
        <v>#DIV/0!</v>
      </c>
      <c r="W13" s="3256"/>
      <c r="X13" s="1618"/>
      <c r="Y13" s="1615">
        <f>(-0.163*(Y12^2)-0.59*Y12+7617)*(10^(-4))/Y11</f>
        <v>0.30468000000000001</v>
      </c>
      <c r="Z13" s="1615">
        <f t="shared" ref="Z13:AJ13" si="5">(-0.163*(Z12^2)-0.59*Z12+7617)*(10^(-4))/Z11</f>
        <v>0.30468000000000001</v>
      </c>
      <c r="AA13" s="1615">
        <f t="shared" si="5"/>
        <v>0.30468000000000001</v>
      </c>
      <c r="AB13" s="1615">
        <f t="shared" si="5"/>
        <v>0.30468000000000001</v>
      </c>
      <c r="AC13" s="1615">
        <f t="shared" si="5"/>
        <v>0.30468000000000001</v>
      </c>
      <c r="AD13" s="1615">
        <f t="shared" si="5"/>
        <v>0.30468000000000001</v>
      </c>
      <c r="AE13" s="1615">
        <f t="shared" si="5"/>
        <v>0.30468000000000001</v>
      </c>
      <c r="AF13" s="1615">
        <f t="shared" si="5"/>
        <v>0.30468000000000001</v>
      </c>
      <c r="AG13" s="1615">
        <f t="shared" si="5"/>
        <v>0.30468000000000001</v>
      </c>
      <c r="AH13" s="1615">
        <f t="shared" si="5"/>
        <v>0.30468000000000001</v>
      </c>
      <c r="AI13" s="1615">
        <f t="shared" si="5"/>
        <v>0.30468000000000001</v>
      </c>
      <c r="AJ13" s="1615">
        <f t="shared" si="5"/>
        <v>0.30468000000000001</v>
      </c>
    </row>
    <row r="14" spans="1:36" ht="15">
      <c r="A14" s="3261"/>
      <c r="B14" s="2768"/>
      <c r="C14" s="2769"/>
      <c r="D14" s="2770"/>
      <c r="E14" s="2770"/>
      <c r="F14" s="2771"/>
      <c r="G14" s="2772" t="s">
        <v>2832</v>
      </c>
      <c r="H14" s="2773"/>
      <c r="I14" s="2774"/>
      <c r="J14" s="2775"/>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2"/>
      <c r="B15" s="2776" t="s">
        <v>2833</v>
      </c>
      <c r="C15" s="229">
        <f>IF(C14="有",1.1,1)</f>
        <v>1</v>
      </c>
      <c r="D15" s="229">
        <f>IF(D14="有",1.1,1)</f>
        <v>1</v>
      </c>
      <c r="E15" s="229">
        <f>IF(E14="有",1.1,1)</f>
        <v>1</v>
      </c>
      <c r="F15" s="229">
        <f>IF(F14="500米范围内",1.2,IF(F14="500-1000米",1.1,1))</f>
        <v>1</v>
      </c>
      <c r="G15" s="949">
        <v>1</v>
      </c>
      <c r="H15" s="949">
        <v>1</v>
      </c>
      <c r="I15" s="949">
        <v>1</v>
      </c>
      <c r="J15" s="950">
        <v>1</v>
      </c>
      <c r="K15" s="1373"/>
      <c r="L15" s="2777" t="s">
        <v>2769</v>
      </c>
      <c r="M15" s="920" t="s">
        <v>2834</v>
      </c>
      <c r="N15" s="920" t="s">
        <v>2835</v>
      </c>
      <c r="O15" s="920" t="s">
        <v>2836</v>
      </c>
      <c r="P15" s="2778" t="s">
        <v>2837</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3" t="s">
        <v>2838</v>
      </c>
      <c r="B16" s="2745" t="s">
        <v>2839</v>
      </c>
      <c r="C16" s="1803" t="e">
        <f>ROUND(SUM(G17:J17)/C17,0)</f>
        <v>#DIV/0!</v>
      </c>
      <c r="D16" s="2779" t="s">
        <v>2840</v>
      </c>
      <c r="E16" s="2780"/>
      <c r="F16" s="2781"/>
      <c r="G16" s="2782"/>
      <c r="H16" s="2782"/>
      <c r="I16" s="2782"/>
      <c r="J16" s="2783"/>
      <c r="K16" s="1373"/>
      <c r="L16" s="2784" t="s">
        <v>2841</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44"/>
      <c r="B17" s="2785" t="s">
        <v>2842</v>
      </c>
      <c r="C17" s="924">
        <f>SUMPRODUCT((修正!A2:A5=E2)*(修正!B1:M1=G2)*(修正!B2:M5))</f>
        <v>0</v>
      </c>
      <c r="D17" s="2786" t="s">
        <v>2843</v>
      </c>
      <c r="E17" s="923" t="str">
        <f>IF(OR(G2="八级",G2="九级",G2="十级",G2="十一级",G2="十二级"),"五通一平","七通一平")</f>
        <v>七通一平</v>
      </c>
      <c r="F17" s="924" t="s">
        <v>2844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2845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807</v>
      </c>
      <c r="B18" s="2790" t="s">
        <v>2846</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808</v>
      </c>
      <c r="B19" s="2790" t="s">
        <v>2847</v>
      </c>
      <c r="C19" s="927" t="e">
        <f>ROUND(IF(H19="按公示增长率计算",SUMPRODUCT((地价!A3:A24=YEAR(G19)&amp;"-"&amp;ROUNDUP(MONTH(G19)/3,0))*(地价!X2:AB2=E2)*(地价!X3:AB24)),IF(H19="地价指数",M20/M19,(1+I19)^O19)),4)</f>
        <v>#DIV/0!</v>
      </c>
      <c r="D19" s="2797" t="s">
        <v>2848</v>
      </c>
      <c r="E19" s="928">
        <v>41640</v>
      </c>
      <c r="F19" s="2797" t="s">
        <v>2849</v>
      </c>
      <c r="G19" s="929">
        <f>'数据-取费表'!B2</f>
        <v>43420</v>
      </c>
      <c r="H19" s="2798" t="s">
        <v>2850</v>
      </c>
      <c r="I19" s="930" t="str">
        <f>IF(H19="季度增幅（自定义）",SUMIF(N21:N24,E2,O21:O24),"")</f>
        <v/>
      </c>
      <c r="J19" s="2795"/>
      <c r="K19" s="1380"/>
      <c r="L19" s="2799" t="s">
        <v>2851</v>
      </c>
      <c r="M19" s="1736">
        <f>ROUND(SUMIF(地价!B2:F2,E2,地价!B24:F24),0)</f>
        <v>0</v>
      </c>
      <c r="N19" s="2800" t="s">
        <v>2852</v>
      </c>
      <c r="O19" s="931">
        <f>ROUNDDOWN(DATEDIF(E19,G19,"M")/3,0)</f>
        <v>19</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809</v>
      </c>
      <c r="B20" s="2805" t="s">
        <v>2853</v>
      </c>
      <c r="C20" s="932" t="e">
        <f>ROUND(POWER(1+G20,J20-I20)*(POWER(1+G20,I20)-1)/(POWER(1+G20,J20)-1),4)</f>
        <v>#DIV/0!</v>
      </c>
      <c r="D20" s="2806" t="s">
        <v>2854</v>
      </c>
      <c r="E20" s="1770">
        <f ca="1">存贷款利率!D4/100</f>
        <v>4.3499999999999997E-2</v>
      </c>
      <c r="F20" s="2806" t="s">
        <v>2845</v>
      </c>
      <c r="G20" s="937">
        <f>SUMIF(M15:P15,E2,M17:P17)</f>
        <v>0</v>
      </c>
      <c r="H20" s="2806" t="s">
        <v>2855</v>
      </c>
      <c r="I20" s="938" t="e">
        <f>SUMIF('数据-取费表'!C6:C15,E2,'数据-取费表'!F6:F15)/COUNTIF('数据-取费表'!C6:C15,E2)</f>
        <v>#DIV/0!</v>
      </c>
      <c r="J20" s="939">
        <f>IF(E2="住宅",70,IF(E2="商业",40,50))</f>
        <v>50</v>
      </c>
      <c r="K20" s="1380"/>
      <c r="L20" s="2807" t="s">
        <v>2856</v>
      </c>
      <c r="M20" s="1737">
        <f>ROUND(SUMPRODUCT((地价!A4:A24=YEAR(G19)&amp;"-"&amp;ROUNDUP(MONTH(G19)/3,0))*(地价!B2:F2=E2)*(地价!B4:F24)),0)</f>
        <v>0</v>
      </c>
      <c r="N20" s="2808" t="s">
        <v>2857</v>
      </c>
      <c r="O20" s="2809" t="s">
        <v>2858</v>
      </c>
      <c r="P20" s="2810" t="s">
        <v>2859</v>
      </c>
      <c r="R20" s="1379"/>
      <c r="S20" s="1379"/>
      <c r="T20" s="1374"/>
      <c r="U20" s="1374"/>
      <c r="V20" s="1374"/>
      <c r="W20" s="1373"/>
      <c r="X20" s="1373"/>
      <c r="Y20" s="1373"/>
      <c r="Z20" s="1380"/>
      <c r="AA20" s="1381"/>
      <c r="AB20" s="1381"/>
      <c r="AC20" s="1381"/>
      <c r="AD20" s="1381"/>
      <c r="AE20" s="1381"/>
      <c r="AF20" s="1381"/>
    </row>
    <row r="21" spans="1:37" s="2738" customFormat="1" ht="15">
      <c r="A21" s="2811" t="s">
        <v>810</v>
      </c>
      <c r="B21" s="2812" t="s">
        <v>2860</v>
      </c>
      <c r="C21" s="940">
        <f>IF(B21="容积率修正",IF(G3&lt;=10,D22,J22),C23)</f>
        <v>0</v>
      </c>
      <c r="D21" s="2813"/>
      <c r="E21" s="2813"/>
      <c r="F21" s="2813"/>
      <c r="G21" s="2813"/>
      <c r="H21" s="2813"/>
      <c r="I21" s="2813"/>
      <c r="J21" s="2814"/>
      <c r="K21" s="1380"/>
      <c r="N21" s="2815" t="s">
        <v>2861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8" customFormat="1" ht="14.25">
      <c r="A22" s="2664" t="s">
        <v>2862</v>
      </c>
      <c r="B22" s="2816" t="s">
        <v>2863</v>
      </c>
      <c r="C22" s="1812" t="s">
        <v>2864</v>
      </c>
      <c r="D22" s="1812" t="b">
        <f>IF(E22=G22,F22,IF(G3&lt;=10,ROUND(F22+(H22-F22)*(G3-E22)/(G22-E22),4),"——"))</f>
        <v>0</v>
      </c>
      <c r="E22" s="916">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5" t="s">
        <v>2865</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4" t="s">
        <v>2866</v>
      </c>
      <c r="B23" s="2817" t="s">
        <v>2867</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2868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6"/>
    </row>
    <row r="24" spans="1:37" s="2738" customFormat="1" ht="15.75" thickBot="1">
      <c r="A24" s="2804" t="s">
        <v>811</v>
      </c>
      <c r="B24" s="2790" t="s">
        <v>2869</v>
      </c>
      <c r="C24" s="927">
        <f>SUMIF(A45:A88,E2,B45:B88)</f>
        <v>0</v>
      </c>
      <c r="D24" s="2793"/>
      <c r="E24" s="2823"/>
      <c r="F24" s="2823"/>
      <c r="G24" s="2823"/>
      <c r="H24" s="2823"/>
      <c r="I24" s="2823"/>
      <c r="J24" s="2824"/>
      <c r="K24" s="1380"/>
      <c r="N24" s="2825" t="s">
        <v>2870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4" t="s">
        <v>812</v>
      </c>
      <c r="B25" s="2826" t="s">
        <v>2871</v>
      </c>
      <c r="C25" s="933"/>
      <c r="D25" s="2748"/>
      <c r="E25" s="2748"/>
      <c r="F25" s="2827"/>
      <c r="G25" s="2748"/>
      <c r="H25" s="2748"/>
      <c r="I25" s="2748"/>
      <c r="J25" s="2749"/>
      <c r="K25" s="1373"/>
      <c r="N25" s="2828" t="s">
        <v>2872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9"/>
      <c r="B26" s="2816" t="s">
        <v>2873</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2874</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2875</v>
      </c>
      <c r="C28" s="2840" t="s">
        <v>2876</v>
      </c>
      <c r="D28" s="2840" t="s">
        <v>2877</v>
      </c>
      <c r="E28" s="2841" t="s">
        <v>2878</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2879</v>
      </c>
      <c r="C29" s="206" t="e">
        <f>ROUND(C5*C18*C19*C20*C21*C24,0)</f>
        <v>#DIV/0!</v>
      </c>
      <c r="D29" s="2845"/>
      <c r="E29" s="945" t="e">
        <f>ROUND(C29*D29/10000,0)</f>
        <v>#DIV/0!</v>
      </c>
      <c r="F29" s="2846" t="s">
        <v>2880</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2881</v>
      </c>
      <c r="C30" s="229" t="e">
        <f>ROUND(IF(E2="工业",C29*M39,C29*M38),0)</f>
        <v>#DIV/0!</v>
      </c>
      <c r="D30" s="2851"/>
      <c r="E30" s="945" t="e">
        <f>ROUND(C30*D30/10000,0)</f>
        <v>#DIV/0!</v>
      </c>
      <c r="F30" s="2852" t="s">
        <v>2882</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2883</v>
      </c>
      <c r="C31" s="2857" t="s">
        <v>2884</v>
      </c>
      <c r="D31" s="2761"/>
      <c r="E31" s="2857"/>
      <c r="F31" s="2857"/>
      <c r="G31" s="2759" t="s">
        <v>2885</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2876</v>
      </c>
      <c r="D32" s="498" t="s">
        <v>2877</v>
      </c>
      <c r="E32" s="498" t="s">
        <v>2878</v>
      </c>
      <c r="F32" s="388" t="s">
        <v>2886</v>
      </c>
      <c r="G32" s="2860" t="s">
        <v>2876</v>
      </c>
      <c r="H32" s="2860" t="s">
        <v>2877</v>
      </c>
      <c r="I32" s="2860" t="s">
        <v>2878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51" t="s">
        <v>2887</v>
      </c>
      <c r="B33" s="2861" t="s">
        <v>2888</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2"/>
      <c r="B34" s="2765" t="s">
        <v>2889</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2"/>
      <c r="B35" s="2765" t="s">
        <v>2890</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53"/>
      <c r="B36" s="2765" t="s">
        <v>2891</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2892</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2893</v>
      </c>
      <c r="M37" s="2865"/>
      <c r="N37" s="1373"/>
      <c r="O37" s="1373"/>
      <c r="P37" s="1373"/>
      <c r="Q37" s="1373"/>
      <c r="R37" s="1373"/>
      <c r="S37" s="1373"/>
      <c r="T37" s="1373"/>
      <c r="U37" s="1373"/>
      <c r="V37" s="1373"/>
      <c r="W37" s="1373"/>
      <c r="X37" s="1373"/>
      <c r="Y37" s="1373"/>
      <c r="Z37" s="1374"/>
    </row>
    <row r="38" spans="1:37">
      <c r="A38" s="2863"/>
      <c r="B38" s="2765" t="s">
        <v>2894</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89" t="s">
        <v>2895</v>
      </c>
      <c r="M38" s="2866">
        <v>0.25</v>
      </c>
      <c r="N38" s="1373"/>
      <c r="O38" s="1373"/>
      <c r="P38" s="1373"/>
      <c r="Q38" s="1373"/>
      <c r="R38" s="1373"/>
      <c r="S38" s="1373"/>
      <c r="T38" s="1373"/>
      <c r="U38" s="1373"/>
      <c r="V38" s="1373"/>
      <c r="W38" s="1373"/>
      <c r="X38" s="1373"/>
      <c r="Y38" s="1373"/>
      <c r="Z38" s="1374"/>
    </row>
    <row r="39" spans="1:37" ht="13.5" thickBot="1">
      <c r="A39" s="2849"/>
      <c r="B39" s="2867" t="s">
        <v>2896</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2837</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2897</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2898</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2899</v>
      </c>
      <c r="B47" s="1811" t="s">
        <v>2900</v>
      </c>
      <c r="C47" s="1811" t="s">
        <v>2901</v>
      </c>
      <c r="D47" s="1811" t="s">
        <v>2902</v>
      </c>
      <c r="E47" s="819" t="s">
        <v>2903</v>
      </c>
      <c r="F47" s="2879" t="s">
        <v>2904</v>
      </c>
      <c r="G47" s="1811" t="s">
        <v>754</v>
      </c>
      <c r="H47" s="2880" t="s">
        <v>2905</v>
      </c>
      <c r="I47" s="1811" t="s">
        <v>2906</v>
      </c>
      <c r="J47" s="603" t="s">
        <v>2554</v>
      </c>
      <c r="K47" s="603" t="s">
        <v>2555</v>
      </c>
      <c r="L47" s="603" t="s">
        <v>2556</v>
      </c>
      <c r="M47" s="603" t="s">
        <v>2557</v>
      </c>
      <c r="N47" s="603" t="s">
        <v>2558</v>
      </c>
      <c r="AA47" s="1374"/>
      <c r="AB47" s="1374"/>
      <c r="AC47" s="1374"/>
      <c r="AD47" s="1374"/>
      <c r="AE47" s="1374"/>
      <c r="AF47" s="1374"/>
      <c r="AG47" s="1374"/>
      <c r="AH47" s="1374"/>
      <c r="AI47" s="1374"/>
      <c r="AJ47" s="1374"/>
      <c r="AK47" s="1374"/>
    </row>
    <row r="48" spans="1:37" s="1373" customFormat="1" ht="38.25">
      <c r="A48" s="2878" t="s">
        <v>2907</v>
      </c>
      <c r="B48" s="2881" t="str">
        <f>估价对象房地状况!C4</f>
        <v>估价对象位于五一路西侧，周边商业氛围成熟度一般，周边有云天尚品广场等项目，人流量一般，商业繁华度一般</v>
      </c>
      <c r="C48" s="2770"/>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2908</v>
      </c>
      <c r="B49" s="2882" t="str">
        <f>估价对象房地状况!C18</f>
        <v>估价对象周边道路状况较好、公共交通通达情况较好、停车便捷程度较好，周边有香河203、/20路等公交线路，综合评价交通便捷度较好</v>
      </c>
      <c r="C49" s="2770"/>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2909</v>
      </c>
      <c r="B50" s="2882" t="str">
        <f>估价对象房地状况!C19</f>
        <v>较一致</v>
      </c>
      <c r="C50" s="2770"/>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2910</v>
      </c>
      <c r="B51" s="2883" t="s">
        <v>2911</v>
      </c>
      <c r="C51" s="2770"/>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2912</v>
      </c>
      <c r="B52" s="2882" t="str">
        <f>估价对象房地状况!C24</f>
        <v>主干道-五一路</v>
      </c>
      <c r="C52" s="2770"/>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2913</v>
      </c>
      <c r="B53" s="2884" t="s">
        <v>2914</v>
      </c>
      <c r="C53" s="2770"/>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2915</v>
      </c>
      <c r="B54" s="1727" t="str">
        <f>估价对象房地状况!C21</f>
        <v>估价对象所在区域公共配套设施齐备情况较好</v>
      </c>
      <c r="C54" s="2770"/>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2916</v>
      </c>
      <c r="B55" s="2882" t="str">
        <f>估价对象房地状况!C22</f>
        <v>估价对象所在区域基础设施水平较好</v>
      </c>
      <c r="C55" s="2770"/>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2917</v>
      </c>
      <c r="B56" s="2887" t="str">
        <f>估价对象房地状况!C20</f>
        <v>区域自然环境较好，人文环境较好，周边有廊坊广播电视大学(香河县分校)、五一公园等；综合评价环境状况较好</v>
      </c>
      <c r="C56" s="2770"/>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2918</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2899</v>
      </c>
      <c r="B58" s="1811"/>
      <c r="C58" s="1811" t="s">
        <v>2901</v>
      </c>
      <c r="D58" s="1811" t="s">
        <v>2902</v>
      </c>
      <c r="E58" s="819" t="s">
        <v>2903</v>
      </c>
      <c r="F58" s="2879" t="s">
        <v>2919</v>
      </c>
      <c r="G58" s="1811" t="s">
        <v>754</v>
      </c>
      <c r="H58" s="2880" t="s">
        <v>2905</v>
      </c>
      <c r="I58" s="1811" t="s">
        <v>2906</v>
      </c>
      <c r="J58" s="603" t="s">
        <v>2554</v>
      </c>
      <c r="K58" s="603" t="s">
        <v>2555</v>
      </c>
      <c r="L58" s="603" t="s">
        <v>2556</v>
      </c>
      <c r="M58" s="603" t="s">
        <v>2557</v>
      </c>
      <c r="N58" s="603" t="s">
        <v>2558</v>
      </c>
      <c r="AA58" s="1374"/>
      <c r="AB58" s="1374"/>
      <c r="AC58" s="1374"/>
      <c r="AD58" s="1374"/>
      <c r="AE58" s="1374"/>
      <c r="AF58" s="1374"/>
      <c r="AG58" s="1374"/>
      <c r="AH58" s="1374"/>
      <c r="AI58" s="1374"/>
      <c r="AJ58" s="1374"/>
      <c r="AK58" s="1374"/>
    </row>
    <row r="59" spans="1:37" s="1373" customFormat="1" ht="24">
      <c r="A59" s="2878" t="s">
        <v>2920</v>
      </c>
      <c r="B59" s="2881">
        <f>估价对象房地状况!C17</f>
        <v>0</v>
      </c>
      <c r="C59" s="2770"/>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2908</v>
      </c>
      <c r="B60" s="2882" t="str">
        <f>估价对象房地状况!C18</f>
        <v>估价对象周边道路状况较好、公共交通通达情况较好、停车便捷程度较好，周边有香河203、/20路等公交线路，综合评价交通便捷度较好</v>
      </c>
      <c r="C60" s="2770"/>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2909</v>
      </c>
      <c r="B61" s="2882" t="str">
        <f>估价对象房地状况!C19</f>
        <v>较一致</v>
      </c>
      <c r="C61" s="2770"/>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2910</v>
      </c>
      <c r="B62" s="2883" t="s">
        <v>2911</v>
      </c>
      <c r="C62" s="2770"/>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2912</v>
      </c>
      <c r="B63" s="2882" t="str">
        <f>估价对象房地状况!C24</f>
        <v>主干道-五一路</v>
      </c>
      <c r="C63" s="2770"/>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2913</v>
      </c>
      <c r="B64" s="2884" t="s">
        <v>2914</v>
      </c>
      <c r="C64" s="2770"/>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2915</v>
      </c>
      <c r="B65" s="1727" t="str">
        <f>估价对象房地状况!C21</f>
        <v>估价对象所在区域公共配套设施齐备情况较好</v>
      </c>
      <c r="C65" s="2770"/>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2916</v>
      </c>
      <c r="B66" s="1727" t="str">
        <f>估价对象房地状况!C22</f>
        <v>估价对象所在区域基础设施水平较好</v>
      </c>
      <c r="C66" s="2770"/>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2917</v>
      </c>
      <c r="B67" s="2888" t="str">
        <f>估价对象房地状况!C20</f>
        <v>区域自然环境较好，人文环境较好，周边有廊坊广播电视大学(香河县分校)、五一公园等；综合评价环境状况较好</v>
      </c>
      <c r="C67" s="2770"/>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2921</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2899</v>
      </c>
      <c r="B69" s="1811"/>
      <c r="C69" s="1811" t="s">
        <v>2901</v>
      </c>
      <c r="D69" s="1811" t="s">
        <v>2902</v>
      </c>
      <c r="E69" s="819" t="s">
        <v>2903</v>
      </c>
      <c r="F69" s="2879" t="s">
        <v>2919</v>
      </c>
      <c r="G69" s="1811" t="s">
        <v>754</v>
      </c>
      <c r="H69" s="2880" t="s">
        <v>2905</v>
      </c>
      <c r="I69" s="1811" t="s">
        <v>2906</v>
      </c>
      <c r="J69" s="603" t="s">
        <v>2554</v>
      </c>
      <c r="K69" s="603" t="s">
        <v>2555</v>
      </c>
      <c r="L69" s="603" t="s">
        <v>2556</v>
      </c>
      <c r="M69" s="603" t="s">
        <v>2557</v>
      </c>
      <c r="N69" s="603" t="s">
        <v>2558</v>
      </c>
      <c r="AA69" s="1374"/>
      <c r="AB69" s="1374"/>
      <c r="AC69" s="1374"/>
      <c r="AD69" s="1374"/>
      <c r="AE69" s="1374"/>
      <c r="AF69" s="1374"/>
      <c r="AG69" s="1374"/>
      <c r="AH69" s="1374"/>
      <c r="AI69" s="1374"/>
      <c r="AJ69" s="1374"/>
      <c r="AK69" s="1374"/>
    </row>
    <row r="70" spans="1:37" s="1373" customFormat="1" ht="51">
      <c r="A70" s="2878" t="s">
        <v>2922</v>
      </c>
      <c r="B70" s="2881" t="str">
        <f>估价对象房地状况!C15</f>
        <v>估价对象周边居住用地比例较好、居住小区规模和社区发展完善程度较好，周边有师范小区、公元壹号等住宅项目，综合评价居住社区成熟度较好</v>
      </c>
      <c r="C70" s="2770"/>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2908</v>
      </c>
      <c r="B71" s="2882" t="str">
        <f>估价对象房地状况!C18</f>
        <v>估价对象周边道路状况较好、公共交通通达情况较好、停车便捷程度较好，周边有香河203、/20路等公交线路，综合评价交通便捷度较好</v>
      </c>
      <c r="C71" s="2770"/>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2909</v>
      </c>
      <c r="B72" s="2882" t="str">
        <f>估价对象房地状况!C19</f>
        <v>较一致</v>
      </c>
      <c r="C72" s="2770"/>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2923</v>
      </c>
      <c r="B73" s="2882" t="str">
        <f>估价对象房地状况!C24</f>
        <v>主干道-五一路</v>
      </c>
      <c r="C73" s="2770"/>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2915</v>
      </c>
      <c r="B74" s="1727" t="str">
        <f>估价对象房地状况!C21</f>
        <v>估价对象所在区域公共配套设施齐备情况较好</v>
      </c>
      <c r="C74" s="2770"/>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2916</v>
      </c>
      <c r="B75" s="1727" t="str">
        <f>估价对象房地状况!C22</f>
        <v>估价对象所在区域基础设施水平较好</v>
      </c>
      <c r="C75" s="2770"/>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2913</v>
      </c>
      <c r="B76" s="2884" t="s">
        <v>2914</v>
      </c>
      <c r="C76" s="2770"/>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2917</v>
      </c>
      <c r="B77" s="2881" t="str">
        <f>估价对象房地状况!C20</f>
        <v>区域自然环境较好，人文环境较好，周边有廊坊广播电视大学(香河县分校)、五一公园等；综合评价环境状况较好</v>
      </c>
      <c r="C77" s="2770"/>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2924</v>
      </c>
      <c r="B78" s="2890"/>
      <c r="C78" s="2770"/>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2925</v>
      </c>
      <c r="B79" s="2875">
        <f>1+E81</f>
        <v>1</v>
      </c>
      <c r="C79" s="814"/>
      <c r="D79" s="814"/>
      <c r="E79" s="815"/>
      <c r="F79" s="2877"/>
      <c r="G79" s="6"/>
      <c r="H79" s="6"/>
      <c r="I79" s="6"/>
      <c r="J79" s="7"/>
      <c r="K79" s="7"/>
      <c r="L79" s="7"/>
      <c r="M79" s="7"/>
      <c r="N79" s="7"/>
      <c r="Z79" s="2720"/>
      <c r="AA79" s="2796"/>
      <c r="AG79" s="1375"/>
      <c r="AK79" s="2796"/>
    </row>
    <row r="80" spans="1:37" ht="24.75">
      <c r="A80" s="2878" t="s">
        <v>2899</v>
      </c>
      <c r="B80" s="1811"/>
      <c r="C80" s="1811" t="s">
        <v>2901</v>
      </c>
      <c r="D80" s="1811" t="s">
        <v>2902</v>
      </c>
      <c r="E80" s="819" t="s">
        <v>2903</v>
      </c>
      <c r="F80" s="2879" t="s">
        <v>2919</v>
      </c>
      <c r="G80" s="1811" t="s">
        <v>754</v>
      </c>
      <c r="H80" s="2880" t="s">
        <v>2905</v>
      </c>
      <c r="I80" s="1811" t="s">
        <v>2906</v>
      </c>
      <c r="J80" s="603" t="s">
        <v>2554</v>
      </c>
      <c r="K80" s="603" t="s">
        <v>2555</v>
      </c>
      <c r="L80" s="603" t="s">
        <v>2556</v>
      </c>
      <c r="M80" s="603" t="s">
        <v>2557</v>
      </c>
      <c r="N80" s="603" t="s">
        <v>2558</v>
      </c>
      <c r="Z80" s="2720"/>
      <c r="AA80" s="2796"/>
      <c r="AG80" s="1375"/>
      <c r="AK80" s="2796"/>
    </row>
    <row r="81" spans="1:37" ht="24">
      <c r="A81" s="2878" t="s">
        <v>2926</v>
      </c>
      <c r="B81" s="2882">
        <f>估价对象房地状况!G15</f>
        <v>0</v>
      </c>
      <c r="C81" s="2770"/>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14.25">
      <c r="A82" s="2878" t="s">
        <v>2908</v>
      </c>
      <c r="B82" s="2882">
        <f>估价对象房地状况!G16</f>
        <v>0</v>
      </c>
      <c r="C82" s="2770"/>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2909</v>
      </c>
      <c r="B83" s="2882">
        <f>估价对象房地状况!G17</f>
        <v>0</v>
      </c>
      <c r="C83" s="2770"/>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2923</v>
      </c>
      <c r="B84" s="2882">
        <f>估价对象房地状况!G22</f>
        <v>0</v>
      </c>
      <c r="C84" s="2770"/>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4">
      <c r="A85" s="2878" t="s">
        <v>2915</v>
      </c>
      <c r="B85" s="1727">
        <f>估价对象房地状况!G19</f>
        <v>0</v>
      </c>
      <c r="C85" s="2770"/>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4">
      <c r="A86" s="2878" t="s">
        <v>2916</v>
      </c>
      <c r="B86" s="1727">
        <f>估价对象房地状况!G20</f>
        <v>0</v>
      </c>
      <c r="C86" s="2770"/>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2913</v>
      </c>
      <c r="B87" s="2884" t="s">
        <v>2927</v>
      </c>
      <c r="C87" s="2770"/>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15" thickBot="1">
      <c r="A88" s="2886" t="s">
        <v>2928</v>
      </c>
      <c r="B88" s="2891">
        <f>估价对象房地状况!G18</f>
        <v>0</v>
      </c>
      <c r="C88" s="2770"/>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45" t="s">
        <v>2929</v>
      </c>
      <c r="B90" s="3245"/>
      <c r="C90" s="3245"/>
      <c r="D90" s="3245"/>
      <c r="E90" s="3245"/>
      <c r="F90" s="3245"/>
      <c r="G90" s="3245"/>
      <c r="H90" s="3245"/>
      <c r="I90" s="3245"/>
      <c r="J90" s="3245"/>
      <c r="K90" s="2892"/>
      <c r="L90" s="2892"/>
      <c r="M90" s="2892"/>
      <c r="N90" s="2892"/>
    </row>
    <row r="91" spans="1:37">
      <c r="A91" s="3247" t="s">
        <v>2930</v>
      </c>
      <c r="B91" s="3247" t="s">
        <v>2931</v>
      </c>
      <c r="C91" s="2846" t="s">
        <v>2932</v>
      </c>
      <c r="D91" s="2847"/>
      <c r="E91" s="2847"/>
      <c r="F91" s="2847"/>
      <c r="G91" s="2847"/>
      <c r="H91" s="2847"/>
      <c r="I91" s="2847"/>
      <c r="J91" s="2893"/>
      <c r="K91" s="2894"/>
      <c r="L91" s="2894"/>
      <c r="M91" s="2894"/>
      <c r="N91" s="2894"/>
    </row>
    <row r="92" spans="1:37">
      <c r="A92" s="3247"/>
      <c r="B92" s="3247"/>
      <c r="C92" s="945" t="s">
        <v>2796</v>
      </c>
      <c r="D92" s="945" t="s">
        <v>2797</v>
      </c>
      <c r="E92" s="945" t="s">
        <v>2798</v>
      </c>
      <c r="F92" s="945" t="s">
        <v>2799</v>
      </c>
      <c r="G92" s="945" t="s">
        <v>2800</v>
      </c>
      <c r="H92" s="945" t="s">
        <v>2801</v>
      </c>
      <c r="I92" s="945" t="s">
        <v>2802</v>
      </c>
      <c r="J92" s="945" t="s">
        <v>2803</v>
      </c>
      <c r="K92" s="945" t="s">
        <v>2804</v>
      </c>
      <c r="L92" s="945" t="s">
        <v>2805</v>
      </c>
      <c r="M92" s="945" t="s">
        <v>2806</v>
      </c>
      <c r="N92" s="945" t="s">
        <v>2807</v>
      </c>
    </row>
    <row r="93" spans="1:37">
      <c r="A93" s="3248" t="s">
        <v>2933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4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4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4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4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4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49"/>
      <c r="B99" s="2895" t="s">
        <v>2812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5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48" t="s">
        <v>2934</v>
      </c>
      <c r="B101" s="2899" t="s">
        <v>2935</v>
      </c>
      <c r="C101" s="2900">
        <f>$G$3</f>
        <v>2.5</v>
      </c>
      <c r="D101" s="2900">
        <f t="shared" ref="D101:N101" si="31">$G$3</f>
        <v>2.5</v>
      </c>
      <c r="E101" s="2900">
        <f t="shared" si="31"/>
        <v>2.5</v>
      </c>
      <c r="F101" s="2900">
        <f t="shared" si="31"/>
        <v>2.5</v>
      </c>
      <c r="G101" s="2900">
        <f t="shared" si="31"/>
        <v>2.5</v>
      </c>
      <c r="H101" s="2900">
        <f t="shared" si="31"/>
        <v>2.5</v>
      </c>
      <c r="I101" s="2900">
        <f t="shared" si="31"/>
        <v>2.5</v>
      </c>
      <c r="J101" s="2900">
        <f t="shared" si="31"/>
        <v>2.5</v>
      </c>
      <c r="K101" s="2900">
        <f t="shared" si="31"/>
        <v>2.5</v>
      </c>
      <c r="L101" s="2900">
        <f t="shared" si="31"/>
        <v>2.5</v>
      </c>
      <c r="M101" s="2900">
        <f t="shared" si="31"/>
        <v>2.5</v>
      </c>
      <c r="N101" s="2900">
        <f t="shared" si="31"/>
        <v>2.5</v>
      </c>
    </row>
    <row r="102" spans="1:14">
      <c r="A102" s="3249"/>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249"/>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249"/>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249"/>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249"/>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249"/>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249"/>
      <c r="B108" s="3077" t="s">
        <v>2936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50"/>
      <c r="B109" s="3078"/>
      <c r="C109" s="2898">
        <f>(-0.163*(C108^2)-0.59*C108+7617)*(10^(-4))/C101</f>
        <v>0.30468000000000001</v>
      </c>
      <c r="D109" s="2898">
        <f>(-0.163*(D108^2)-0.59*D108+7617)*(10^(-4))/D101</f>
        <v>0.30468000000000001</v>
      </c>
      <c r="E109" s="2898">
        <f>(-0.161*(E108^2)-7.509*E108+6533)*(10^(-4))/E101</f>
        <v>0.26132</v>
      </c>
      <c r="F109" s="2898">
        <f>(-0.161*(F108^2)-7.509*F108+6533)*(10^(-4))/F101</f>
        <v>0.26132</v>
      </c>
      <c r="G109" s="2898">
        <f>(-0.161*(G108^2)-7.509*G108+6533)*(10^(-4))/G101</f>
        <v>0.26132</v>
      </c>
      <c r="H109" s="2898">
        <f>(-0.161*(H108^2)-7.509*H108+6533)*(10^(-4))/H101</f>
        <v>0.26132</v>
      </c>
      <c r="I109" s="2898">
        <f>(-0.161*(I108^2)-7.509*I108+6533)*(10^(-4))/I101</f>
        <v>0.26132</v>
      </c>
      <c r="J109" s="2898">
        <f>(-0.214*(J108^2)-21.991*J108+4665)*(10^(-4))/J101</f>
        <v>0.18660000000000002</v>
      </c>
      <c r="K109" s="2898">
        <f>(-0.214*(K108^2)-21.991*K108+4665)*(10^(-4))/K101</f>
        <v>0.18660000000000002</v>
      </c>
      <c r="L109" s="2898">
        <f>(-0.214*(L108^2)-21.991*L108+4665)*(10^(-4))/L101</f>
        <v>0.18660000000000002</v>
      </c>
      <c r="M109" s="2898">
        <f>(-0.214*(M108^2)-21.991*M108+4665)*(10^(-4))/M101</f>
        <v>0.18660000000000002</v>
      </c>
      <c r="N109" s="2898">
        <f>(-0.214*(N108^2)-21.991*N108+4665)*(10^(-4))/N101</f>
        <v>0.18660000000000002</v>
      </c>
    </row>
    <row r="110" spans="1:14">
      <c r="A110" s="3246" t="s">
        <v>2937</v>
      </c>
      <c r="B110" s="3246"/>
      <c r="C110" s="3246"/>
      <c r="D110" s="3246"/>
      <c r="E110" s="3246"/>
      <c r="F110" s="3246"/>
      <c r="G110" s="3246"/>
      <c r="H110" s="3246"/>
      <c r="I110" s="3246"/>
      <c r="J110" s="3246"/>
      <c r="K110" s="2901"/>
      <c r="L110" s="2901"/>
      <c r="M110" s="2901"/>
      <c r="N110" s="2901"/>
    </row>
    <row r="112" spans="1:14" ht="13.5" thickBot="1"/>
    <row r="113" spans="1:13" ht="25.5" thickBot="1">
      <c r="A113" s="903" t="s">
        <v>2938</v>
      </c>
      <c r="B113" s="1290">
        <f>G3</f>
        <v>2.5</v>
      </c>
      <c r="C113" s="904" t="s">
        <v>2939</v>
      </c>
      <c r="D113" s="905">
        <f>SUMPRODUCT((A115:A118=F113)*(B114:M114=H113)*B115:M118)</f>
        <v>0</v>
      </c>
      <c r="E113" s="2724" t="s">
        <v>2769</v>
      </c>
      <c r="F113" s="2903">
        <f>E2</f>
        <v>0</v>
      </c>
      <c r="G113" s="2724" t="s">
        <v>2770</v>
      </c>
      <c r="H113" s="2903">
        <f>G2</f>
        <v>0</v>
      </c>
      <c r="I113" s="2724"/>
      <c r="J113" s="2904"/>
      <c r="K113" s="2904"/>
      <c r="L113" s="2904"/>
      <c r="M113" s="2904"/>
    </row>
    <row r="114" spans="1:13">
      <c r="A114" s="908"/>
      <c r="B114" s="2905" t="s">
        <v>2940</v>
      </c>
      <c r="C114" s="2905" t="s">
        <v>2941</v>
      </c>
      <c r="D114" s="2905" t="s">
        <v>2942</v>
      </c>
      <c r="E114" s="2906" t="s">
        <v>2943</v>
      </c>
      <c r="F114" s="2906" t="s">
        <v>2944</v>
      </c>
      <c r="G114" s="2906" t="s">
        <v>2945</v>
      </c>
      <c r="H114" s="2907" t="s">
        <v>2946</v>
      </c>
      <c r="I114" s="2907" t="s">
        <v>2947</v>
      </c>
      <c r="J114" s="2908" t="s">
        <v>2948</v>
      </c>
      <c r="K114" s="2908" t="s">
        <v>2949</v>
      </c>
      <c r="L114" s="2908" t="s">
        <v>2950</v>
      </c>
      <c r="M114" s="2909" t="s">
        <v>2951</v>
      </c>
    </row>
    <row r="115" spans="1:13">
      <c r="A115" s="909" t="s">
        <v>2834</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2835</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2836</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2837</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2960</v>
      </c>
    </row>
    <row r="2" spans="1:5" ht="15.75">
      <c r="A2" s="2910" t="s">
        <v>2952</v>
      </c>
      <c r="B2" s="2911" t="e">
        <f ca="1">SUMIF(B6:B13,"&lt;&gt;#ref!",B6:B13)</f>
        <v>#DIV/0!</v>
      </c>
      <c r="C2" s="2910" t="s">
        <v>2953</v>
      </c>
      <c r="D2" s="2910" t="s">
        <v>2954</v>
      </c>
      <c r="E2" s="2911">
        <f ca="1">SUMIF(E6:E13,"&lt;&gt;#ref!",E6:E13)</f>
        <v>0</v>
      </c>
    </row>
    <row r="3" spans="1:5" ht="15.75">
      <c r="A3" s="2910" t="s">
        <v>2955</v>
      </c>
      <c r="B3" s="2911" t="e">
        <f ca="1">ROUND(B2*10000/E2,0)</f>
        <v>#DIV/0!</v>
      </c>
      <c r="C3" s="2910" t="s">
        <v>2961</v>
      </c>
      <c r="D3" s="2912"/>
      <c r="E3" s="2912"/>
    </row>
    <row r="4" spans="1:5" ht="15.75">
      <c r="A4" s="2913"/>
      <c r="B4" s="2912"/>
      <c r="C4" s="2912"/>
      <c r="D4" s="2912"/>
      <c r="E4" s="2912"/>
    </row>
    <row r="5" spans="1:5" ht="28.5">
      <c r="A5" s="2914" t="s">
        <v>2956</v>
      </c>
      <c r="B5" s="2910" t="s">
        <v>2957</v>
      </c>
      <c r="C5" s="2911"/>
      <c r="D5" s="2912"/>
      <c r="E5" s="2910" t="s">
        <v>2958</v>
      </c>
    </row>
    <row r="6" spans="1:5" ht="15.75">
      <c r="A6" s="2915" t="s">
        <v>2959</v>
      </c>
      <c r="B6" s="2911" t="e">
        <f ca="1">SUMIF(INDIRECT("'"&amp;A6&amp;"'"&amp;"!A:A"),"总价",INDIRECT("'"&amp;A6&amp;"'"&amp;"!B:B"))</f>
        <v>#DIV/0!</v>
      </c>
      <c r="C6" s="2910" t="s">
        <v>2953</v>
      </c>
      <c r="D6" s="2912"/>
      <c r="E6" s="2576">
        <f ca="1">SUMIF(INDIRECT("'"&amp;A6&amp;"'"&amp;"!C:C"),"建筑面积",INDIRECT("'"&amp;A6&amp;"'"&amp;"!D:D"))</f>
        <v>0</v>
      </c>
    </row>
    <row r="7" spans="1:5" ht="15.75">
      <c r="A7" s="2915"/>
      <c r="B7" s="2911" t="e">
        <f ca="1">SUMIF(INDIRECT("'"&amp;A7&amp;"'"&amp;"!A:A"),"总价",INDIRECT("'"&amp;A7&amp;"'"&amp;"!B:B"))</f>
        <v>#REF!</v>
      </c>
      <c r="C7" s="2910" t="s">
        <v>2953</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2953</v>
      </c>
      <c r="D8" s="2912"/>
      <c r="E8" s="2576" t="e">
        <f t="shared" ca="1" si="0"/>
        <v>#REF!</v>
      </c>
    </row>
    <row r="9" spans="1:5" ht="15.75">
      <c r="A9" s="2915"/>
      <c r="B9" s="2911" t="e">
        <f t="shared" ca="1" si="1"/>
        <v>#REF!</v>
      </c>
      <c r="C9" s="2910" t="s">
        <v>2953</v>
      </c>
      <c r="D9" s="2912"/>
      <c r="E9" s="2576" t="e">
        <f t="shared" ca="1" si="0"/>
        <v>#REF!</v>
      </c>
    </row>
    <row r="10" spans="1:5" ht="15.75">
      <c r="A10" s="2915"/>
      <c r="B10" s="2911" t="e">
        <f t="shared" ca="1" si="1"/>
        <v>#REF!</v>
      </c>
      <c r="C10" s="2910" t="s">
        <v>2953</v>
      </c>
      <c r="D10" s="2912"/>
      <c r="E10" s="2576" t="e">
        <f t="shared" ca="1" si="0"/>
        <v>#REF!</v>
      </c>
    </row>
    <row r="11" spans="1:5" ht="15.75">
      <c r="A11" s="2915"/>
      <c r="B11" s="2911" t="e">
        <f t="shared" ca="1" si="1"/>
        <v>#REF!</v>
      </c>
      <c r="C11" s="2910" t="s">
        <v>2953</v>
      </c>
      <c r="D11" s="2912"/>
      <c r="E11" s="2576" t="e">
        <f t="shared" ca="1" si="0"/>
        <v>#REF!</v>
      </c>
    </row>
    <row r="12" spans="1:5" ht="15.75">
      <c r="A12" s="2915"/>
      <c r="B12" s="2911" t="e">
        <f t="shared" ca="1" si="1"/>
        <v>#REF!</v>
      </c>
      <c r="C12" s="2910" t="s">
        <v>2953</v>
      </c>
      <c r="D12" s="2912"/>
      <c r="E12" s="2576" t="e">
        <f t="shared" ca="1" si="0"/>
        <v>#REF!</v>
      </c>
    </row>
    <row r="13" spans="1:5" ht="15.75">
      <c r="A13" s="2915"/>
      <c r="B13" s="2911" t="e">
        <f t="shared" ca="1" si="1"/>
        <v>#REF!</v>
      </c>
      <c r="C13" s="2910" t="s">
        <v>2953</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9" t="s">
        <v>1146</v>
      </c>
      <c r="C1" s="3269"/>
      <c r="D1" s="3269"/>
      <c r="E1" s="3269"/>
      <c r="F1" s="3269"/>
      <c r="G1" s="3265" t="s">
        <v>1147</v>
      </c>
      <c r="H1" s="3265"/>
      <c r="I1" s="3265"/>
      <c r="J1" s="3265"/>
      <c r="K1" s="3265"/>
      <c r="L1" s="3265"/>
      <c r="N1" s="3265" t="s">
        <v>1148</v>
      </c>
      <c r="O1" s="3265"/>
      <c r="P1" s="3265"/>
      <c r="Q1" s="3265"/>
      <c r="R1" s="1449"/>
      <c r="S1" s="3265" t="s">
        <v>1149</v>
      </c>
      <c r="T1" s="3265"/>
      <c r="U1" s="3265"/>
      <c r="V1" s="3265"/>
      <c r="X1" s="3264" t="s">
        <v>1150</v>
      </c>
      <c r="Y1" s="3265"/>
      <c r="Z1" s="3265"/>
      <c r="AA1" s="3265"/>
      <c r="AB1" s="3265"/>
      <c r="AD1" s="3264" t="s">
        <v>1151</v>
      </c>
      <c r="AE1" s="3265"/>
      <c r="AF1" s="3265"/>
      <c r="AG1" s="3265"/>
      <c r="AH1" s="326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9" customFormat="1" ht="14.25">
      <c r="A3" s="2938" t="s">
        <v>2995</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3003</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70">
        <f>I5/100</f>
        <v>0</v>
      </c>
      <c r="O5" s="1470">
        <f t="shared" ref="O5" si="7">J5/100</f>
        <v>0</v>
      </c>
      <c r="P5" s="1470">
        <f t="shared" ref="P5" si="8">K5/100</f>
        <v>0</v>
      </c>
      <c r="Q5" s="1470">
        <f t="shared" ref="Q5" si="9">L5/100</f>
        <v>0</v>
      </c>
      <c r="R5" s="1734"/>
      <c r="S5" s="1735"/>
      <c r="T5" s="1734"/>
      <c r="U5" s="1734"/>
      <c r="V5" s="1734"/>
      <c r="W5" s="2928" t="s">
        <v>2996</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3004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9"/>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3002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9"/>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2994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9"/>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2991</v>
      </c>
      <c r="B9" s="1472">
        <v>439</v>
      </c>
      <c r="C9" s="1472">
        <v>327</v>
      </c>
      <c r="D9" s="1472">
        <f>C9</f>
        <v>327</v>
      </c>
      <c r="E9" s="1472">
        <v>627</v>
      </c>
      <c r="F9" s="1473">
        <v>283</v>
      </c>
      <c r="G9" s="2926">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2992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2"/>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1"/>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2"/>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7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7"/>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7"/>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8"/>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6">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7"/>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7"/>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8"/>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6">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7"/>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7"/>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8"/>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1159</v>
      </c>
      <c r="B25" s="1472">
        <v>299</v>
      </c>
      <c r="C25" s="1472">
        <v>252</v>
      </c>
      <c r="D25" s="1472">
        <f t="shared" si="64"/>
        <v>252</v>
      </c>
      <c r="E25" s="1472">
        <v>409</v>
      </c>
      <c r="F25" s="1473">
        <v>227</v>
      </c>
      <c r="G25" s="327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6">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7"/>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7"/>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68"/>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6">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7">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7">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8">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6">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7">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7">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8">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6">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7">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7">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8">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6">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7">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7">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8">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6">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7">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7">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8">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6">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7">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7">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8">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6">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7">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7">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8">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6">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7">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7">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8">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6">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7">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7">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68">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6">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7">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7">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68">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2962</v>
      </c>
      <c r="C1" s="3275" t="s">
        <v>2963</v>
      </c>
      <c r="D1" s="3276"/>
      <c r="E1" s="3276"/>
      <c r="F1" s="3276"/>
      <c r="G1" s="3276"/>
      <c r="H1" s="3276"/>
      <c r="I1" s="3276"/>
      <c r="J1" s="3276"/>
      <c r="K1" s="3276"/>
      <c r="L1" s="3276"/>
      <c r="M1" s="3276"/>
      <c r="N1" s="3276"/>
      <c r="O1" s="3276"/>
      <c r="P1" s="3276"/>
      <c r="Q1" s="3276"/>
      <c r="R1" s="3276"/>
      <c r="S1" s="3277"/>
      <c r="T1" s="1207" t="s">
        <v>2964</v>
      </c>
    </row>
    <row r="2" spans="1:45" s="707" customFormat="1">
      <c r="A2" s="1208"/>
      <c r="B2" s="703" t="s">
        <v>2965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2966</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2967</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2968</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2970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2971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2972</v>
      </c>
      <c r="B17" s="2917" t="s">
        <v>2973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2974</v>
      </c>
      <c r="E19" s="1794"/>
      <c r="F19" s="1794"/>
      <c r="G19" s="1794"/>
      <c r="H19" s="1283"/>
      <c r="I19" s="168"/>
      <c r="J19" s="168"/>
      <c r="K19" s="168"/>
      <c r="L19" s="168"/>
      <c r="M19" s="168"/>
      <c r="N19" s="168"/>
      <c r="O19" s="168"/>
      <c r="P19" s="168"/>
      <c r="Q19" s="168"/>
      <c r="R19" s="788"/>
      <c r="S19" s="138"/>
    </row>
    <row r="20" spans="1:45" ht="16.5" thickBot="1">
      <c r="A20" s="715" t="s">
        <v>2975</v>
      </c>
      <c r="B20" s="338" t="e">
        <f ca="1">IF(D20="——",S22,S22-F20)</f>
        <v>#REF!</v>
      </c>
      <c r="C20" s="168"/>
      <c r="D20" s="2919" t="s">
        <v>2976</v>
      </c>
      <c r="E20" s="1795"/>
      <c r="F20" s="1207" t="e">
        <f ca="1">SUMIF(INDIRECT("'"&amp;H20&amp;"'"&amp;"!A:A"),"承租人权益价值",INDIRECT("'"&amp;H20&amp;"'"&amp;"!c:c"))</f>
        <v>#REF!</v>
      </c>
      <c r="G20" s="1207" t="s">
        <v>2977</v>
      </c>
      <c r="H20" s="2920"/>
      <c r="I20" s="168"/>
      <c r="J20" s="168"/>
      <c r="K20" s="168"/>
      <c r="L20" s="168"/>
      <c r="M20" s="168"/>
      <c r="N20" s="168"/>
      <c r="O20" s="168"/>
      <c r="P20" s="168"/>
      <c r="Q20" s="168"/>
      <c r="R20" s="788"/>
      <c r="S20" s="138"/>
    </row>
    <row r="21" spans="1:45" ht="15.75">
      <c r="A21" s="715" t="s">
        <v>2978</v>
      </c>
      <c r="B21" s="338">
        <f>R22</f>
        <v>10000</v>
      </c>
      <c r="C21" s="168"/>
      <c r="D21" s="168"/>
      <c r="E21" s="168"/>
      <c r="F21" s="168"/>
      <c r="G21" s="168"/>
      <c r="H21" s="168"/>
      <c r="I21" s="168"/>
      <c r="J21" s="168"/>
      <c r="K21" s="168"/>
      <c r="L21" s="168"/>
      <c r="M21" s="168"/>
      <c r="N21" s="168"/>
      <c r="O21" s="168"/>
      <c r="P21" s="168"/>
      <c r="Q21" s="168"/>
      <c r="R21" s="788"/>
      <c r="S21" s="138"/>
    </row>
    <row r="22" spans="1:45">
      <c r="A22" s="361" t="s">
        <v>2979</v>
      </c>
      <c r="B22" s="24">
        <f>SUM(B24:B10000)</f>
        <v>100</v>
      </c>
      <c r="C22" s="3058" t="s">
        <v>33</v>
      </c>
      <c r="D22" s="3059"/>
      <c r="E22" s="3059"/>
      <c r="F22" s="3059"/>
      <c r="G22" s="3059"/>
      <c r="H22" s="3059"/>
      <c r="I22" s="3059"/>
      <c r="J22" s="3059"/>
      <c r="K22" s="3059"/>
      <c r="L22" s="3059"/>
      <c r="M22" s="3059"/>
      <c r="N22" s="3059"/>
      <c r="O22" s="3059"/>
      <c r="P22" s="3059"/>
      <c r="Q22" s="3274"/>
      <c r="R22" s="716">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7" t="s">
        <v>2983</v>
      </c>
      <c r="S23" s="11" t="s">
        <v>2984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3"/>
      <c r="B4" s="2961" t="s">
        <v>1626</v>
      </c>
      <c r="C4" s="2961"/>
      <c r="D4" s="2961"/>
      <c r="E4" s="1963"/>
    </row>
    <row r="5" spans="1:5" ht="16.5" thickTop="1">
      <c r="A5" s="1961"/>
      <c r="B5" s="2959" t="s">
        <v>1618</v>
      </c>
      <c r="C5" s="1964" t="s">
        <v>1619</v>
      </c>
      <c r="D5" s="1043">
        <f ca="1">结果表!H101</f>
        <v>14490</v>
      </c>
      <c r="E5" s="1961"/>
    </row>
    <row r="6" spans="1:5" ht="15.75">
      <c r="A6" s="1961"/>
      <c r="B6" s="2959"/>
      <c r="C6" s="1964" t="s">
        <v>1620</v>
      </c>
      <c r="D6" s="1043" t="str">
        <f ca="1">NUMBERSTRING(INT(D5*10000),2)&amp;"元整"</f>
        <v>壹亿肆仟肆佰玖拾万元整</v>
      </c>
      <c r="E6" s="1961"/>
    </row>
    <row r="7" spans="1:5" ht="15.75">
      <c r="A7" s="1961"/>
      <c r="B7" s="2964"/>
      <c r="C7" s="1965" t="s">
        <v>1621</v>
      </c>
      <c r="D7" s="1044">
        <f ca="1">结果表!H102</f>
        <v>7359</v>
      </c>
      <c r="E7" s="1961"/>
    </row>
    <row r="8" spans="1:5" ht="15.75">
      <c r="A8" s="1961"/>
      <c r="B8" s="2965" t="str">
        <f>结果表!E103</f>
        <v>2.估价师知悉的法定优先受偿款</v>
      </c>
      <c r="C8" s="1966" t="s">
        <v>1622</v>
      </c>
      <c r="D8" s="1044">
        <f>结果表!H103</f>
        <v>0</v>
      </c>
      <c r="E8" s="1961"/>
    </row>
    <row r="9" spans="1:5" ht="15.75">
      <c r="A9" s="1961"/>
      <c r="B9" s="2967"/>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58" t="str">
        <f>结果表!E107</f>
        <v>3.房地产抵押价值</v>
      </c>
      <c r="C13" s="1969" t="s">
        <v>1619</v>
      </c>
      <c r="D13" s="1046">
        <f ca="1">结果表!H107</f>
        <v>14490</v>
      </c>
      <c r="E13" s="1961"/>
    </row>
    <row r="14" spans="1:5" ht="15.75">
      <c r="A14" s="1961"/>
      <c r="B14" s="2959"/>
      <c r="C14" s="1964" t="s">
        <v>1620</v>
      </c>
      <c r="D14" s="1043" t="str">
        <f ca="1">NUMBERSTRING(INT(D13*10000),2)&amp;"元整"</f>
        <v>壹亿肆仟肆佰玖拾万元整</v>
      </c>
      <c r="E14" s="1961"/>
    </row>
    <row r="15" spans="1:5" ht="15">
      <c r="A15" s="1961"/>
      <c r="B15" s="2964"/>
      <c r="C15" s="1965" t="s">
        <v>1630</v>
      </c>
      <c r="D15" s="1055">
        <f ca="1">结果表!H108</f>
        <v>7359</v>
      </c>
      <c r="E15" s="1961"/>
    </row>
    <row r="16" spans="1:5" ht="15">
      <c r="A16" s="1961"/>
      <c r="B16" s="2965" t="str">
        <f>结果表!E109</f>
        <v>——</v>
      </c>
      <c r="C16" s="1969" t="s">
        <v>1631</v>
      </c>
      <c r="D16" s="1970" t="str">
        <f>结果表!H109</f>
        <v>——</v>
      </c>
      <c r="E16" s="1961"/>
    </row>
    <row r="17" spans="1:5" ht="15.75">
      <c r="A17" s="1961"/>
      <c r="B17" s="2966"/>
      <c r="C17" s="1964" t="s">
        <v>1632</v>
      </c>
      <c r="D17" s="1043" t="e">
        <f>NUMBERSTRING(INT(D16*10000),2)&amp;"元整"</f>
        <v>#VALUE!</v>
      </c>
      <c r="E17" s="1961"/>
    </row>
    <row r="18" spans="1:5" ht="15">
      <c r="A18" s="1961"/>
      <c r="B18" s="2967"/>
      <c r="C18" s="1965" t="s">
        <v>1621</v>
      </c>
      <c r="D18" s="1055" t="str">
        <f>结果表!H110</f>
        <v>——</v>
      </c>
      <c r="E18" s="1961"/>
    </row>
    <row r="19" spans="1:5" ht="15.75">
      <c r="A19" s="1961"/>
      <c r="B19" s="2958" t="str">
        <f>结果表!E111</f>
        <v>——</v>
      </c>
      <c r="C19" s="1969" t="s">
        <v>1619</v>
      </c>
      <c r="D19" s="1044" t="str">
        <f>结果表!H111</f>
        <v>——</v>
      </c>
      <c r="E19" s="1961"/>
    </row>
    <row r="20" spans="1:5" ht="15.75">
      <c r="A20" s="1961"/>
      <c r="B20" s="2959"/>
      <c r="C20" s="1964" t="s">
        <v>1632</v>
      </c>
      <c r="D20" s="1043" t="e">
        <f>NUMBERSTRING(INT(D19*10000),2)&amp;"元整"</f>
        <v>#VALUE!</v>
      </c>
      <c r="E20" s="1961"/>
    </row>
    <row r="21" spans="1:5" ht="15.75" thickBot="1">
      <c r="A21" s="1961"/>
      <c r="B21" s="2960"/>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29353</v>
      </c>
      <c r="C2" s="2" t="s">
        <v>133</v>
      </c>
      <c r="D2" s="243"/>
      <c r="E2" s="243"/>
      <c r="F2" s="243"/>
      <c r="G2" s="243"/>
    </row>
    <row r="3" spans="1:7" s="244" customFormat="1" ht="18" customHeight="1" thickBot="1">
      <c r="A3" s="247" t="s">
        <v>85</v>
      </c>
      <c r="B3" s="248">
        <f ca="1">ROUND(B2*10000/'数据-汇总表'!E3,0)</f>
        <v>14908</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58</v>
      </c>
      <c r="D9" s="1035">
        <f>'数据-汇总表'!E5</f>
        <v>17457.14</v>
      </c>
      <c r="E9" s="269">
        <f>'数据-取费表'!B27</f>
        <v>33.200000000000003</v>
      </c>
      <c r="F9" s="265"/>
      <c r="G9" s="270"/>
    </row>
    <row r="10" spans="1:7" s="258" customFormat="1" ht="13.5" customHeight="1">
      <c r="A10" s="953" t="s">
        <v>800</v>
      </c>
      <c r="B10" s="268" t="s">
        <v>94</v>
      </c>
      <c r="C10" s="269">
        <f>ROUND(D10*E10/10000,0)</f>
        <v>5</v>
      </c>
      <c r="D10" s="1035">
        <f>'数据-汇总表'!E6</f>
        <v>2232.8499999999985</v>
      </c>
      <c r="E10" s="269">
        <f>'数据-取费表'!B28</f>
        <v>21.6</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394</v>
      </c>
      <c r="D19" s="1039">
        <f>'数据-汇总表'!E3</f>
        <v>19689.989999999998</v>
      </c>
      <c r="E19" s="255">
        <f>'数据-取费表'!B31</f>
        <v>200</v>
      </c>
      <c r="F19" s="275"/>
      <c r="G19" s="1" t="s">
        <v>1073</v>
      </c>
    </row>
    <row r="20" spans="1:7" s="258" customFormat="1" ht="13.5" customHeight="1">
      <c r="A20" s="951" t="s">
        <v>1056</v>
      </c>
      <c r="B20" s="254" t="s">
        <v>104</v>
      </c>
      <c r="C20" s="276">
        <f>ROUND((C5+C19)*F20,0)</f>
        <v>424</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605</v>
      </c>
      <c r="D22" s="279">
        <f ca="1">C26</f>
        <v>2.9999999999999997E-4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588</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11</v>
      </c>
      <c r="D24" s="282"/>
      <c r="E24" s="282"/>
      <c r="F24" s="283"/>
      <c r="G24" s="284" t="s">
        <v>109</v>
      </c>
    </row>
    <row r="25" spans="1:7" s="258" customFormat="1" ht="24">
      <c r="A25" s="954" t="s">
        <v>792</v>
      </c>
      <c r="B25" s="259" t="s">
        <v>1057</v>
      </c>
      <c r="C25" s="1358">
        <f ca="1">ROUND(IF('数据-取费表'!B22&lt;=1,C20*F22*'数据-取费表'!B23/2,C20*(POWER((1+F22),'数据-取费表'!B23/2)-1)),0)</f>
        <v>6</v>
      </c>
      <c r="D25" s="282"/>
      <c r="E25" s="285"/>
      <c r="F25" s="283"/>
      <c r="G25" s="286" t="s">
        <v>110</v>
      </c>
    </row>
    <row r="26" spans="1:7" s="258" customFormat="1">
      <c r="A26" s="954" t="s">
        <v>794</v>
      </c>
      <c r="B26" s="259" t="s">
        <v>1059</v>
      </c>
      <c r="C26" s="282">
        <f ca="1">ROUND(IF('数据-取费表'!B22&lt;=1,F21*F22*'数据-取费表'!B23/2,F21*(POWER((1+F22),'数据-取费表'!B23/2)-1)),4)</f>
        <v>2.9999999999999997E-4</v>
      </c>
      <c r="D26" s="282"/>
      <c r="E26" s="285"/>
      <c r="F26" s="283"/>
      <c r="G26" s="287"/>
    </row>
    <row r="27" spans="1:7" s="258" customFormat="1" ht="24.75">
      <c r="A27" s="951" t="s">
        <v>786</v>
      </c>
      <c r="B27" s="288" t="s">
        <v>112</v>
      </c>
      <c r="C27" s="289">
        <f>C28</f>
        <v>1947</v>
      </c>
      <c r="D27" s="279">
        <f>C29</f>
        <v>1.8E-3</v>
      </c>
      <c r="E27" s="280" t="s">
        <v>126</v>
      </c>
      <c r="F27" s="290">
        <f>'数据-取费表'!Q16</f>
        <v>0.3</v>
      </c>
      <c r="G27" s="291" t="s">
        <v>1068</v>
      </c>
    </row>
    <row r="28" spans="1:7" s="258" customFormat="1" ht="13.5" customHeight="1">
      <c r="A28" s="954" t="s">
        <v>793</v>
      </c>
      <c r="B28" s="292" t="s">
        <v>1061</v>
      </c>
      <c r="C28" s="293">
        <f>ROUND((C5+C19+C20)*F27*'数据-取费表'!B21/'数据-取费表'!B20,0)</f>
        <v>1947</v>
      </c>
      <c r="D28" s="279"/>
      <c r="E28" s="280"/>
      <c r="F28" s="290"/>
      <c r="G28" s="291"/>
    </row>
    <row r="29" spans="1:7" s="258" customFormat="1" ht="13.5" customHeight="1">
      <c r="A29" s="954" t="s">
        <v>791</v>
      </c>
      <c r="B29" s="292" t="s">
        <v>1062</v>
      </c>
      <c r="C29" s="282">
        <f>ROUND(C21*F27*'数据-取费表'!B21/'数据-取费表'!B20,4)</f>
        <v>1.8E-3</v>
      </c>
      <c r="D29" s="279"/>
      <c r="E29" s="280"/>
      <c r="F29" s="290"/>
      <c r="G29" s="291"/>
    </row>
    <row r="30" spans="1:7" s="258" customFormat="1" ht="13.5" customHeight="1">
      <c r="A30" s="951"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26126</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2218</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1833</v>
      </c>
      <c r="D34" s="261"/>
      <c r="E34" s="264"/>
      <c r="F34" s="301">
        <f>IF('数据-取费表'!B24=0,1,'数据-取费表'!N16)</f>
        <v>0.35</v>
      </c>
      <c r="G34" s="263" t="s">
        <v>116</v>
      </c>
    </row>
    <row r="35" spans="1:7" ht="13.5" customHeight="1">
      <c r="A35" s="954" t="s">
        <v>795</v>
      </c>
      <c r="B35" s="259" t="s">
        <v>60</v>
      </c>
      <c r="C35" s="264">
        <f>ROUND(C34*F35,0)</f>
        <v>73</v>
      </c>
      <c r="D35" s="264"/>
      <c r="E35" s="264"/>
      <c r="F35" s="303">
        <f>'数据-取费表'!B33</f>
        <v>0.04</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147</v>
      </c>
      <c r="D36" s="264"/>
      <c r="E36" s="264"/>
      <c r="F36" s="303">
        <f>'数据-取费表'!B34</f>
        <v>0.08</v>
      </c>
      <c r="G36" s="304" t="s">
        <v>62</v>
      </c>
    </row>
    <row r="37" spans="1:7" s="302" customFormat="1" ht="13.5" customHeight="1">
      <c r="A37" s="954" t="s">
        <v>797</v>
      </c>
      <c r="B37" s="259" t="s">
        <v>118</v>
      </c>
      <c r="C37" s="293">
        <f>ROUND(E37*D37*F34/10000,0)</f>
        <v>138</v>
      </c>
      <c r="D37" s="261">
        <f>'数据-汇总表'!E3</f>
        <v>19689.989999999998</v>
      </c>
      <c r="E37" s="293">
        <f>'数据-取费表'!B35</f>
        <v>200</v>
      </c>
      <c r="F37" s="303"/>
      <c r="G37" s="305" t="s">
        <v>119</v>
      </c>
    </row>
    <row r="38" spans="1:7" ht="13.5" customHeight="1">
      <c r="A38" s="954" t="s">
        <v>798</v>
      </c>
      <c r="B38" s="259" t="s">
        <v>63</v>
      </c>
      <c r="C38" s="264">
        <f>ROUND(C34*F38,0)</f>
        <v>27</v>
      </c>
      <c r="D38" s="264"/>
      <c r="E38" s="264"/>
      <c r="F38" s="303">
        <f>'数据-取费表'!B36</f>
        <v>1.4999999999999999E-2</v>
      </c>
      <c r="G38" s="263" t="s">
        <v>117</v>
      </c>
    </row>
    <row r="39" spans="1:7" s="258" customFormat="1" ht="13.5" customHeight="1">
      <c r="A39" s="951" t="s">
        <v>782</v>
      </c>
      <c r="B39" s="254" t="s">
        <v>104</v>
      </c>
      <c r="C39" s="276">
        <f>ROUND(C33*F20,0)</f>
        <v>44</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32</v>
      </c>
      <c r="D41" s="279">
        <f ca="1">C44</f>
        <v>2.9999999999999997E-4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31</v>
      </c>
      <c r="D42" s="282"/>
      <c r="E42" s="282"/>
      <c r="F42" s="283"/>
      <c r="G42" s="3186" t="s">
        <v>121</v>
      </c>
    </row>
    <row r="43" spans="1:7" ht="13.5" customHeight="1">
      <c r="A43" s="954" t="s">
        <v>791</v>
      </c>
      <c r="B43" s="259" t="s">
        <v>1063</v>
      </c>
      <c r="C43" s="282">
        <f ca="1">ROUND(IF('数据-取费表'!B22&lt;=1,C39*F22*'数据-取费表'!B21/2,C39*(POWER((1+F22),'数据-取费表'!B21/2)-1)),0)</f>
        <v>1</v>
      </c>
      <c r="D43" s="282"/>
      <c r="E43" s="282"/>
      <c r="F43" s="283"/>
      <c r="G43" s="3187"/>
    </row>
    <row r="44" spans="1:7" ht="13.5" customHeight="1">
      <c r="A44" s="954" t="s">
        <v>792</v>
      </c>
      <c r="B44" s="259" t="s">
        <v>1065</v>
      </c>
      <c r="C44" s="282">
        <f ca="1">ROUND(IF('数据-取费表'!B22&lt;=1,C40*F22*'数据-取费表'!B21/2,C40*(POWER((1+F22),'数据-取费表'!B21/2)-1)),4)</f>
        <v>2.9999999999999997E-4</v>
      </c>
      <c r="D44" s="282"/>
      <c r="E44" s="282"/>
      <c r="F44" s="283"/>
      <c r="G44" s="3188"/>
    </row>
    <row r="45" spans="1:7" s="258" customFormat="1" ht="13.5" customHeight="1">
      <c r="A45" s="951" t="s">
        <v>785</v>
      </c>
      <c r="B45" s="288" t="s">
        <v>112</v>
      </c>
      <c r="C45" s="289">
        <f>C46</f>
        <v>679</v>
      </c>
      <c r="D45" s="279">
        <f>C47</f>
        <v>6.0000000000000001E-3</v>
      </c>
      <c r="E45" s="280" t="s">
        <v>129</v>
      </c>
      <c r="F45" s="290"/>
      <c r="G45" s="291" t="s">
        <v>1071</v>
      </c>
    </row>
    <row r="46" spans="1:7" s="258" customFormat="1" ht="13.5" customHeight="1">
      <c r="A46" s="954" t="s">
        <v>793</v>
      </c>
      <c r="B46" s="292" t="s">
        <v>1064</v>
      </c>
      <c r="C46" s="293">
        <f>ROUND((C33+C39)*F27,0)</f>
        <v>679</v>
      </c>
      <c r="D46" s="307"/>
      <c r="E46" s="280"/>
      <c r="F46" s="290"/>
      <c r="G46" s="291"/>
    </row>
    <row r="47" spans="1:7" s="258" customFormat="1" ht="13.5" customHeight="1">
      <c r="A47" s="954" t="s">
        <v>791</v>
      </c>
      <c r="B47" s="292" t="s">
        <v>1066</v>
      </c>
      <c r="C47" s="282">
        <f>ROUND(C40*F27,4)</f>
        <v>6.0000000000000001E-3</v>
      </c>
      <c r="D47" s="307"/>
      <c r="E47" s="280"/>
      <c r="F47" s="290"/>
      <c r="G47" s="291"/>
    </row>
    <row r="48" spans="1:7" s="258" customFormat="1" ht="13.5" customHeight="1">
      <c r="A48" s="951" t="s">
        <v>786</v>
      </c>
      <c r="B48" s="254" t="s">
        <v>122</v>
      </c>
      <c r="C48" s="306">
        <f>F30</f>
        <v>5.5000000000000007E-2</v>
      </c>
      <c r="D48" s="280" t="s">
        <v>130</v>
      </c>
      <c r="E48" s="276"/>
      <c r="F48" s="281"/>
      <c r="G48" s="278" t="s">
        <v>123</v>
      </c>
    </row>
    <row r="49" spans="1:7" ht="16.5" customHeight="1">
      <c r="A49" s="951" t="s">
        <v>787</v>
      </c>
      <c r="B49" s="254" t="s">
        <v>131</v>
      </c>
      <c r="C49" s="276">
        <f ca="1">ROUND((C33+C39+C41+C45)/(1-C40-D41-D45-C48/(1+'数据-取费表'!B42)),0)</f>
        <v>3227</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3227</v>
      </c>
      <c r="D51" s="276"/>
      <c r="E51" s="276"/>
      <c r="F51" s="308"/>
      <c r="G51" s="278" t="s">
        <v>64</v>
      </c>
    </row>
    <row r="52" spans="1:7" s="252" customFormat="1" ht="16.5" thickBot="1">
      <c r="A52" s="309" t="s">
        <v>65</v>
      </c>
      <c r="B52" s="310"/>
      <c r="C52" s="311">
        <f ca="1">C31+C51</f>
        <v>29353</v>
      </c>
      <c r="D52" s="310"/>
      <c r="E52" s="310"/>
      <c r="F52" s="310"/>
      <c r="G52" s="312"/>
    </row>
    <row r="55" spans="1:7" ht="15">
      <c r="B55" s="314" t="s">
        <v>66</v>
      </c>
      <c r="C55" s="315"/>
    </row>
    <row r="56" spans="1:7">
      <c r="B56" s="317" t="s">
        <v>67</v>
      </c>
      <c r="C56" s="318">
        <f ca="1">ROUND(C51/C52,3)</f>
        <v>0.11</v>
      </c>
    </row>
    <row r="57" spans="1:7">
      <c r="B57" s="317" t="s">
        <v>68</v>
      </c>
      <c r="C57" s="319">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870</v>
      </c>
      <c r="B1" s="3278"/>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43420</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5" sqref="O35"/>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workbookViewId="0">
      <selection activeCell="B8" sqref="B8"/>
    </sheetView>
  </sheetViews>
  <sheetFormatPr defaultRowHeight="13.5"/>
  <cols>
    <col min="2" max="2" width="33.875" customWidth="1"/>
    <col min="4" max="4" width="11" customWidth="1"/>
    <col min="6" max="6" width="12.375" customWidth="1"/>
    <col min="7" max="7" width="16.5" customWidth="1"/>
    <col min="8" max="8" width="12.875" customWidth="1"/>
    <col min="9" max="9" width="14.375" customWidth="1"/>
    <col min="10" max="10" width="13.625" customWidth="1"/>
  </cols>
  <sheetData>
    <row r="2" spans="1:10">
      <c r="B2" s="1637" t="s">
        <v>3052</v>
      </c>
      <c r="C2" s="1637" t="s">
        <v>3053</v>
      </c>
      <c r="D2" s="1637" t="s">
        <v>3054</v>
      </c>
      <c r="E2" s="1637" t="s">
        <v>3055</v>
      </c>
      <c r="F2" s="1637" t="s">
        <v>3056</v>
      </c>
      <c r="G2" s="1637" t="s">
        <v>3057</v>
      </c>
      <c r="H2" s="1637" t="s">
        <v>3058</v>
      </c>
      <c r="I2" s="1637" t="s">
        <v>3059</v>
      </c>
      <c r="J2" s="1637" t="s">
        <v>3060</v>
      </c>
    </row>
    <row r="3" spans="1:10" s="2956" customFormat="1">
      <c r="A3" s="2953" t="s">
        <v>3124</v>
      </c>
      <c r="B3" s="2954" t="s">
        <v>3148</v>
      </c>
      <c r="C3" s="2955" t="s">
        <v>3061</v>
      </c>
      <c r="D3" s="2955" t="s">
        <v>3062</v>
      </c>
      <c r="E3" s="2955" t="s">
        <v>3010</v>
      </c>
      <c r="F3" s="2955">
        <v>12387.68</v>
      </c>
      <c r="G3" s="2955" t="s">
        <v>3063</v>
      </c>
      <c r="H3" s="2955" t="s">
        <v>3064</v>
      </c>
      <c r="I3" s="2955">
        <v>352.77</v>
      </c>
      <c r="J3" s="2955">
        <v>2645.76</v>
      </c>
    </row>
    <row r="4" spans="1:10" s="2956" customFormat="1">
      <c r="A4" s="2953" t="s">
        <v>3125</v>
      </c>
      <c r="B4" s="2955" t="s">
        <v>3065</v>
      </c>
      <c r="C4" s="2955" t="s">
        <v>3061</v>
      </c>
      <c r="D4" s="2955" t="s">
        <v>3062</v>
      </c>
      <c r="E4" s="2955" t="s">
        <v>3010</v>
      </c>
      <c r="F4" s="2955">
        <v>952.58</v>
      </c>
      <c r="G4" s="2955" t="s">
        <v>3063</v>
      </c>
      <c r="H4" s="2955" t="s">
        <v>3064</v>
      </c>
      <c r="I4" s="2955">
        <v>363.92</v>
      </c>
      <c r="J4" s="2955">
        <v>2729.42</v>
      </c>
    </row>
    <row r="5" spans="1:10">
      <c r="B5" s="1637" t="s">
        <v>3066</v>
      </c>
      <c r="C5" s="1637" t="s">
        <v>3061</v>
      </c>
      <c r="D5" s="1637" t="s">
        <v>3062</v>
      </c>
      <c r="E5" s="1637" t="s">
        <v>3010</v>
      </c>
      <c r="F5" s="1637">
        <v>3594.67</v>
      </c>
      <c r="G5" s="1637" t="s">
        <v>3067</v>
      </c>
      <c r="H5" s="1637" t="s">
        <v>3064</v>
      </c>
      <c r="I5" s="1637">
        <v>354.23</v>
      </c>
      <c r="J5" s="1637">
        <v>2951.9</v>
      </c>
    </row>
    <row r="6" spans="1:10" s="2956" customFormat="1">
      <c r="A6" s="2953" t="s">
        <v>3126</v>
      </c>
      <c r="B6" s="2955" t="s">
        <v>3065</v>
      </c>
      <c r="C6" s="2955" t="s">
        <v>3061</v>
      </c>
      <c r="D6" s="2955" t="s">
        <v>3062</v>
      </c>
      <c r="E6" s="2955" t="s">
        <v>3010</v>
      </c>
      <c r="F6" s="2955">
        <v>2124.38</v>
      </c>
      <c r="G6" s="2955" t="s">
        <v>3063</v>
      </c>
      <c r="H6" s="2955" t="s">
        <v>3064</v>
      </c>
      <c r="I6" s="2955">
        <v>357.75</v>
      </c>
      <c r="J6" s="2955">
        <v>2683.13</v>
      </c>
    </row>
    <row r="7" spans="1:10">
      <c r="B7" s="1637" t="s">
        <v>3068</v>
      </c>
      <c r="C7" s="1637" t="s">
        <v>3061</v>
      </c>
      <c r="D7" s="1637" t="s">
        <v>3062</v>
      </c>
      <c r="E7" s="1637" t="s">
        <v>3010</v>
      </c>
      <c r="F7" s="1637">
        <v>12524.13</v>
      </c>
      <c r="G7" s="1637" t="s">
        <v>3063</v>
      </c>
      <c r="H7" s="1637" t="s">
        <v>3064</v>
      </c>
      <c r="I7" s="1637">
        <v>352.65</v>
      </c>
      <c r="J7" s="1637">
        <v>2644.88</v>
      </c>
    </row>
    <row r="8" spans="1:10">
      <c r="B8" s="2952" t="s">
        <v>3122</v>
      </c>
      <c r="C8" s="1637" t="s">
        <v>3061</v>
      </c>
      <c r="D8" s="1637" t="s">
        <v>3062</v>
      </c>
      <c r="E8" s="1637" t="s">
        <v>3010</v>
      </c>
      <c r="F8" s="1637">
        <v>118.29</v>
      </c>
      <c r="G8" s="1637" t="s">
        <v>3063</v>
      </c>
      <c r="H8" s="1637" t="s">
        <v>3064</v>
      </c>
      <c r="I8" s="1637">
        <v>394.51</v>
      </c>
      <c r="J8" s="1637">
        <v>2958.82</v>
      </c>
    </row>
    <row r="9" spans="1:10">
      <c r="B9" s="2952" t="s">
        <v>3119</v>
      </c>
      <c r="C9" s="1637" t="s">
        <v>3061</v>
      </c>
      <c r="D9" s="1637" t="s">
        <v>3062</v>
      </c>
      <c r="E9" s="1637" t="s">
        <v>3010</v>
      </c>
      <c r="F9" s="1637">
        <v>8487.76</v>
      </c>
      <c r="G9" s="1637" t="s">
        <v>3063</v>
      </c>
      <c r="H9" s="1637" t="s">
        <v>3064</v>
      </c>
      <c r="I9" s="1637">
        <v>353.45</v>
      </c>
      <c r="J9" s="1637">
        <v>2650.88</v>
      </c>
    </row>
    <row r="10" spans="1:10">
      <c r="B10" s="2952" t="s">
        <v>3123</v>
      </c>
      <c r="C10" s="1637" t="s">
        <v>3061</v>
      </c>
      <c r="D10" s="1637" t="s">
        <v>3062</v>
      </c>
      <c r="E10" s="1637" t="s">
        <v>3010</v>
      </c>
      <c r="F10" s="1637">
        <v>721.73</v>
      </c>
      <c r="G10" s="1637" t="s">
        <v>3063</v>
      </c>
      <c r="H10" s="1637" t="s">
        <v>3064</v>
      </c>
      <c r="I10" s="1637">
        <v>360.25</v>
      </c>
      <c r="J10" s="1637">
        <v>2701.84</v>
      </c>
    </row>
    <row r="11" spans="1:10">
      <c r="B11" s="1637" t="s">
        <v>3069</v>
      </c>
      <c r="C11" s="1637" t="s">
        <v>3061</v>
      </c>
      <c r="D11" s="1637" t="s">
        <v>3062</v>
      </c>
      <c r="E11" s="1637" t="s">
        <v>3010</v>
      </c>
      <c r="F11" s="1637">
        <v>7680.76</v>
      </c>
      <c r="G11" s="1637" t="s">
        <v>3063</v>
      </c>
      <c r="H11" s="1637" t="s">
        <v>3064</v>
      </c>
      <c r="I11" s="1637">
        <v>353.7</v>
      </c>
      <c r="J11" s="1637">
        <v>2652.73</v>
      </c>
    </row>
    <row r="12" spans="1:10">
      <c r="B12" s="2952" t="s">
        <v>3147</v>
      </c>
      <c r="C12" s="1637" t="s">
        <v>3061</v>
      </c>
      <c r="D12" s="1637" t="s">
        <v>3062</v>
      </c>
      <c r="E12" s="1637" t="s">
        <v>3010</v>
      </c>
      <c r="F12" s="1637">
        <v>13447.03</v>
      </c>
      <c r="G12" s="1637" t="s">
        <v>3070</v>
      </c>
      <c r="H12" s="1637" t="s">
        <v>3064</v>
      </c>
      <c r="I12" s="1637">
        <v>425.87</v>
      </c>
      <c r="J12" s="1637">
        <v>2555.21</v>
      </c>
    </row>
    <row r="13" spans="1:10">
      <c r="B13" s="1637" t="s">
        <v>3071</v>
      </c>
      <c r="C13" s="1637" t="s">
        <v>3061</v>
      </c>
      <c r="D13" s="1637" t="s">
        <v>3062</v>
      </c>
      <c r="E13" s="1637" t="s">
        <v>3010</v>
      </c>
      <c r="F13" s="1637">
        <v>446.38</v>
      </c>
      <c r="G13" s="1637" t="s">
        <v>3063</v>
      </c>
      <c r="H13" s="1637" t="s">
        <v>3064</v>
      </c>
      <c r="I13" s="1637">
        <v>358.44</v>
      </c>
      <c r="J13" s="1637">
        <v>2688.28</v>
      </c>
    </row>
    <row r="14" spans="1:10">
      <c r="B14" s="2952" t="s">
        <v>3120</v>
      </c>
      <c r="C14" s="1637" t="s">
        <v>3061</v>
      </c>
      <c r="D14" s="1637" t="s">
        <v>3062</v>
      </c>
      <c r="E14" s="1637" t="s">
        <v>3010</v>
      </c>
      <c r="F14" s="1637">
        <v>10556.45</v>
      </c>
      <c r="G14" s="1637" t="s">
        <v>3072</v>
      </c>
      <c r="H14" s="1637" t="s">
        <v>3073</v>
      </c>
      <c r="I14" s="1637">
        <v>451.54</v>
      </c>
      <c r="J14" s="1637">
        <v>2709.23</v>
      </c>
    </row>
    <row r="15" spans="1:10">
      <c r="B15" s="1637" t="s">
        <v>3074</v>
      </c>
      <c r="C15" s="1637" t="s">
        <v>3061</v>
      </c>
      <c r="D15" s="1637" t="s">
        <v>3062</v>
      </c>
      <c r="E15" s="1637" t="s">
        <v>3010</v>
      </c>
      <c r="F15" s="1637">
        <v>19233.46</v>
      </c>
      <c r="G15" s="1637" t="s">
        <v>3075</v>
      </c>
      <c r="H15" s="1637" t="s">
        <v>3076</v>
      </c>
      <c r="I15" s="1637">
        <v>280</v>
      </c>
      <c r="J15" s="1637">
        <v>1679.99</v>
      </c>
    </row>
    <row r="16" spans="1:10">
      <c r="B16" s="1637" t="s">
        <v>3077</v>
      </c>
      <c r="C16" s="1637" t="s">
        <v>3061</v>
      </c>
      <c r="D16" s="1637" t="s">
        <v>3062</v>
      </c>
      <c r="E16" s="1637" t="s">
        <v>3010</v>
      </c>
      <c r="F16" s="1637">
        <v>69933</v>
      </c>
      <c r="G16" s="1637" t="s">
        <v>3075</v>
      </c>
      <c r="H16" s="1637" t="s">
        <v>3076</v>
      </c>
      <c r="I16" s="1637">
        <v>280</v>
      </c>
      <c r="J16" s="1637">
        <v>1680</v>
      </c>
    </row>
    <row r="17" spans="2:10">
      <c r="B17" s="1637" t="s">
        <v>3077</v>
      </c>
      <c r="C17" s="1637" t="s">
        <v>3061</v>
      </c>
      <c r="D17" s="1637" t="s">
        <v>3062</v>
      </c>
      <c r="E17" s="1637" t="s">
        <v>3010</v>
      </c>
      <c r="F17" s="1637">
        <v>23973.05</v>
      </c>
      <c r="G17" s="1637" t="s">
        <v>3075</v>
      </c>
      <c r="H17" s="1637" t="s">
        <v>3076</v>
      </c>
      <c r="I17" s="1637">
        <v>280.01</v>
      </c>
      <c r="J17" s="1637">
        <v>1680.04</v>
      </c>
    </row>
    <row r="18" spans="2:10">
      <c r="B18" s="1637" t="s">
        <v>3078</v>
      </c>
      <c r="C18" s="1637" t="s">
        <v>3061</v>
      </c>
      <c r="D18" s="1637" t="s">
        <v>3062</v>
      </c>
      <c r="E18" s="1637" t="s">
        <v>3010</v>
      </c>
      <c r="F18" s="1637">
        <v>46113.59</v>
      </c>
      <c r="G18" s="1637" t="s">
        <v>3079</v>
      </c>
      <c r="H18" s="1637" t="s">
        <v>3076</v>
      </c>
      <c r="I18" s="1637">
        <v>270.35000000000002</v>
      </c>
      <c r="J18" s="1637">
        <v>2027.59</v>
      </c>
    </row>
    <row r="19" spans="2:10">
      <c r="B19" s="2952" t="s">
        <v>3121</v>
      </c>
      <c r="C19" s="1637" t="s">
        <v>3061</v>
      </c>
      <c r="D19" s="1637" t="s">
        <v>3062</v>
      </c>
      <c r="E19" s="1637" t="s">
        <v>3010</v>
      </c>
      <c r="F19" s="1637">
        <v>11508</v>
      </c>
      <c r="G19" s="1637" t="s">
        <v>3079</v>
      </c>
      <c r="H19" s="1637" t="s">
        <v>3076</v>
      </c>
      <c r="I19" s="1637">
        <v>275</v>
      </c>
      <c r="J19" s="1637">
        <v>2062.48</v>
      </c>
    </row>
    <row r="20" spans="2:10">
      <c r="B20" s="1637" t="s">
        <v>3077</v>
      </c>
      <c r="C20" s="1637" t="s">
        <v>3061</v>
      </c>
      <c r="D20" s="1637" t="s">
        <v>3062</v>
      </c>
      <c r="E20" s="1637" t="s">
        <v>3010</v>
      </c>
      <c r="F20" s="1637">
        <v>19147.560000000001</v>
      </c>
      <c r="G20" s="1637" t="s">
        <v>3075</v>
      </c>
      <c r="H20" s="1637" t="s">
        <v>3076</v>
      </c>
      <c r="I20" s="1637">
        <v>280</v>
      </c>
      <c r="J20" s="1637">
        <v>1680</v>
      </c>
    </row>
    <row r="21" spans="2:10">
      <c r="B21" s="1637" t="s">
        <v>3080</v>
      </c>
      <c r="C21" s="1637" t="s">
        <v>3061</v>
      </c>
      <c r="D21" s="1637" t="s">
        <v>3062</v>
      </c>
      <c r="E21" s="1637" t="s">
        <v>3010</v>
      </c>
      <c r="F21" s="1637">
        <v>19255.919999999998</v>
      </c>
      <c r="G21" s="1637" t="s">
        <v>3079</v>
      </c>
      <c r="H21" s="1637" t="s">
        <v>3076</v>
      </c>
      <c r="I21" s="1637">
        <v>285</v>
      </c>
      <c r="J21" s="1637">
        <v>2137.5100000000002</v>
      </c>
    </row>
    <row r="22" spans="2:10">
      <c r="B22" s="1637" t="s">
        <v>3081</v>
      </c>
      <c r="C22" s="1637" t="s">
        <v>3061</v>
      </c>
      <c r="D22" s="1637" t="s">
        <v>3062</v>
      </c>
      <c r="E22" s="1637" t="s">
        <v>3010</v>
      </c>
      <c r="F22" s="1637">
        <v>9584.1</v>
      </c>
      <c r="G22" s="1637" t="s">
        <v>3072</v>
      </c>
      <c r="H22" s="1637" t="s">
        <v>3082</v>
      </c>
      <c r="I22" s="1637">
        <v>235.11</v>
      </c>
      <c r="J22" s="1637">
        <v>1410.67</v>
      </c>
    </row>
    <row r="23" spans="2:10">
      <c r="B23" s="1637" t="s">
        <v>3083</v>
      </c>
      <c r="C23" s="1637" t="s">
        <v>3061</v>
      </c>
      <c r="D23" s="1637" t="s">
        <v>3062</v>
      </c>
      <c r="E23" s="1637" t="s">
        <v>3010</v>
      </c>
      <c r="F23" s="1637">
        <v>303.08</v>
      </c>
      <c r="G23" s="1637" t="s">
        <v>3084</v>
      </c>
      <c r="H23" s="1637" t="s">
        <v>3082</v>
      </c>
      <c r="I23" s="1637">
        <v>235.36</v>
      </c>
      <c r="J23" s="1637">
        <v>1260.8599999999999</v>
      </c>
    </row>
    <row r="24" spans="2:10">
      <c r="B24" s="1637" t="s">
        <v>3085</v>
      </c>
      <c r="C24" s="1637" t="s">
        <v>3061</v>
      </c>
      <c r="D24" s="1637" t="s">
        <v>3062</v>
      </c>
      <c r="E24" s="1637" t="s">
        <v>3010</v>
      </c>
      <c r="F24" s="1637">
        <v>935.85</v>
      </c>
      <c r="G24" s="1637" t="s">
        <v>3063</v>
      </c>
      <c r="H24" s="1637" t="s">
        <v>3082</v>
      </c>
      <c r="I24" s="1637">
        <v>231.52</v>
      </c>
      <c r="J24" s="1637">
        <v>1736.39</v>
      </c>
    </row>
    <row r="25" spans="2:10">
      <c r="B25" s="1637" t="s">
        <v>3086</v>
      </c>
      <c r="C25" s="1637" t="s">
        <v>3061</v>
      </c>
      <c r="D25" s="1637" t="s">
        <v>3062</v>
      </c>
      <c r="E25" s="1637" t="s">
        <v>3010</v>
      </c>
      <c r="F25" s="1637">
        <v>3913.34</v>
      </c>
      <c r="G25" s="1637" t="s">
        <v>3087</v>
      </c>
      <c r="H25" s="1637" t="s">
        <v>3082</v>
      </c>
      <c r="I25" s="1637">
        <v>237.14</v>
      </c>
      <c r="J25" s="1637">
        <v>1243.73</v>
      </c>
    </row>
    <row r="26" spans="2:10">
      <c r="B26" s="1637" t="s">
        <v>3088</v>
      </c>
      <c r="C26" s="1637" t="s">
        <v>3061</v>
      </c>
      <c r="D26" s="1637" t="s">
        <v>3062</v>
      </c>
      <c r="E26" s="1637" t="s">
        <v>3010</v>
      </c>
      <c r="F26" s="1637">
        <v>2227.2399999999998</v>
      </c>
      <c r="G26" s="1637" t="s">
        <v>3084</v>
      </c>
      <c r="H26" s="1637" t="s">
        <v>3082</v>
      </c>
      <c r="I26" s="1637">
        <v>237.06</v>
      </c>
      <c r="J26" s="1637">
        <v>1269.99</v>
      </c>
    </row>
    <row r="27" spans="2:10">
      <c r="B27" s="1637" t="s">
        <v>3089</v>
      </c>
      <c r="C27" s="1637" t="s">
        <v>3061</v>
      </c>
      <c r="D27" s="1637" t="s">
        <v>3062</v>
      </c>
      <c r="E27" s="1637" t="s">
        <v>3010</v>
      </c>
      <c r="F27" s="1637">
        <v>5520.42</v>
      </c>
      <c r="G27" s="1637" t="s">
        <v>3090</v>
      </c>
      <c r="H27" s="1637" t="s">
        <v>3082</v>
      </c>
      <c r="I27" s="1637">
        <v>238.51</v>
      </c>
      <c r="J27" s="1637">
        <v>1192.53</v>
      </c>
    </row>
    <row r="28" spans="2:10">
      <c r="B28" s="1637" t="s">
        <v>3091</v>
      </c>
      <c r="C28" s="1637" t="s">
        <v>3061</v>
      </c>
      <c r="D28" s="1637" t="s">
        <v>3062</v>
      </c>
      <c r="E28" s="1637" t="s">
        <v>3010</v>
      </c>
      <c r="F28" s="1637">
        <v>8351.85</v>
      </c>
      <c r="G28" s="1637" t="s">
        <v>3092</v>
      </c>
      <c r="H28" s="1637" t="s">
        <v>3082</v>
      </c>
      <c r="I28" s="1637">
        <v>235.96</v>
      </c>
      <c r="J28" s="1637">
        <v>1264.04</v>
      </c>
    </row>
    <row r="29" spans="2:10">
      <c r="B29" s="1637" t="s">
        <v>3093</v>
      </c>
      <c r="C29" s="1637" t="s">
        <v>3061</v>
      </c>
      <c r="D29" s="1637" t="s">
        <v>3062</v>
      </c>
      <c r="E29" s="1637" t="s">
        <v>3010</v>
      </c>
      <c r="F29" s="1637">
        <v>29732.49</v>
      </c>
      <c r="G29" s="1637" t="s">
        <v>3075</v>
      </c>
      <c r="H29" s="1637" t="s">
        <v>3094</v>
      </c>
      <c r="I29" s="1637">
        <v>208.01</v>
      </c>
      <c r="J29" s="1637">
        <v>1248.05</v>
      </c>
    </row>
    <row r="30" spans="2:10">
      <c r="B30" s="1637" t="s">
        <v>3095</v>
      </c>
      <c r="C30" s="1637" t="s">
        <v>3061</v>
      </c>
      <c r="D30" s="1637" t="s">
        <v>3062</v>
      </c>
      <c r="E30" s="1637" t="s">
        <v>3010</v>
      </c>
      <c r="F30" s="1637">
        <v>15774.53</v>
      </c>
      <c r="G30" s="1637" t="s">
        <v>3075</v>
      </c>
      <c r="H30" s="1637" t="s">
        <v>3094</v>
      </c>
      <c r="I30" s="1637">
        <v>219</v>
      </c>
      <c r="J30" s="1637">
        <v>1314.01</v>
      </c>
    </row>
    <row r="31" spans="2:10">
      <c r="B31" s="1637" t="s">
        <v>3096</v>
      </c>
      <c r="C31" s="1637" t="s">
        <v>3061</v>
      </c>
      <c r="D31" s="1637" t="s">
        <v>3062</v>
      </c>
      <c r="E31" s="1637" t="s">
        <v>3010</v>
      </c>
      <c r="F31" s="1637">
        <v>8326.56</v>
      </c>
      <c r="G31" s="1637" t="s">
        <v>3079</v>
      </c>
      <c r="H31" s="1637" t="s">
        <v>3094</v>
      </c>
      <c r="I31" s="1637">
        <v>220.26</v>
      </c>
      <c r="J31" s="1637">
        <v>1651.94</v>
      </c>
    </row>
    <row r="32" spans="2:10">
      <c r="B32" s="1637" t="s">
        <v>3097</v>
      </c>
      <c r="C32" s="1637" t="s">
        <v>3061</v>
      </c>
      <c r="D32" s="1637" t="s">
        <v>3062</v>
      </c>
      <c r="E32" s="1637" t="s">
        <v>3010</v>
      </c>
      <c r="F32" s="1637">
        <v>50842.09</v>
      </c>
      <c r="G32" s="1637" t="s">
        <v>3098</v>
      </c>
      <c r="H32" s="1637" t="s">
        <v>3094</v>
      </c>
      <c r="I32" s="1637">
        <v>229.99</v>
      </c>
      <c r="J32" s="1637">
        <v>1112.8599999999999</v>
      </c>
    </row>
    <row r="33" spans="2:10">
      <c r="B33" s="1637" t="s">
        <v>3099</v>
      </c>
      <c r="C33" s="1637" t="s">
        <v>3061</v>
      </c>
      <c r="D33" s="1637" t="s">
        <v>3062</v>
      </c>
      <c r="E33" s="1637" t="s">
        <v>3010</v>
      </c>
      <c r="F33" s="1637">
        <v>13915.91</v>
      </c>
      <c r="G33" s="1637" t="s">
        <v>3075</v>
      </c>
      <c r="H33" s="1637" t="s">
        <v>3094</v>
      </c>
      <c r="I33" s="1637">
        <v>218.98</v>
      </c>
      <c r="J33" s="1637">
        <v>1313.89</v>
      </c>
    </row>
    <row r="34" spans="2:10">
      <c r="B34" s="1637" t="s">
        <v>3100</v>
      </c>
      <c r="C34" s="1637" t="s">
        <v>3061</v>
      </c>
      <c r="D34" s="1637" t="s">
        <v>3062</v>
      </c>
      <c r="E34" s="1637" t="s">
        <v>3010</v>
      </c>
      <c r="F34" s="1637">
        <v>15502.93</v>
      </c>
      <c r="G34" s="1637" t="s">
        <v>3101</v>
      </c>
      <c r="H34" s="1637" t="s">
        <v>3102</v>
      </c>
      <c r="I34" s="1637">
        <v>196.01</v>
      </c>
      <c r="J34" s="1637">
        <v>1176.03</v>
      </c>
    </row>
    <row r="35" spans="2:10">
      <c r="B35" s="1637" t="s">
        <v>3103</v>
      </c>
      <c r="C35" s="1637" t="s">
        <v>3061</v>
      </c>
      <c r="D35" s="1637" t="s">
        <v>3062</v>
      </c>
      <c r="E35" s="1637" t="s">
        <v>3010</v>
      </c>
      <c r="F35" s="1637">
        <v>17861.419999999998</v>
      </c>
      <c r="G35" s="1637" t="s">
        <v>3104</v>
      </c>
      <c r="H35" s="1637" t="s">
        <v>3102</v>
      </c>
      <c r="I35" s="1637">
        <v>212.97</v>
      </c>
      <c r="J35" s="1637">
        <v>702.11</v>
      </c>
    </row>
    <row r="36" spans="2:10">
      <c r="B36" s="1637" t="s">
        <v>3105</v>
      </c>
      <c r="C36" s="1637" t="s">
        <v>3061</v>
      </c>
      <c r="D36" s="1637" t="s">
        <v>3062</v>
      </c>
      <c r="E36" s="1637" t="s">
        <v>3010</v>
      </c>
      <c r="F36" s="1637">
        <v>3333.33</v>
      </c>
      <c r="G36" s="1637" t="s">
        <v>3106</v>
      </c>
      <c r="H36" s="1637" t="s">
        <v>3102</v>
      </c>
      <c r="I36" s="1637">
        <v>196.4</v>
      </c>
      <c r="J36" s="1637">
        <v>982</v>
      </c>
    </row>
    <row r="37" spans="2:10">
      <c r="B37" s="1637" t="s">
        <v>3107</v>
      </c>
      <c r="C37" s="1637" t="s">
        <v>3061</v>
      </c>
      <c r="D37" s="1637" t="s">
        <v>3062</v>
      </c>
      <c r="E37" s="1637" t="s">
        <v>3010</v>
      </c>
      <c r="F37" s="1637">
        <v>17595.46</v>
      </c>
      <c r="G37" s="1637" t="s">
        <v>3106</v>
      </c>
      <c r="H37" s="1637" t="s">
        <v>3102</v>
      </c>
      <c r="I37" s="1637">
        <v>201.49</v>
      </c>
      <c r="J37" s="1637">
        <v>1007.46</v>
      </c>
    </row>
    <row r="38" spans="2:10">
      <c r="B38" s="1637" t="s">
        <v>3086</v>
      </c>
      <c r="C38" s="1637" t="s">
        <v>3061</v>
      </c>
      <c r="D38" s="1637" t="s">
        <v>3062</v>
      </c>
      <c r="E38" s="1637" t="s">
        <v>3010</v>
      </c>
      <c r="F38" s="1637">
        <v>2820.03</v>
      </c>
      <c r="G38" s="1637" t="s">
        <v>3108</v>
      </c>
      <c r="H38" s="1637" t="s">
        <v>3102</v>
      </c>
      <c r="I38" s="1637">
        <v>205.67</v>
      </c>
      <c r="J38" s="1637">
        <v>1078.7</v>
      </c>
    </row>
    <row r="39" spans="2:10">
      <c r="B39" s="1637" t="s">
        <v>3109</v>
      </c>
      <c r="C39" s="1637" t="s">
        <v>3061</v>
      </c>
      <c r="D39" s="1637" t="s">
        <v>3062</v>
      </c>
      <c r="E39" s="1637" t="s">
        <v>3010</v>
      </c>
      <c r="F39" s="1637">
        <v>38081.550000000003</v>
      </c>
      <c r="G39" s="1637" t="s">
        <v>3101</v>
      </c>
      <c r="H39" s="1637" t="s">
        <v>3102</v>
      </c>
      <c r="I39" s="1637">
        <v>192.22</v>
      </c>
      <c r="J39" s="1637">
        <v>1153.3</v>
      </c>
    </row>
    <row r="40" spans="2:10">
      <c r="B40" s="1637" t="s">
        <v>3110</v>
      </c>
      <c r="C40" s="1637" t="s">
        <v>3061</v>
      </c>
      <c r="D40" s="1637" t="s">
        <v>3062</v>
      </c>
      <c r="E40" s="1637" t="s">
        <v>3010</v>
      </c>
      <c r="F40" s="1637">
        <v>25068.57</v>
      </c>
      <c r="G40" s="1637" t="s">
        <v>3101</v>
      </c>
      <c r="H40" s="1637" t="s">
        <v>3102</v>
      </c>
      <c r="I40" s="1637">
        <v>183.02</v>
      </c>
      <c r="J40" s="1637">
        <v>1098.0999999999999</v>
      </c>
    </row>
    <row r="41" spans="2:10">
      <c r="B41" s="1637" t="s">
        <v>3105</v>
      </c>
      <c r="C41" s="1637" t="s">
        <v>3061</v>
      </c>
      <c r="D41" s="1637" t="s">
        <v>3062</v>
      </c>
      <c r="E41" s="1637" t="s">
        <v>3010</v>
      </c>
      <c r="F41" s="1637">
        <v>612.02</v>
      </c>
      <c r="G41" s="1637" t="s">
        <v>3106</v>
      </c>
      <c r="H41" s="1637" t="s">
        <v>3102</v>
      </c>
      <c r="I41" s="1637">
        <v>197.16</v>
      </c>
      <c r="J41" s="1637">
        <v>985.8</v>
      </c>
    </row>
    <row r="42" spans="2:10">
      <c r="B42" s="1637" t="s">
        <v>3109</v>
      </c>
      <c r="C42" s="1637" t="s">
        <v>3061</v>
      </c>
      <c r="D42" s="1637" t="s">
        <v>3062</v>
      </c>
      <c r="E42" s="1637" t="s">
        <v>3010</v>
      </c>
      <c r="F42" s="1637">
        <v>50342.37</v>
      </c>
      <c r="G42" s="1637" t="s">
        <v>3101</v>
      </c>
      <c r="H42" s="1637" t="s">
        <v>3102</v>
      </c>
      <c r="I42" s="1637">
        <v>192.28</v>
      </c>
      <c r="J42" s="1637">
        <v>1153.7</v>
      </c>
    </row>
    <row r="43" spans="2:10">
      <c r="B43" s="1637" t="s">
        <v>3111</v>
      </c>
      <c r="C43" s="1637" t="s">
        <v>3061</v>
      </c>
      <c r="D43" s="1637" t="s">
        <v>3062</v>
      </c>
      <c r="E43" s="1637" t="s">
        <v>3010</v>
      </c>
      <c r="F43" s="1637">
        <v>17363.97</v>
      </c>
      <c r="G43" s="1637" t="s">
        <v>3106</v>
      </c>
      <c r="H43" s="1637" t="s">
        <v>3102</v>
      </c>
      <c r="I43" s="1637">
        <v>196.58</v>
      </c>
      <c r="J43" s="1637">
        <v>982.87</v>
      </c>
    </row>
    <row r="44" spans="2:10">
      <c r="B44" s="1637" t="s">
        <v>3086</v>
      </c>
      <c r="C44" s="1637" t="s">
        <v>3061</v>
      </c>
      <c r="D44" s="1637" t="s">
        <v>3062</v>
      </c>
      <c r="E44" s="1637" t="s">
        <v>3010</v>
      </c>
      <c r="F44" s="1637">
        <v>2149.31</v>
      </c>
      <c r="G44" s="1637" t="s">
        <v>3108</v>
      </c>
      <c r="H44" s="1637" t="s">
        <v>3102</v>
      </c>
      <c r="I44" s="1637">
        <v>205.65</v>
      </c>
      <c r="J44" s="1637">
        <v>1078.56</v>
      </c>
    </row>
    <row r="45" spans="2:10">
      <c r="B45" s="1637" t="s">
        <v>3112</v>
      </c>
      <c r="C45" s="1637" t="s">
        <v>3061</v>
      </c>
      <c r="D45" s="1637" t="s">
        <v>3062</v>
      </c>
      <c r="E45" s="1637" t="s">
        <v>3010</v>
      </c>
      <c r="F45" s="1637">
        <v>8600.39</v>
      </c>
      <c r="G45" s="1637" t="s">
        <v>3113</v>
      </c>
      <c r="H45" s="1637" t="s">
        <v>3102</v>
      </c>
      <c r="I45" s="1637">
        <v>193.79</v>
      </c>
      <c r="J45" s="1637">
        <v>1453.42</v>
      </c>
    </row>
    <row r="46" spans="2:10">
      <c r="B46" s="1637" t="s">
        <v>3110</v>
      </c>
      <c r="C46" s="1637" t="s">
        <v>3061</v>
      </c>
      <c r="D46" s="1637" t="s">
        <v>3062</v>
      </c>
      <c r="E46" s="1637" t="s">
        <v>3010</v>
      </c>
      <c r="F46" s="1637">
        <v>27247.88</v>
      </c>
      <c r="G46" s="1637" t="s">
        <v>3101</v>
      </c>
      <c r="H46" s="1637" t="s">
        <v>3102</v>
      </c>
      <c r="I46" s="1637">
        <v>183.01</v>
      </c>
      <c r="J46" s="1637">
        <v>1098.06</v>
      </c>
    </row>
    <row r="47" spans="2:10">
      <c r="B47" s="1637" t="s">
        <v>3086</v>
      </c>
      <c r="C47" s="1637" t="s">
        <v>3061</v>
      </c>
      <c r="D47" s="1637" t="s">
        <v>3062</v>
      </c>
      <c r="E47" s="1637" t="s">
        <v>3010</v>
      </c>
      <c r="F47" s="1637">
        <v>369.35</v>
      </c>
      <c r="G47" s="1637" t="s">
        <v>3108</v>
      </c>
      <c r="H47" s="1637" t="s">
        <v>3102</v>
      </c>
      <c r="I47" s="1637">
        <v>203.96</v>
      </c>
      <c r="J47" s="1637">
        <v>1069.73</v>
      </c>
    </row>
    <row r="48" spans="2:10">
      <c r="B48" s="1637" t="s">
        <v>3110</v>
      </c>
      <c r="C48" s="1637" t="s">
        <v>3061</v>
      </c>
      <c r="D48" s="1637" t="s">
        <v>3062</v>
      </c>
      <c r="E48" s="1637" t="s">
        <v>3010</v>
      </c>
      <c r="F48" s="1637">
        <v>29110.46</v>
      </c>
      <c r="G48" s="1637" t="s">
        <v>3101</v>
      </c>
      <c r="H48" s="1637" t="s">
        <v>3102</v>
      </c>
      <c r="I48" s="1637">
        <v>183</v>
      </c>
      <c r="J48" s="1637">
        <v>1098.01</v>
      </c>
    </row>
    <row r="49" spans="2:10">
      <c r="B49" s="1637" t="s">
        <v>3114</v>
      </c>
      <c r="C49" s="1637" t="s">
        <v>3061</v>
      </c>
      <c r="D49" s="1637" t="s">
        <v>3062</v>
      </c>
      <c r="E49" s="1637" t="s">
        <v>3010</v>
      </c>
      <c r="F49" s="1637">
        <v>6412.17</v>
      </c>
      <c r="G49" s="1637" t="s">
        <v>3115</v>
      </c>
      <c r="H49" s="1637" t="s">
        <v>3102</v>
      </c>
      <c r="I49" s="1637">
        <v>213.45</v>
      </c>
      <c r="J49" s="1637">
        <v>737.72</v>
      </c>
    </row>
    <row r="50" spans="2:10">
      <c r="B50" s="1637" t="s">
        <v>3111</v>
      </c>
      <c r="C50" s="1637" t="s">
        <v>3061</v>
      </c>
      <c r="D50" s="1637" t="s">
        <v>3062</v>
      </c>
      <c r="E50" s="1637" t="s">
        <v>3010</v>
      </c>
      <c r="F50" s="1637">
        <v>322.08999999999997</v>
      </c>
      <c r="G50" s="1637" t="s">
        <v>3106</v>
      </c>
      <c r="H50" s="1637" t="s">
        <v>3102</v>
      </c>
      <c r="I50" s="1637">
        <v>196.63</v>
      </c>
      <c r="J50" s="1637">
        <v>983.15</v>
      </c>
    </row>
    <row r="51" spans="2:10">
      <c r="B51" s="1637" t="s">
        <v>3116</v>
      </c>
      <c r="C51" s="1637" t="s">
        <v>3061</v>
      </c>
      <c r="D51" s="1637" t="s">
        <v>3062</v>
      </c>
      <c r="E51" s="1637" t="s">
        <v>3010</v>
      </c>
      <c r="F51" s="1637">
        <v>58906.54</v>
      </c>
      <c r="G51" s="1637" t="s">
        <v>3101</v>
      </c>
      <c r="H51" s="1637" t="s">
        <v>3117</v>
      </c>
      <c r="I51" s="1637">
        <v>187.64</v>
      </c>
      <c r="J51" s="1637">
        <v>1125.8399999999999</v>
      </c>
    </row>
    <row r="52" spans="2:10">
      <c r="B52" s="1637" t="s">
        <v>3118</v>
      </c>
      <c r="C52" s="1637" t="s">
        <v>3061</v>
      </c>
      <c r="D52" s="1637" t="s">
        <v>3062</v>
      </c>
      <c r="E52" s="1637" t="s">
        <v>3010</v>
      </c>
      <c r="F52" s="1637">
        <v>20316.39</v>
      </c>
      <c r="G52" s="1637" t="s">
        <v>3101</v>
      </c>
      <c r="H52" s="1637" t="s">
        <v>3117</v>
      </c>
      <c r="I52" s="1637">
        <v>183.1</v>
      </c>
      <c r="J52" s="1637">
        <v>1098.6099999999999</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1637</v>
      </c>
      <c r="B2" s="2969" t="s">
        <v>1638</v>
      </c>
      <c r="C2" s="2969" t="s">
        <v>1639</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70"/>
      <c r="B3" s="2970"/>
      <c r="C3" s="2970"/>
      <c r="D3" s="1047" t="s">
        <v>1634</v>
      </c>
      <c r="E3" s="1047" t="s">
        <v>1640</v>
      </c>
      <c r="F3" s="1047" t="s">
        <v>1634</v>
      </c>
      <c r="G3" s="1047" t="s">
        <v>1635</v>
      </c>
      <c r="H3" s="1047" t="s">
        <v>1634</v>
      </c>
      <c r="I3" s="1047" t="s">
        <v>1635</v>
      </c>
    </row>
    <row r="4" spans="1:9" ht="45">
      <c r="A4" s="1975" t="str">
        <f>项目基本情况!S2</f>
        <v>河北省廊坊市香河县出让国有建设用地使用权及在建建筑物房地产</v>
      </c>
      <c r="B4" s="1047">
        <f>项目基本情况!C17</f>
        <v>19689.989999999998</v>
      </c>
      <c r="C4" s="1047">
        <f>项目基本情况!C18</f>
        <v>7296.02</v>
      </c>
      <c r="D4" s="1047">
        <f ca="1">结果表!D118</f>
        <v>9621</v>
      </c>
      <c r="E4" s="1047">
        <f ca="1">结果表!E118</f>
        <v>4886</v>
      </c>
      <c r="F4" s="1047">
        <f ca="1">结果表!F118</f>
        <v>4869</v>
      </c>
      <c r="G4" s="1047">
        <f ca="1">结果表!G118</f>
        <v>2473</v>
      </c>
      <c r="H4" s="1047">
        <f ca="1">结果表!H118</f>
        <v>14490</v>
      </c>
      <c r="I4" s="1047">
        <f ca="1">结果表!I118</f>
        <v>7359</v>
      </c>
    </row>
    <row r="5" spans="1:9" ht="30" customHeight="1">
      <c r="A5" s="2970" t="s">
        <v>1636</v>
      </c>
      <c r="B5" s="2970"/>
      <c r="C5" s="2970"/>
      <c r="D5" s="2971" t="str">
        <f ca="1">结果表!D119</f>
        <v>玖仟陆佰贰拾壹万元整</v>
      </c>
      <c r="E5" s="2971"/>
      <c r="F5" s="2971" t="str">
        <f ca="1">结果表!F119</f>
        <v>肆仟捌佰陆拾玖万元整</v>
      </c>
      <c r="G5" s="2971"/>
      <c r="H5" s="2971" t="str">
        <f ca="1">结果表!H119</f>
        <v>壹亿肆仟肆佰玖拾万元整</v>
      </c>
      <c r="I5" s="2971"/>
    </row>
    <row r="6" spans="1:9" ht="15.75">
      <c r="A6" s="2972" t="str">
        <f>结果表!A120</f>
        <v>估价师知悉的法定优先受偿款</v>
      </c>
      <c r="B6" s="2972"/>
      <c r="C6" s="2972"/>
      <c r="D6" s="2972">
        <f>结果表!D120</f>
        <v>0</v>
      </c>
      <c r="E6" s="2972"/>
      <c r="F6" s="2972"/>
      <c r="G6" s="2972"/>
      <c r="H6" s="2972"/>
      <c r="I6" s="2972"/>
    </row>
    <row r="7" spans="1:9" ht="15">
      <c r="A7" s="2970" t="s">
        <v>1636</v>
      </c>
      <c r="B7" s="2970"/>
      <c r="C7" s="2970"/>
      <c r="D7" s="2973" t="str">
        <f>结果表!D121</f>
        <v>零元整</v>
      </c>
      <c r="E7" s="2974"/>
      <c r="F7" s="2974"/>
      <c r="G7" s="2974"/>
      <c r="H7" s="2974"/>
      <c r="I7" s="2975"/>
    </row>
    <row r="8" spans="1:9" ht="15.75">
      <c r="A8" s="2972" t="str">
        <f>结果表!A122</f>
        <v>房地产抵押价值</v>
      </c>
      <c r="B8" s="2972"/>
      <c r="C8" s="2972"/>
      <c r="D8" s="2972">
        <f ca="1">结果表!D122</f>
        <v>14490</v>
      </c>
      <c r="E8" s="2972"/>
      <c r="F8" s="2972"/>
      <c r="G8" s="2972"/>
      <c r="H8" s="2972"/>
      <c r="I8" s="2972"/>
    </row>
    <row r="9" spans="1:9" ht="15">
      <c r="A9" s="2970" t="s">
        <v>1636</v>
      </c>
      <c r="B9" s="2970"/>
      <c r="C9" s="2970"/>
      <c r="D9" s="2971" t="str">
        <f ca="1">结果表!D123</f>
        <v>壹亿肆仟肆佰玖拾万元整</v>
      </c>
      <c r="E9" s="2971"/>
      <c r="F9" s="2971"/>
      <c r="G9" s="2971"/>
      <c r="H9" s="2971"/>
      <c r="I9" s="2971"/>
    </row>
    <row r="10" spans="1:9" ht="15.75">
      <c r="A10" s="2972" t="str">
        <f>结果表!A124</f>
        <v/>
      </c>
      <c r="B10" s="2972"/>
      <c r="C10" s="2972"/>
      <c r="D10" s="2972" t="str">
        <f>结果表!D124</f>
        <v>——</v>
      </c>
      <c r="E10" s="2972"/>
      <c r="F10" s="2972"/>
      <c r="G10" s="2972"/>
      <c r="H10" s="2972"/>
      <c r="I10" s="2972"/>
    </row>
    <row r="11" spans="1:9" ht="15">
      <c r="A11" s="2970" t="s">
        <v>1636</v>
      </c>
      <c r="B11" s="2970"/>
      <c r="C11" s="2970"/>
      <c r="D11" s="2971" t="e">
        <f>结果表!D125</f>
        <v>#VALUE!</v>
      </c>
      <c r="E11" s="2971"/>
      <c r="F11" s="2971"/>
      <c r="G11" s="2971"/>
      <c r="H11" s="2971"/>
      <c r="I11" s="2971"/>
    </row>
    <row r="12" spans="1:9" ht="15.75">
      <c r="A12" s="2972" t="str">
        <f>结果表!A126</f>
        <v/>
      </c>
      <c r="B12" s="2972"/>
      <c r="C12" s="2972"/>
      <c r="D12" s="2972" t="str">
        <f>结果表!D126</f>
        <v>——</v>
      </c>
      <c r="E12" s="2972"/>
      <c r="F12" s="2972"/>
      <c r="G12" s="2972"/>
      <c r="H12" s="2972"/>
      <c r="I12" s="2972"/>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79" t="s">
        <v>1658</v>
      </c>
      <c r="B1" s="2979"/>
      <c r="C1" s="2979"/>
      <c r="D1" s="2979"/>
    </row>
    <row r="2" spans="1:4" ht="18">
      <c r="A2" s="2980" t="s">
        <v>1642</v>
      </c>
      <c r="B2" s="2980"/>
      <c r="C2" s="2980"/>
      <c r="D2" s="2980"/>
    </row>
    <row r="3" spans="1:4" ht="18.75">
      <c r="A3" s="1979" t="s">
        <v>1643</v>
      </c>
      <c r="B3" s="1979" t="s">
        <v>1644</v>
      </c>
      <c r="C3" s="1979" t="s">
        <v>1645</v>
      </c>
      <c r="D3" s="1979" t="s">
        <v>1646</v>
      </c>
    </row>
    <row r="4" spans="1:4" ht="56.25" customHeight="1">
      <c r="A4" s="1980" t="str">
        <f>项目基本情况!B4</f>
        <v>崔锴</v>
      </c>
      <c r="B4" s="1981">
        <f ca="1">项目基本情况!C4</f>
        <v>1120100036</v>
      </c>
      <c r="C4" s="1982"/>
      <c r="D4" s="1983" t="s">
        <v>1647</v>
      </c>
    </row>
    <row r="5" spans="1:4" ht="56.25" customHeight="1">
      <c r="A5" s="1980" t="str">
        <f>项目基本情况!D4</f>
        <v>郑燚</v>
      </c>
      <c r="B5" s="1981">
        <f ca="1">项目基本情况!E4</f>
        <v>1120070131</v>
      </c>
      <c r="C5" s="1984"/>
      <c r="D5" s="1983" t="s">
        <v>1647</v>
      </c>
    </row>
    <row r="6" spans="1:4" ht="18">
      <c r="A6" s="2980" t="s">
        <v>1648</v>
      </c>
      <c r="B6" s="2980"/>
      <c r="C6" s="2980"/>
      <c r="D6" s="2980"/>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2981" t="s">
        <v>1651</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82" t="str">
        <f>IF(项目基本情况!B8="抵押","4.本次评估估价师所知悉的法定优先受偿款情况说明如下：","——")</f>
        <v>4.本次评估估价师所知悉的法定优先受偿款情况说明如下：</v>
      </c>
      <c r="B14" s="2983"/>
      <c r="C14" s="2983"/>
      <c r="D14" s="2983"/>
    </row>
    <row r="15" spans="1:4" ht="42" customHeight="1">
      <c r="A15" s="29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5" t="s">
        <v>1652</v>
      </c>
      <c r="B16" s="2985"/>
      <c r="C16" s="2985"/>
      <c r="D16" s="2985"/>
    </row>
    <row r="17" spans="1:4" ht="144" customHeight="1">
      <c r="A17" s="2985" t="s">
        <v>1653</v>
      </c>
      <c r="B17" s="2985"/>
      <c r="C17" s="2985"/>
      <c r="D17" s="2985"/>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1654</v>
      </c>
      <c r="B22" s="2987"/>
      <c r="C22" s="2987"/>
      <c r="D22" s="2987"/>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93" t="s">
        <v>1665</v>
      </c>
      <c r="B15" s="2988" t="s">
        <v>136</v>
      </c>
      <c r="C15" s="2989"/>
    </row>
    <row r="16" spans="1:7" ht="13.5">
      <c r="A16" s="2994"/>
      <c r="B16" s="2988" t="s">
        <v>69</v>
      </c>
      <c r="C16" s="2989"/>
    </row>
    <row r="17" spans="1:3" ht="13.5">
      <c r="A17" s="2994"/>
      <c r="B17" s="2991" t="s">
        <v>1666</v>
      </c>
      <c r="C17" s="2002" t="s">
        <v>1665</v>
      </c>
    </row>
    <row r="18" spans="1:3" ht="13.5">
      <c r="A18" s="2994"/>
      <c r="B18" s="2991"/>
      <c r="C18" s="2002" t="s">
        <v>1667</v>
      </c>
    </row>
    <row r="19" spans="1:3" ht="13.5">
      <c r="A19" s="2994"/>
      <c r="B19" s="2991"/>
      <c r="C19" s="2002" t="s">
        <v>1668</v>
      </c>
    </row>
    <row r="20" spans="1:3" ht="13.5">
      <c r="A20" s="2995"/>
      <c r="B20" s="2990" t="s">
        <v>1669</v>
      </c>
      <c r="C20" s="2989"/>
    </row>
    <row r="21" spans="1:3" ht="13.5">
      <c r="A21" s="2003" t="s">
        <v>1670</v>
      </c>
      <c r="B21" s="2004"/>
      <c r="C21" s="2005"/>
    </row>
    <row r="22" spans="1:3" ht="13.5">
      <c r="A22" s="2992" t="s">
        <v>1671</v>
      </c>
      <c r="B22" s="2990" t="s">
        <v>1672</v>
      </c>
      <c r="C22" s="2989"/>
    </row>
    <row r="23" spans="1:3" ht="13.5">
      <c r="A23" s="2992"/>
      <c r="B23" s="2990" t="s">
        <v>1673</v>
      </c>
      <c r="C23" s="2989"/>
    </row>
    <row r="24" spans="1:3" ht="13.5">
      <c r="A24" s="2992"/>
      <c r="B24" s="2990" t="s">
        <v>1674</v>
      </c>
      <c r="C24" s="2989"/>
    </row>
    <row r="25" spans="1:3" ht="13.5">
      <c r="A25" s="2992"/>
      <c r="B25" s="2991" t="s">
        <v>1675</v>
      </c>
      <c r="C25" s="2002" t="s">
        <v>1676</v>
      </c>
    </row>
    <row r="26" spans="1:3" ht="13.5">
      <c r="A26" s="2992"/>
      <c r="B26" s="2991"/>
      <c r="C26" s="2002" t="s">
        <v>1677</v>
      </c>
    </row>
    <row r="27" spans="1:3" ht="13.5">
      <c r="A27" s="2992"/>
      <c r="B27" s="2991"/>
      <c r="C27" s="2002" t="s">
        <v>1678</v>
      </c>
    </row>
    <row r="28" spans="1:3" ht="13.5">
      <c r="A28" s="2992"/>
      <c r="B28" s="2991"/>
      <c r="C28" s="2002" t="s">
        <v>1679</v>
      </c>
    </row>
    <row r="29" spans="1:3" ht="13.5">
      <c r="A29" s="2992"/>
      <c r="B29" s="2991"/>
      <c r="C29" s="2002" t="s">
        <v>1680</v>
      </c>
    </row>
    <row r="30" spans="1:3" ht="13.5">
      <c r="A30" s="2992"/>
      <c r="B30" s="2991"/>
      <c r="C30" s="2002" t="s">
        <v>1681</v>
      </c>
    </row>
    <row r="31" spans="1:3" ht="13.5">
      <c r="A31" s="2992"/>
      <c r="B31" s="2991"/>
      <c r="C31" s="2002" t="s">
        <v>1682</v>
      </c>
    </row>
    <row r="32" spans="1:3" ht="13.5">
      <c r="A32" s="2992"/>
      <c r="B32" s="2991"/>
      <c r="C32" s="2002" t="s">
        <v>1683</v>
      </c>
    </row>
    <row r="33" spans="1:3" ht="13.5">
      <c r="A33" s="2992"/>
      <c r="B33" s="2991"/>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43427</v>
      </c>
      <c r="C2" s="1022" t="s">
        <v>825</v>
      </c>
      <c r="D2" s="1022"/>
    </row>
    <row r="3" spans="1:6" ht="24" customHeight="1">
      <c r="A3" s="1023" t="s">
        <v>826</v>
      </c>
      <c r="B3" s="1024" t="s">
        <v>827</v>
      </c>
      <c r="C3" s="2348" t="s">
        <v>828</v>
      </c>
      <c r="D3" s="2351" t="s">
        <v>829</v>
      </c>
      <c r="E3" s="1025" t="s">
        <v>830</v>
      </c>
      <c r="F3" s="1024" t="s">
        <v>828</v>
      </c>
    </row>
    <row r="4" spans="1:6" ht="24" customHeight="1">
      <c r="A4" s="1704" t="s">
        <v>831</v>
      </c>
      <c r="B4" s="1025">
        <f ca="1">IF(C4&lt;B2,"已过期",1119970066)</f>
        <v>1119970066</v>
      </c>
      <c r="C4" s="2349">
        <v>43849</v>
      </c>
      <c r="D4" s="2352" t="s">
        <v>831</v>
      </c>
      <c r="E4" s="1025">
        <f ca="1">IF(F4&lt;B2,"已过期",96010014)</f>
        <v>96010014</v>
      </c>
      <c r="F4" s="1033">
        <v>47118</v>
      </c>
    </row>
    <row r="5" spans="1:6" ht="24" customHeight="1">
      <c r="A5" s="1704" t="s">
        <v>832</v>
      </c>
      <c r="B5" s="1025">
        <f ca="1">IF(C5&lt;B2,"已过期",1119970074)</f>
        <v>1119970074</v>
      </c>
      <c r="C5" s="2349">
        <v>43849</v>
      </c>
      <c r="D5" s="2352" t="s">
        <v>832</v>
      </c>
      <c r="E5" s="1025">
        <f ca="1">IF(F5&lt;B2,"已过期",2002110027)</f>
        <v>2002110027</v>
      </c>
      <c r="F5" s="1033">
        <v>46752</v>
      </c>
    </row>
    <row r="6" spans="1:6" ht="24" customHeight="1">
      <c r="A6" s="1704" t="s">
        <v>833</v>
      </c>
      <c r="B6" s="1025">
        <f ca="1">IF(C6&lt;B2,"已过期",1119970111)</f>
        <v>1119970111</v>
      </c>
      <c r="C6" s="2349">
        <v>43849</v>
      </c>
      <c r="D6" s="2352" t="s">
        <v>833</v>
      </c>
      <c r="E6" s="1025">
        <f ca="1">IF(F6&lt;B2,"已过期",94010078)</f>
        <v>94010078</v>
      </c>
      <c r="F6" s="1033">
        <v>46387</v>
      </c>
    </row>
    <row r="7" spans="1:6" ht="24" customHeight="1">
      <c r="A7" s="1704" t="s">
        <v>834</v>
      </c>
      <c r="B7" s="1025">
        <f ca="1">IF(C7&lt;B2,"已过期",1120050019)</f>
        <v>1120050019</v>
      </c>
      <c r="C7" s="2349">
        <v>44395</v>
      </c>
      <c r="D7" s="2352" t="s">
        <v>834</v>
      </c>
      <c r="E7" s="1025">
        <f ca="1">IF(F7&lt;B2,"已过期",2002110030)</f>
        <v>2002110030</v>
      </c>
      <c r="F7" s="1033">
        <v>46387</v>
      </c>
    </row>
    <row r="8" spans="1:6" ht="24" customHeight="1">
      <c r="A8" s="1704" t="s">
        <v>835</v>
      </c>
      <c r="B8" s="1025">
        <f ca="1">IF(C8&lt;B2,"已过期",1120000080)</f>
        <v>1120000080</v>
      </c>
      <c r="C8" s="2349">
        <v>43849</v>
      </c>
      <c r="D8" s="2352" t="s">
        <v>835</v>
      </c>
      <c r="E8" s="1025">
        <f ca="1">IF(F8&lt;B2,"已过期",2000110082)</f>
        <v>2000110082</v>
      </c>
      <c r="F8" s="1033">
        <v>46387</v>
      </c>
    </row>
    <row r="9" spans="1:6" ht="24" customHeight="1">
      <c r="A9" s="1704" t="s">
        <v>836</v>
      </c>
      <c r="B9" s="1025">
        <f ca="1">IF(C9&lt;B2,"已过期",1419970001)</f>
        <v>1419970001</v>
      </c>
      <c r="C9" s="2349">
        <v>43867</v>
      </c>
      <c r="D9" s="2352" t="s">
        <v>836</v>
      </c>
      <c r="E9" s="1025">
        <f ca="1">IF(F9&lt;B2,"已过期",2002110125)</f>
        <v>2002110125</v>
      </c>
      <c r="F9" s="1033">
        <v>47118</v>
      </c>
    </row>
    <row r="10" spans="1:6" ht="24" customHeight="1">
      <c r="A10" s="1704" t="s">
        <v>837</v>
      </c>
      <c r="B10" s="1025">
        <f ca="1">IF(C10&lt;B2,"已过期",1120060040)</f>
        <v>1120060040</v>
      </c>
      <c r="C10" s="2349">
        <v>43483</v>
      </c>
      <c r="D10" s="2352" t="s">
        <v>837</v>
      </c>
      <c r="E10" s="1025">
        <f ca="1">IF(F10&lt;B2,"已过期",2004110096)</f>
        <v>2004110096</v>
      </c>
      <c r="F10" s="1033">
        <v>47118</v>
      </c>
    </row>
    <row r="11" spans="1:6" ht="24" customHeight="1">
      <c r="A11" s="1704" t="s">
        <v>838</v>
      </c>
      <c r="B11" s="1025">
        <f ca="1">IF(C11&lt;B2,"已过期",1120100036)</f>
        <v>1120100036</v>
      </c>
      <c r="C11" s="2349">
        <v>43622</v>
      </c>
      <c r="D11" s="2352" t="s">
        <v>838</v>
      </c>
      <c r="E11" s="1025">
        <f ca="1">IF(F11&lt;B2,"已过期",2010110070)</f>
        <v>2010110070</v>
      </c>
      <c r="F11" s="1033">
        <v>47907</v>
      </c>
    </row>
    <row r="12" spans="1:6" ht="24" customHeight="1">
      <c r="A12" s="1704" t="s">
        <v>3001</v>
      </c>
      <c r="B12" s="1025">
        <v>1120110054</v>
      </c>
      <c r="C12" s="2940">
        <v>43937</v>
      </c>
      <c r="D12" s="1704" t="s">
        <v>3001</v>
      </c>
      <c r="E12" s="1025">
        <v>2008110060</v>
      </c>
      <c r="F12" s="1033">
        <v>47177</v>
      </c>
    </row>
    <row r="13" spans="1:6" ht="24" customHeight="1">
      <c r="A13" s="1704" t="s">
        <v>839</v>
      </c>
      <c r="B13" s="1025">
        <f ca="1">IF(C13&lt;B2,"已过期",1120070131)</f>
        <v>1120070131</v>
      </c>
      <c r="C13" s="2349">
        <v>43814</v>
      </c>
      <c r="D13" s="2352" t="s">
        <v>839</v>
      </c>
      <c r="E13" s="1025">
        <v>2014110011</v>
      </c>
      <c r="F13" s="1033">
        <v>49302</v>
      </c>
    </row>
    <row r="14" spans="1:6" ht="24" customHeight="1">
      <c r="A14" s="1704" t="s">
        <v>840</v>
      </c>
      <c r="B14" s="1025">
        <f ca="1">IF(C14&lt;B2,"已过期",1120130020)</f>
        <v>1120130020</v>
      </c>
      <c r="C14" s="2349">
        <v>43622</v>
      </c>
      <c r="D14" s="2352"/>
      <c r="E14" s="1025"/>
      <c r="F14" s="1025"/>
    </row>
    <row r="15" spans="1:6" ht="24" customHeight="1">
      <c r="A15" s="1705" t="s">
        <v>1145</v>
      </c>
      <c r="B15" s="1025">
        <v>1120070085</v>
      </c>
      <c r="C15" s="2349">
        <v>43814</v>
      </c>
      <c r="D15" s="2353" t="s">
        <v>1145</v>
      </c>
      <c r="E15" s="1025">
        <v>2004110128</v>
      </c>
      <c r="F15" s="1026">
        <v>47118</v>
      </c>
    </row>
    <row r="16" spans="1:6" ht="24" customHeight="1">
      <c r="A16" s="1704" t="s">
        <v>841</v>
      </c>
      <c r="B16" s="1025">
        <f ca="1">IF(C16&lt;B2,"已过期",1120140022)</f>
        <v>1120140022</v>
      </c>
      <c r="C16" s="2349">
        <v>44029</v>
      </c>
      <c r="D16" s="2352" t="s">
        <v>841</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842</v>
      </c>
      <c r="E21" s="1025">
        <f ca="1">IF(F21&lt;B2,"已过期",2011110090)</f>
        <v>2011110090</v>
      </c>
      <c r="F21" s="1033">
        <v>48302</v>
      </c>
    </row>
    <row r="22" spans="1:7" ht="24" customHeight="1">
      <c r="A22" s="1704" t="s">
        <v>843</v>
      </c>
      <c r="B22" s="1025">
        <f ca="1">IF(C22&lt;B2,"已过期",1120020033)</f>
        <v>1120020033</v>
      </c>
      <c r="C22" s="2940">
        <v>44339</v>
      </c>
      <c r="D22" s="2352" t="s">
        <v>843</v>
      </c>
      <c r="E22" s="1025">
        <f ca="1">IF(F22&lt;B2,"已过期",2000110137)</f>
        <v>2000110137</v>
      </c>
      <c r="F22" s="1033">
        <v>46387</v>
      </c>
    </row>
    <row r="23" spans="1:7" ht="24" customHeight="1">
      <c r="A23" s="1704" t="s">
        <v>844</v>
      </c>
      <c r="B23" s="1025">
        <f ca="1">IF(C23&lt;B2,"已过期",1120130048)</f>
        <v>1120130048</v>
      </c>
      <c r="C23" s="2349">
        <v>43686</v>
      </c>
      <c r="D23" s="2352"/>
      <c r="E23" s="1025"/>
      <c r="F23" s="1025"/>
    </row>
    <row r="24" spans="1:7" s="1027" customFormat="1" ht="24" customHeight="1">
      <c r="A24" s="1705" t="s">
        <v>1329</v>
      </c>
      <c r="B24" s="1705" t="s">
        <v>1329</v>
      </c>
      <c r="C24" s="2350" t="s">
        <v>1329</v>
      </c>
      <c r="D24" s="2353" t="s">
        <v>1329</v>
      </c>
      <c r="E24" s="1705" t="s">
        <v>1329</v>
      </c>
      <c r="F24" s="1705" t="s">
        <v>1329</v>
      </c>
    </row>
    <row r="25" spans="1:7" ht="24" customHeight="1">
      <c r="A25" s="2996" t="s">
        <v>845</v>
      </c>
      <c r="B25" s="2996"/>
      <c r="C25" s="2996"/>
      <c r="D25" s="2996"/>
      <c r="E25" s="2996"/>
      <c r="F25" s="2996"/>
      <c r="G25" s="2996"/>
    </row>
    <row r="26" spans="1:7" s="1028" customFormat="1" ht="24" customHeight="1">
      <c r="A26" s="2997" t="s">
        <v>846</v>
      </c>
      <c r="B26" s="2997"/>
      <c r="C26" s="2998"/>
      <c r="D26" s="2999" t="s">
        <v>847</v>
      </c>
      <c r="E26" s="2997"/>
      <c r="F26" s="2997"/>
    </row>
    <row r="27" spans="1:7" s="1030" customFormat="1" ht="24" customHeight="1">
      <c r="A27" s="1029" t="s">
        <v>848</v>
      </c>
      <c r="B27" s="1024" t="s">
        <v>849</v>
      </c>
      <c r="C27" s="2348" t="s">
        <v>850</v>
      </c>
      <c r="D27" s="2356" t="s">
        <v>848</v>
      </c>
      <c r="E27" s="1024" t="s">
        <v>849</v>
      </c>
      <c r="F27" s="1024" t="s">
        <v>850</v>
      </c>
    </row>
    <row r="28" spans="1:7" s="1030" customFormat="1" ht="24" customHeight="1">
      <c r="A28" s="1031" t="s">
        <v>851</v>
      </c>
      <c r="B28" s="1032" t="s">
        <v>852</v>
      </c>
      <c r="C28" s="2354">
        <v>43725</v>
      </c>
      <c r="D28" s="2357" t="s">
        <v>853</v>
      </c>
      <c r="E28" s="1031" t="s">
        <v>854</v>
      </c>
      <c r="F28" s="1061">
        <v>44377</v>
      </c>
    </row>
    <row r="29" spans="1:7" s="1030" customFormat="1" ht="24" customHeight="1">
      <c r="A29" s="1031"/>
      <c r="B29" s="1031"/>
      <c r="C29" s="2355"/>
      <c r="D29" s="2357"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2018-11-23T05:21:28Z</dcterms:modified>
</cp:coreProperties>
</file>