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1555304-CC36-45F4-BA28-F6F255C1BA89}" xr6:coauthVersionLast="47" xr6:coauthVersionMax="47" xr10:uidLastSave="{00000000-0000-0000-0000-000000000000}"/>
  <bookViews>
    <workbookView xWindow="-120" yWindow="-120" windowWidth="21840" windowHeight="1314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比较法" sheetId="82" r:id="rId34"/>
    <sheet name="Sheet2" sheetId="81" r:id="rId35"/>
    <sheet name="Sheet4" sheetId="83" r:id="rId36"/>
    <sheet name="典型户型修正" sheetId="31"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9">成本法!$A$1:$G$57</definedName>
    <definedName name="_xlnm.Print_Area" localSheetId="38">'成本法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定义!$L$1:$L$6</definedName>
    <definedName name="商业公共部分装修" localSheetId="33">租金比较法!$B$107:$M$107</definedName>
    <definedName name="商业公共部分装修">'比较法-商业'!$B$107:$M$107</definedName>
    <definedName name="商业基础设施水平" localSheetId="33">租金比较法!$B$112:$M$112</definedName>
    <definedName name="商业基础设施水平">'比较法-商业'!$B$112:$M$112</definedName>
    <definedName name="商业建筑结构" localSheetId="33">租金比较法!$B$105:$M$105</definedName>
    <definedName name="商业建筑结构">'比较法-商业'!$B$105:$M$105</definedName>
    <definedName name="商业交易情况" localSheetId="33">租金比较法!$A$61:$M$61</definedName>
    <definedName name="商业交易情况">'比较法-商业'!$A$61:$M$61</definedName>
    <definedName name="商业街名称">修正!$C$73:$C$140</definedName>
    <definedName name="商业进深比" localSheetId="33">租金比较法!$B$120:$M$120</definedName>
    <definedName name="商业进深比">'比较法-商业'!$B$120:$M$120</definedName>
    <definedName name="商业类型" localSheetId="33">租金比较法!$B$100:$M$100</definedName>
    <definedName name="商业类型">'比较法-商业'!$B$100:$M$100</definedName>
    <definedName name="商业临街状况" localSheetId="33">租金比较法!$B$86:$M$86</definedName>
    <definedName name="商业临街状况">'比较法-商业'!$B$86:$M$86</definedName>
    <definedName name="商业楼层" localSheetId="33">租金比较法!$B$92:$M$92</definedName>
    <definedName name="商业楼层">'比较法-商业'!$B$92:$M$92</definedName>
    <definedName name="商业内部装修" localSheetId="33">租金比较法!$B$122:$M$122</definedName>
    <definedName name="商业内部装修">'比较法-商业'!$B$122:$M$122</definedName>
    <definedName name="商业人流量" localSheetId="33">租金比较法!$B$90:$M$90</definedName>
    <definedName name="商业人流量">'比较法-商业'!$B$90:$M$90</definedName>
    <definedName name="商业业态" localSheetId="33">租金比较法!$B$114:$M$114</definedName>
    <definedName name="商业业态">'比较法-商业'!$B$114:$M$114</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8" i="1" l="1"/>
  <c r="B14" i="74" l="1"/>
  <c r="D3" i="31"/>
  <c r="E3" i="31"/>
  <c r="F3" i="31"/>
  <c r="G3" i="31"/>
  <c r="H3" i="31"/>
  <c r="D4" i="31"/>
  <c r="E4" i="31"/>
  <c r="F4" i="31"/>
  <c r="G4" i="31"/>
  <c r="H4" i="31"/>
  <c r="C3" i="31"/>
  <c r="D66" i="33"/>
  <c r="E66" i="33" s="1"/>
  <c r="F66" i="33" s="1"/>
  <c r="G66" i="33" s="1"/>
  <c r="H66" i="33" s="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C33" i="82"/>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D2" i="82"/>
  <c r="E54" i="82" l="1"/>
  <c r="F54" i="82" s="1"/>
  <c r="AA26" i="82"/>
  <c r="AC8" i="82"/>
  <c r="U8" i="82"/>
  <c r="F91" i="82"/>
  <c r="G91" i="82" s="1"/>
  <c r="H91" i="82" s="1"/>
  <c r="I91" i="82" s="1"/>
  <c r="J91" i="82" s="1"/>
  <c r="K91" i="82" s="1"/>
  <c r="L91" i="82" s="1"/>
  <c r="M91" i="82" s="1"/>
  <c r="J27" i="82"/>
  <c r="W27" i="82" s="1"/>
  <c r="AB26" i="82"/>
  <c r="AA38" i="82"/>
  <c r="S7" i="82"/>
  <c r="AA7" i="82"/>
  <c r="U7" i="82"/>
  <c r="AB7" i="82"/>
  <c r="L69" i="82"/>
  <c r="F11" i="82"/>
  <c r="AC7" i="82"/>
  <c r="W7" i="82"/>
  <c r="S10" i="82"/>
  <c r="W13" i="82"/>
  <c r="J33" i="82"/>
  <c r="H33" i="82"/>
  <c r="F3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B25" i="31"/>
  <c r="B26" i="31"/>
  <c r="B24" i="31"/>
  <c r="A25" i="31"/>
  <c r="A26" i="31"/>
  <c r="A24" i="31"/>
  <c r="AC27" i="82" l="1"/>
  <c r="AB32" i="82"/>
  <c r="U32" i="82"/>
  <c r="AC32" i="82"/>
  <c r="W32" i="82"/>
  <c r="AA33" i="82"/>
  <c r="S33" i="82"/>
  <c r="M69" i="82"/>
  <c r="H11" i="82"/>
  <c r="AA42" i="82"/>
  <c r="S42" i="82"/>
  <c r="AB31" i="82"/>
  <c r="U31" i="82"/>
  <c r="AA11" i="82"/>
  <c r="S11" i="82"/>
  <c r="AC11" i="82"/>
  <c r="W11" i="82"/>
  <c r="AB33" i="82"/>
  <c r="U33" i="82"/>
  <c r="AB37" i="82"/>
  <c r="U37" i="82"/>
  <c r="AA37" i="82"/>
  <c r="S37" i="82"/>
  <c r="AA32" i="82"/>
  <c r="S32" i="82"/>
  <c r="W31" i="82"/>
  <c r="AC31" i="82"/>
  <c r="AA31" i="82"/>
  <c r="S31" i="82"/>
  <c r="AC33" i="82"/>
  <c r="W33" i="82"/>
  <c r="C11" i="33"/>
  <c r="I12" i="33"/>
  <c r="G12" i="33"/>
  <c r="E12" i="33"/>
  <c r="I36" i="33"/>
  <c r="G36" i="33"/>
  <c r="E36" i="33"/>
  <c r="AB11" i="82" l="1"/>
  <c r="U11" i="82"/>
  <c r="C33" i="33"/>
  <c r="I7" i="33"/>
  <c r="G7" i="33"/>
  <c r="E7" i="33"/>
  <c r="D37" i="43" l="1"/>
  <c r="O20" i="1"/>
  <c r="N6" i="1" s="1"/>
  <c r="C36" i="82" l="1"/>
  <c r="C36" i="33"/>
  <c r="Y6" i="1"/>
  <c r="J36" i="82" l="1"/>
  <c r="F36" i="82"/>
  <c r="H36" i="82"/>
  <c r="AB36" i="82" l="1"/>
  <c r="U36" i="82"/>
  <c r="AA36" i="82"/>
  <c r="S36" i="82"/>
  <c r="AC36" i="82"/>
  <c r="W36" i="82"/>
  <c r="G19" i="6"/>
  <c r="I14" i="3"/>
  <c r="I15" i="3"/>
  <c r="I13" i="3"/>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AA40" i="33"/>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W13" i="33" s="1"/>
  <c r="F13" i="33"/>
  <c r="S13" i="33" s="1"/>
  <c r="J29" i="33"/>
  <c r="J31" i="33"/>
  <c r="W31" i="33"/>
  <c r="H31" i="33"/>
  <c r="F31" i="33"/>
  <c r="H45" i="33"/>
  <c r="U45" i="33"/>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AA14" i="33"/>
  <c r="J36" i="37"/>
  <c r="AC36" i="37"/>
  <c r="J10" i="36"/>
  <c r="AC10" i="36" s="1"/>
  <c r="AA14" i="37"/>
  <c r="AA14" i="34"/>
  <c r="AB45" i="33"/>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23" i="35"/>
  <c r="U39" i="37"/>
  <c r="U26" i="37"/>
  <c r="AC36" i="34"/>
  <c r="AC31" i="33"/>
  <c r="AC45" i="33"/>
  <c r="U11" i="33"/>
  <c r="U19" i="21"/>
  <c r="AB38" i="21"/>
  <c r="F43" i="33"/>
  <c r="S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c r="H101" i="33" s="1"/>
  <c r="I101" i="33" s="1"/>
  <c r="J101" i="33" s="1"/>
  <c r="K101" i="33" s="1"/>
  <c r="L101" i="33" s="1"/>
  <c r="M101" i="33" s="1"/>
  <c r="J32" i="33"/>
  <c r="AC32" i="33" s="1"/>
  <c r="F87" i="33"/>
  <c r="H25" i="33"/>
  <c r="U25" i="33" s="1"/>
  <c r="F25" i="33"/>
  <c r="AA25" i="33" s="1"/>
  <c r="J23" i="33"/>
  <c r="AC23" i="33" s="1"/>
  <c r="H23" i="33"/>
  <c r="U23" i="33" s="1"/>
  <c r="F81" i="33"/>
  <c r="F19" i="33"/>
  <c r="S19" i="33" s="1"/>
  <c r="W19" i="33"/>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AA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AB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B10" i="76"/>
  <c r="B11" i="76"/>
  <c r="L47" i="67"/>
  <c r="D6" i="73"/>
  <c r="E11" i="76"/>
  <c r="F20" i="31"/>
  <c r="F40" i="67"/>
  <c r="E10" i="76"/>
  <c r="B12" i="76"/>
  <c r="E2" i="69"/>
  <c r="F6" i="73"/>
  <c r="F40" i="15"/>
  <c r="M9" i="67"/>
  <c r="E7" i="76"/>
  <c r="F43" i="67"/>
  <c r="M8" i="15"/>
  <c r="AO13" i="1"/>
  <c r="L47" i="15"/>
  <c r="M26" i="67"/>
  <c r="F7" i="67"/>
  <c r="F37" i="67"/>
  <c r="F4" i="73"/>
  <c r="F38" i="67"/>
  <c r="M24" i="15"/>
  <c r="C76" i="67"/>
  <c r="M23" i="67"/>
  <c r="F5" i="73"/>
  <c r="F9" i="67"/>
  <c r="M24" i="67"/>
  <c r="E9" i="76"/>
  <c r="J15" i="67"/>
  <c r="M8" i="67"/>
  <c r="J15" i="15"/>
  <c r="M29" i="67"/>
  <c r="F13" i="67"/>
  <c r="E8" i="76"/>
  <c r="M29" i="15"/>
  <c r="F3" i="73"/>
  <c r="F42" i="67"/>
  <c r="E13" i="76"/>
  <c r="M28" i="67"/>
  <c r="M6" i="67"/>
  <c r="B8" i="76"/>
  <c r="M22" i="67"/>
  <c r="F7" i="15"/>
  <c r="E12" i="76"/>
  <c r="D35" i="9"/>
  <c r="F7" i="73"/>
  <c r="F8" i="67"/>
  <c r="B7" i="76"/>
  <c r="F36" i="67"/>
  <c r="F16" i="67"/>
  <c r="B13" i="76"/>
  <c r="M26" i="15"/>
  <c r="E2" i="68"/>
  <c r="F26" i="67"/>
  <c r="B9" i="76"/>
  <c r="F7" i="1" l="1"/>
  <c r="G7" i="1" s="1"/>
  <c r="C12" i="82"/>
  <c r="C12" i="33"/>
  <c r="G44" i="43"/>
  <c r="F6" i="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S33" i="33"/>
  <c r="U33"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W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AC33" i="33"/>
  <c r="W33" i="33"/>
  <c r="S28" i="33"/>
  <c r="AA28" i="33"/>
  <c r="J12" i="33"/>
  <c r="H12" i="33"/>
  <c r="U12" i="33" s="1"/>
  <c r="F12" i="33"/>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M28" i="15"/>
  <c r="F26" i="15"/>
  <c r="F37" i="15"/>
  <c r="C76" i="15"/>
  <c r="M22" i="15"/>
  <c r="M23" i="15"/>
  <c r="F42" i="15"/>
  <c r="F6" i="15"/>
  <c r="F8" i="15"/>
  <c r="F16" i="15"/>
  <c r="F9" i="15"/>
  <c r="D4" i="73"/>
  <c r="F36" i="15"/>
  <c r="C16" i="67"/>
  <c r="M6" i="15"/>
  <c r="M9" i="15"/>
  <c r="D5" i="73"/>
  <c r="F13" i="15"/>
  <c r="L48" i="67"/>
  <c r="D3" i="73"/>
  <c r="D7" i="73"/>
  <c r="L48" i="15"/>
  <c r="F38" i="15"/>
  <c r="F43" i="15"/>
  <c r="C44" i="43" l="1"/>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P28" i="43"/>
  <c r="B66" i="40" s="1"/>
  <c r="P25" i="43"/>
  <c r="C49" i="67"/>
  <c r="P29" i="43"/>
  <c r="P27" i="43"/>
  <c r="B70" i="39" s="1"/>
  <c r="C32" i="67"/>
  <c r="Q60" i="67"/>
  <c r="M11" i="67"/>
  <c r="J10" i="67" s="1"/>
  <c r="J5" i="67" s="1"/>
  <c r="F11" i="15"/>
  <c r="M11" i="15"/>
  <c r="J10" i="15" s="1"/>
  <c r="F11" i="67"/>
  <c r="J18" i="67"/>
  <c r="C32" i="15"/>
  <c r="Q52" i="67"/>
  <c r="Q61" i="67"/>
  <c r="Q74" i="67"/>
  <c r="Q74" i="15"/>
  <c r="Q61" i="15"/>
  <c r="AE11" i="1"/>
  <c r="AE9" i="1"/>
  <c r="F27" i="68"/>
  <c r="AE7" i="1"/>
  <c r="AE8" i="1"/>
  <c r="AE12" i="1"/>
  <c r="AE10" i="1"/>
  <c r="G1" i="73"/>
  <c r="C16" i="15"/>
  <c r="AE6" i="1"/>
  <c r="AA12" i="82" l="1"/>
  <c r="R48" i="82" s="1"/>
  <c r="S12" i="82"/>
  <c r="AC12" i="82"/>
  <c r="V48" i="82" s="1"/>
  <c r="I48" i="82" s="1"/>
  <c r="I52" i="82" s="1"/>
  <c r="J52" i="82" s="1"/>
  <c r="W12" i="82"/>
  <c r="AB12" i="82"/>
  <c r="T48" i="82" s="1"/>
  <c r="G48" i="82" s="1"/>
  <c r="U12" i="82"/>
  <c r="D26" i="43"/>
  <c r="C25" i="43" s="1"/>
  <c r="Q73" i="15"/>
  <c r="F59" i="15"/>
  <c r="J5" i="15"/>
  <c r="J24" i="15" s="1"/>
  <c r="AC6" i="3"/>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7" i="1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573" i="3"/>
  <c r="AY380" i="3"/>
  <c r="AY437" i="3"/>
  <c r="AY235" i="3"/>
  <c r="AY530" i="3"/>
  <c r="AY440" i="3"/>
  <c r="AY322" i="3"/>
  <c r="AY337" i="3"/>
  <c r="AY493" i="3"/>
  <c r="AY547" i="3"/>
  <c r="AY400"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41" i="67"/>
  <c r="M27" i="67"/>
  <c r="F41" i="15"/>
  <c r="M27" i="15"/>
  <c r="F69" i="67" l="1"/>
  <c r="U10" i="40"/>
  <c r="G52" i="82"/>
  <c r="H52" i="82" s="1"/>
  <c r="G53" i="82"/>
  <c r="H53" i="82" s="1"/>
  <c r="E48" i="82"/>
  <c r="R49" i="82"/>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L18" i="9"/>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M19" i="9"/>
  <c r="C118" i="9" s="1"/>
  <c r="B2" i="74" s="1"/>
  <c r="D26" i="6"/>
  <c r="D14" i="6"/>
  <c r="D6" i="6"/>
  <c r="D9" i="6"/>
  <c r="L19" i="9"/>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I53" i="82" l="1"/>
  <c r="J53" i="82" s="1"/>
  <c r="E52" i="82"/>
  <c r="F52" i="82" s="1"/>
  <c r="E53" i="82"/>
  <c r="F53" i="82" s="1"/>
  <c r="C49" i="82"/>
  <c r="C48" i="82"/>
  <c r="D30" i="6"/>
  <c r="E61" i="40"/>
  <c r="D12" i="6"/>
  <c r="D19" i="6"/>
  <c r="D10" i="6"/>
  <c r="D8" i="6"/>
  <c r="D16" i="6" s="1"/>
  <c r="D24" i="6"/>
  <c r="H21" i="6"/>
  <c r="R21" i="6" s="1"/>
  <c r="R8" i="1" s="1"/>
  <c r="C26" i="11"/>
  <c r="D22" i="11" s="1"/>
  <c r="H22" i="6"/>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U6" i="1" l="1"/>
  <c r="B2" i="82"/>
  <c r="B3" i="82"/>
  <c r="C8" i="69"/>
  <c r="C5" i="69" s="1"/>
  <c r="C23" i="69" s="1"/>
  <c r="B29" i="1"/>
  <c r="D27" i="6"/>
  <c r="D31"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6" i="67"/>
  <c r="C6" i="67" l="1"/>
  <c r="C10" i="67" s="1"/>
  <c r="C5" i="67" s="1"/>
  <c r="C38" i="67" s="1"/>
  <c r="F31"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F35" i="15"/>
  <c r="M21" i="67"/>
  <c r="C25" i="68" l="1"/>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2" i="35"/>
  <c r="D2" i="36"/>
  <c r="L51" i="15"/>
  <c r="D19" i="9"/>
  <c r="D2" i="34"/>
  <c r="I19" i="9" l="1"/>
  <c r="I20" i="9" s="1"/>
  <c r="C102" i="9"/>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6" i="1"/>
  <c r="AO7" i="1"/>
  <c r="AO8" i="1"/>
  <c r="AO12" i="1"/>
  <c r="AO9" i="1"/>
  <c r="AO10" i="1"/>
  <c r="C20" i="9"/>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T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T26" i="31" s="1"/>
  <c r="R25" i="31"/>
  <c r="T25" i="31" s="1"/>
  <c r="D6" i="71"/>
  <c r="C5" i="71"/>
  <c r="D5" i="71" s="1"/>
  <c r="M24" i="43" s="1"/>
  <c r="C42" i="40"/>
  <c r="C43" i="40"/>
  <c r="E47" i="40"/>
  <c r="F47" i="40" s="1"/>
  <c r="E46" i="40"/>
  <c r="F46" i="40" s="1"/>
  <c r="I47" i="40"/>
  <c r="J47" i="40" s="1"/>
  <c r="S25" i="31" l="1"/>
  <c r="S26" i="3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T22" i="31"/>
  <c r="R21" i="31" s="1"/>
  <c r="B5" i="74" l="1"/>
  <c r="D5" i="74" s="1"/>
  <c r="R22" i="31"/>
  <c r="F14" i="74"/>
  <c r="E14" i="74"/>
  <c r="B20" i="31"/>
  <c r="B21" i="31" s="1"/>
  <c r="B6" i="74"/>
  <c r="D6" i="74" s="1"/>
  <c r="D9" i="52"/>
  <c r="D123" i="9"/>
  <c r="M55" i="9"/>
  <c r="D59" i="9"/>
  <c r="B21" i="72"/>
  <c r="D7" i="53"/>
  <c r="B47" i="72"/>
  <c r="D4" i="52"/>
  <c r="N69" i="9"/>
  <c r="M69" i="9"/>
  <c r="M63" i="9"/>
  <c r="L63" i="9"/>
  <c r="C6" i="74"/>
  <c r="N58" i="9"/>
  <c r="D55" i="9"/>
  <c r="M53" i="9"/>
  <c r="N57" i="9"/>
  <c r="P57" i="9"/>
  <c r="C73" i="9"/>
  <c r="C78" i="9"/>
  <c r="B32" i="72"/>
  <c r="D14" i="53"/>
  <c r="B49" i="72"/>
  <c r="D5" i="52"/>
  <c r="D118" i="9"/>
  <c r="D119" i="9"/>
  <c r="H5" i="52"/>
  <c r="H119" i="9"/>
  <c r="M65" i="9"/>
  <c r="L65" i="9"/>
  <c r="C80" i="9"/>
  <c r="E80" i="9"/>
  <c r="E81" i="9"/>
  <c r="M68" i="9"/>
  <c r="L68" i="9"/>
  <c r="B22" i="72"/>
  <c r="D6" i="53"/>
  <c r="M67" i="9"/>
  <c r="L67" i="9"/>
  <c r="E97" i="9"/>
  <c r="E96" i="9"/>
  <c r="C96" i="9"/>
  <c r="D13" i="53"/>
  <c r="B30" i="72"/>
  <c r="C86" i="9"/>
  <c r="C93" i="9"/>
  <c r="B48" i="72"/>
  <c r="E118" i="9"/>
  <c r="E4" i="52"/>
  <c r="H102" i="9"/>
  <c r="C5" i="74"/>
  <c r="G4" i="52"/>
  <c r="B52" i="72"/>
  <c r="D122" i="9"/>
  <c r="D8" i="52"/>
  <c r="M64" i="9"/>
  <c r="L64" i="9"/>
  <c r="M48" i="9"/>
  <c r="N61" i="9"/>
  <c r="N59" i="9"/>
  <c r="N60" i="9"/>
  <c r="H4" i="52"/>
  <c r="C104" i="9"/>
  <c r="D5" i="53"/>
  <c r="B20" i="72"/>
  <c r="D52" i="9"/>
  <c r="D53" i="9"/>
  <c r="F4" i="52"/>
  <c r="B51" i="72"/>
  <c r="C105" i="9"/>
  <c r="I4" i="52"/>
  <c r="C85" i="9"/>
  <c r="C95" i="9"/>
  <c r="C97" i="9"/>
  <c r="D58" i="9"/>
  <c r="D56" i="9"/>
  <c r="M54" i="9"/>
  <c r="H108" i="9"/>
  <c r="D15" i="53"/>
  <c r="B31" i="72"/>
  <c r="M66" i="9"/>
  <c r="H107" i="9"/>
  <c r="M49" i="9"/>
  <c r="L66" i="9"/>
  <c r="C64" i="9"/>
  <c r="C63" i="9"/>
  <c r="C67" i="9"/>
  <c r="C68" i="9"/>
  <c r="D54" i="9"/>
  <c r="G118" i="9"/>
  <c r="F118" i="9"/>
  <c r="F119" i="9"/>
  <c r="F5" i="52"/>
  <c r="B53" i="72"/>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<sst xmlns="http://schemas.openxmlformats.org/spreadsheetml/2006/main" count="8385" uniqueCount="3518">
  <si>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</si>
  <si>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</si>
  <si>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</si>
  <si>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</si>
  <si>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</si>
  <si>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</si>
  <si>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</si>
  <si>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</si>
  <si>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</si>
  <si>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</si>
  <si>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</si>
  <si>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</si>
  <si>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</si>
  <si>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</si>
  <si>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</si>
  <si>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</si>
  <si>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</si>
  <si>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</si>
  <si>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</si>
  <si>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</si>
  <si>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</si>
  <si>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</si>
  <si>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</si>
  <si>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</si>
  <si>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</si>
  <si>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</si>
  <si>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</si>
  <si>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</si>
  <si>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</si>
  <si>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</si>
  <si>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</si>
  <si>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</si>
  <si>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</si>
  <si>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</si>
  <si>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</si>
  <si>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</si>
  <si>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</si>
  <si>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</si>
  <si>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</si>
  <si>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</si>
  <si>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</si>
  <si>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</si>
  <si>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</si>
  <si>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</si>
  <si>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</si>
  <si>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</si>
  <si>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</si>
  <si>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</si>
  <si>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</si>
  <si>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</si>
  <si>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</si>
  <si>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</si>
  <si>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</si>
  <si>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</si>
  <si>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</si>
  <si>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</si>
  <si>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</si>
  <si>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</si>
  <si>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</si>
  <si>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</si>
  <si>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</si>
  <si>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</si>
  <si>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</si>
  <si>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</si>
  <si>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</si>
  <si>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</si>
  <si>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</si>
  <si>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</si>
  <si>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</si>
  <si>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</si>
  <si>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</si>
  <si>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</si>
  <si>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</si>
  <si>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</si>
  <si>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</si>
  <si>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</si>
  <si>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</si>
  <si>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</si>
  <si>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</si>
  <si>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</si>
  <si>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</si>
  <si>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</si>
  <si>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</si>
  <si>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</si>
  <si>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</si>
  <si>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</si>
  <si>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</si>
  <si>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</si>
  <si>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</si>
  <si>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</si>
  <si>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</si>
  <si>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</si>
  <si>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</si>
  <si>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</si>
  <si>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</si>
  <si>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</si>
  <si>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</si>
  <si>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</si>
  <si>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</si>
  <si>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</si>
  <si>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</si>
  <si>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</si>
  <si>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</si>
  <si>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</si>
  <si>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</si>
  <si>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</si>
  <si>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</si>
  <si>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</si>
  <si>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</si>
  <si>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</si>
  <si>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</si>
  <si>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</si>
  <si>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</si>
  <si>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</si>
  <si>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</si>
  <si>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</si>
  <si>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</si>
  <si>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</si>
  <si>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</si>
  <si>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</si>
  <si>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</si>
  <si>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</si>
  <si>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</si>
  <si>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</si>
  <si>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</si>
  <si>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</si>
  <si>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</si>
  <si>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</si>
  <si>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</si>
  <si>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</si>
  <si>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</si>
  <si>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</si>
  <si>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</si>
  <si>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</si>
  <si>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</si>
  <si>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</si>
  <si>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</si>
  <si>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</si>
  <si>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</si>
  <si>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</si>
  <si>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</si>
  <si>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</si>
  <si>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</si>
  <si>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</si>
  <si>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</si>
  <si>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</si>
  <si>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</si>
  <si>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</si>
  <si>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</si>
  <si>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</si>
  <si>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</si>
  <si>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</si>
  <si>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</si>
  <si>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</si>
  <si>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</si>
  <si>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</si>
  <si>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</si>
  <si>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</si>
  <si>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</si>
  <si>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</si>
  <si>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</si>
  <si>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</si>
  <si>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</si>
  <si>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</si>
  <si>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</si>
  <si>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</si>
  <si>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</si>
  <si>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</si>
  <si>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</si>
  <si>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</si>
  <si>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</si>
  <si>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</si>
  <si>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</si>
  <si>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</si>
  <si>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</si>
  <si>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</si>
  <si>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</si>
  <si>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</si>
  <si>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</si>
  <si>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</si>
  <si>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</si>
  <si>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</si>
  <si>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</si>
  <si>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</si>
  <si>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</si>
  <si>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</si>
  <si>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</si>
  <si>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</si>
  <si>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</si>
  <si>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</si>
  <si>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</si>
  <si>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</si>
  <si>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</si>
  <si>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</si>
  <si>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</si>
  <si>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</si>
  <si>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</si>
  <si>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</si>
  <si>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</si>
  <si>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</si>
  <si>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</si>
  <si>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</si>
  <si>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</si>
  <si>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</si>
  <si>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</si>
  <si>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</si>
  <si>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</si>
  <si>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</si>
  <si>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</si>
  <si>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</si>
  <si>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</si>
  <si>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</si>
  <si>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</si>
  <si>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</si>
  <si>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</si>
  <si>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</si>
  <si>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</si>
  <si>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</si>
  <si>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</si>
  <si>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</si>
  <si>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</si>
  <si>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</si>
  <si>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</si>
  <si>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</si>
  <si>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</si>
  <si>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</si>
  <si>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</si>
  <si>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</si>
  <si>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</si>
  <si>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</si>
  <si>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</si>
  <si>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</si>
  <si>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</si>
  <si>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</si>
  <si>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</si>
  <si>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</si>
  <si>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</si>
  <si>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</si>
  <si>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</si>
  <si>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</si>
  <si>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</si>
  <si>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</si>
  <si>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</si>
  <si>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</si>
  <si>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</si>
  <si>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</si>
  <si>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</si>
  <si>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</si>
  <si>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</si>
  <si>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</si>
  <si>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</si>
  <si>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</si>
  <si>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</si>
  <si>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</si>
  <si>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</si>
  <si>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</si>
  <si>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</si>
  <si>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</si>
  <si>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</si>
  <si>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</si>
  <si>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</si>
  <si>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</si>
  <si>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</si>
  <si>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</si>
  <si>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</si>
  <si>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</si>
  <si>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</si>
  <si>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</si>
  <si>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</si>
  <si>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</si>
  <si>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</si>
  <si>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</si>
  <si>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</si>
  <si>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</si>
  <si>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</si>
  <si>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</si>
  <si>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</si>
  <si>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</si>
  <si>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</si>
  <si>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</si>
  <si>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</si>
  <si>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</si>
  <si>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</si>
  <si>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</si>
  <si>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</si>
  <si>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</si>
  <si>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</si>
  <si>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</si>
  <si>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</si>
  <si>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</si>
  <si>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</si>
  <si>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</si>
  <si>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</si>
  <si>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</si>
  <si>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</si>
  <si>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</si>
  <si>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</si>
  <si>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</si>
  <si>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</si>
  <si>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</si>
  <si>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</si>
  <si>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</si>
  <si>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</si>
  <si>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</si>
  <si>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</si>
  <si>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</si>
  <si>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</si>
  <si>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</si>
  <si>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</si>
  <si>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</si>
  <si>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</si>
  <si>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</si>
  <si>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</si>
  <si>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</si>
  <si>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</si>
  <si>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</si>
  <si>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</si>
  <si>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</si>
  <si>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</si>
  <si>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</si>
  <si>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</si>
  <si>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</si>
  <si>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</si>
  <si>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</si>
  <si>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</si>
  <si>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</si>
  <si>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</si>
  <si>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</si>
  <si>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</si>
  <si>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</si>
  <si>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</si>
  <si>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</si>
  <si>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</si>
  <si>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</si>
  <si>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</si>
  <si>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</si>
  <si>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</si>
  <si>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</si>
  <si>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</si>
  <si>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</si>
  <si>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</si>
  <si>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</si>
  <si>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</si>
  <si>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</si>
  <si>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</si>
  <si>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</si>
  <si>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</si>
  <si>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</si>
  <si>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</si>
  <si>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</si>
  <si>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</si>
  <si>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</si>
  <si>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</si>
  <si>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</si>
  <si>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</si>
  <si>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</si>
  <si>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</si>
  <si>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</si>
  <si>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</si>
  <si>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</si>
  <si>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</si>
  <si>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</si>
  <si>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</si>
  <si>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</si>
  <si>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</si>
  <si>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</si>
  <si>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</si>
  <si>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</si>
  <si>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</si>
  <si>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</si>
  <si>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</si>
  <si>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</si>
  <si>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</si>
  <si>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</si>
  <si>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</si>
  <si>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</si>
  <si>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</si>
  <si>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</si>
  <si>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</si>
  <si>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</si>
  <si>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</si>
  <si>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</si>
  <si>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</si>
  <si>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</si>
  <si>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</si>
  <si>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</si>
  <si>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</si>
  <si>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</si>
  <si>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</si>
  <si>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</si>
  <si>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</si>
  <si>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</si>
  <si>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</si>
  <si>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</si>
  <si>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</si>
  <si>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</si>
  <si>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</si>
  <si>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</si>
  <si>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</si>
  <si>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</si>
  <si>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</si>
  <si>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</si>
  <si>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</si>
  <si>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</si>
  <si>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</si>
  <si>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</si>
  <si>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</si>
  <si>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</si>
  <si>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</si>
  <si>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</si>
  <si>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</si>
  <si>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</si>
  <si>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</si>
  <si>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</si>
  <si>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</si>
  <si>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</si>
  <si>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</si>
  <si>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</si>
  <si>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</si>
  <si>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</si>
  <si>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</si>
  <si>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</si>
  <si>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</si>
  <si>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</si>
  <si>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</si>
  <si>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</si>
  <si>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</si>
  <si>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</si>
  <si>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</si>
  <si>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</si>
  <si>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</si>
  <si>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</si>
  <si>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</si>
  <si>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</si>
  <si>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</si>
  <si>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</si>
  <si>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</si>
  <si>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</si>
  <si>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</si>
  <si>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</si>
  <si>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</si>
  <si>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</si>
  <si>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</si>
  <si>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</si>
  <si>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</si>
  <si>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</si>
  <si>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</si>
  <si>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</si>
  <si>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</si>
  <si>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</si>
  <si>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</si>
  <si>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</si>
  <si>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</si>
  <si>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</si>
  <si>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</si>
  <si>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</si>
  <si>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</si>
  <si>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</si>
  <si>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</si>
  <si>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</si>
  <si>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</si>
  <si>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</si>
  <si>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</si>
  <si>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</si>
  <si>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</si>
  <si>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</si>
  <si>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</si>
  <si>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</si>
  <si>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</si>
  <si>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</si>
  <si>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</si>
  <si>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</si>
  <si>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</si>
  <si>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</si>
  <si>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</si>
  <si>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</si>
  <si>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</si>
  <si>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</si>
  <si>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</si>
  <si>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</si>
  <si>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</si>
  <si>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</si>
  <si>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</si>
  <si>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</si>
  <si>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</si>
  <si>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</si>
  <si>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</si>
  <si>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</si>
  <si>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</si>
  <si>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</si>
  <si>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</si>
  <si>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</si>
  <si>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</si>
  <si>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</si>
  <si>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</si>
  <si>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</si>
  <si>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</si>
  <si>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</si>
  <si>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</si>
  <si>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</si>
  <si>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</si>
  <si>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</si>
  <si>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</si>
  <si>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</si>
  <si>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</si>
  <si>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</si>
  <si>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</si>
  <si>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</si>
  <si>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</si>
  <si>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</si>
  <si>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</si>
  <si>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</si>
  <si>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</si>
  <si>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</si>
  <si>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</si>
  <si>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</si>
  <si>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</si>
  <si>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</si>
  <si>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</si>
  <si>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</si>
  <si>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</si>
  <si>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</si>
  <si>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</si>
  <si>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</si>
  <si>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</si>
  <si>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</si>
  <si>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</si>
  <si>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</si>
  <si>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</si>
  <si>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</si>
  <si>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</si>
  <si>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</si>
  <si>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</si>
  <si>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</si>
  <si>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</si>
  <si>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</si>
  <si>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</si>
  <si>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</si>
  <si>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</si>
  <si>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</si>
  <si>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</si>
  <si>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</si>
  <si>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</si>
  <si>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</si>
  <si>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</si>
  <si>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</si>
  <si>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</si>
  <si>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</si>
  <si>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</si>
  <si>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</si>
  <si>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</si>
  <si>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</si>
  <si>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</si>
  <si>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</si>
  <si>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</si>
  <si>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</si>
  <si>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</si>
  <si>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</si>
  <si>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</si>
  <si>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</si>
  <si>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</si>
  <si>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</si>
  <si>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</si>
  <si>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</si>
  <si>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</si>
  <si>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</si>
  <si>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</si>
  <si>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</si>
  <si>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</si>
  <si>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</si>
  <si>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</si>
  <si>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</si>
  <si>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</si>
  <si>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</si>
  <si>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</si>
  <si>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</si>
  <si>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</si>
  <si>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</si>
  <si>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</si>
  <si>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</si>
  <si>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</si>
  <si>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</si>
  <si>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</si>
  <si>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</si>
  <si>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</si>
  <si>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</si>
  <si>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</si>
  <si>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</si>
  <si>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</si>
  <si>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</si>
  <si>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</si>
  <si>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</si>
  <si>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</si>
  <si>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</si>
  <si>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</si>
  <si>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</si>
  <si>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</si>
  <si>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</si>
  <si>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</si>
  <si>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</si>
  <si>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</si>
  <si>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</si>
  <si>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</si>
  <si>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</si>
  <si>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</si>
  <si>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</si>
  <si>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</si>
  <si>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</si>
  <si>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</si>
  <si>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</si>
  <si>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</si>
  <si>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</si>
  <si>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</si>
  <si>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</si>
  <si>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</si>
  <si>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</si>
  <si>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</si>
  <si>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</si>
  <si>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</si>
  <si>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</si>
  <si>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</si>
  <si>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</si>
  <si>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</si>
  <si>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</si>
  <si>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</si>
  <si>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</si>
  <si>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</si>
  <si>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</si>
  <si>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</si>
  <si>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</si>
  <si>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</si>
  <si>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</si>
  <si>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</si>
  <si>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</si>
  <si>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</si>
  <si>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</si>
  <si>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</si>
  <si>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</si>
  <si>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</si>
  <si>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</si>
  <si>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</si>
  <si>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</si>
  <si>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</si>
  <si>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</si>
  <si>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</si>
  <si>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</si>
  <si>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</si>
  <si>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</si>
  <si>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</si>
  <si>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</si>
  <si>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</si>
  <si>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</si>
  <si>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</si>
  <si>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</si>
  <si>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</si>
  <si>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</si>
  <si>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</si>
  <si>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</si>
  <si>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</si>
  <si>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</si>
  <si>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</si>
  <si>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</si>
  <si>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</si>
  <si>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</si>
  <si>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</si>
  <si>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</si>
  <si>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</si>
  <si>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</si>
  <si>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</si>
  <si>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</si>
  <si>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</si>
  <si>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</si>
  <si>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</si>
  <si>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</si>
  <si>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</si>
  <si>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</si>
  <si>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</si>
  <si>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</si>
  <si>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</si>
  <si>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</si>
  <si>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</si>
  <si>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</si>
  <si>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</si>
  <si>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</si>
  <si>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</si>
  <si>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</si>
  <si>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</si>
  <si>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</si>
  <si>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</si>
  <si>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</si>
  <si>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</si>
  <si>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</si>
  <si>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</si>
  <si>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</si>
  <si>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</si>
  <si>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</si>
  <si>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</si>
  <si>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</si>
  <si>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</si>
  <si>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</si>
  <si>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</si>
  <si>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</si>
  <si>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</si>
  <si>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</si>
  <si>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</si>
  <si>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</si>
  <si>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</si>
  <si>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</si>
  <si>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</si>
  <si>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</si>
  <si>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</si>
  <si>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</si>
  <si>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</si>
  <si>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</si>
  <si>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</si>
  <si>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</si>
  <si>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</si>
  <si>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</si>
  <si>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</si>
  <si>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</si>
  <si>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</si>
  <si>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</si>
  <si>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</si>
  <si>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</si>
  <si>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</si>
  <si>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</si>
  <si>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</si>
  <si>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</si>
  <si>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</si>
  <si>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</si>
  <si>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</si>
  <si>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</si>
  <si>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</si>
  <si>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</si>
  <si>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</si>
  <si>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</si>
  <si>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</si>
  <si>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</si>
  <si>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</si>
  <si>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</si>
  <si>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</si>
  <si>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</si>
  <si>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</si>
  <si>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</si>
  <si>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</si>
  <si>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</si>
  <si>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</si>
  <si>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</si>
  <si>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</si>
  <si>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</si>
  <si>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</si>
  <si>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</si>
  <si>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</si>
  <si>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</si>
  <si>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</si>
  <si>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</si>
  <si>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</si>
  <si>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</si>
  <si>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</si>
  <si>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</si>
  <si>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</si>
  <si>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</si>
  <si>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</si>
  <si>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</si>
  <si>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</si>
  <si>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</si>
  <si>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</si>
  <si>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</si>
  <si>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</si>
  <si>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</si>
  <si>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</si>
  <si>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</si>
  <si>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</si>
  <si>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</si>
  <si>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</si>
  <si>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</si>
  <si>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</si>
  <si>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</si>
  <si>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</si>
  <si>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</si>
  <si>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</si>
  <si>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</si>
  <si>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</si>
  <si>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</si>
  <si>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</si>
  <si>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</si>
  <si>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</si>
  <si>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</si>
  <si>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</si>
  <si>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</si>
  <si>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</si>
  <si>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</si>
  <si>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</si>
  <si>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</si>
  <si>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</si>
  <si>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</si>
  <si>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</si>
  <si>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</si>
  <si>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</si>
  <si>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</si>
  <si>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</si>
  <si>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</si>
  <si>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</si>
  <si>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</si>
  <si>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</si>
  <si>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</si>
  <si>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</si>
  <si>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</si>
  <si>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</si>
  <si>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</si>
  <si>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</si>
  <si>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</si>
  <si>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</si>
  <si>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</si>
  <si>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</si>
  <si>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</si>
  <si>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</si>
  <si>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</si>
  <si>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</si>
  <si>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</si>
  <si>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</si>
  <si>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</si>
  <si>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</si>
  <si>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</si>
  <si>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</si>
  <si>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</si>
  <si>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</si>
  <si>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</si>
  <si>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</si>
  <si>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</si>
  <si>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</si>
  <si>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</si>
  <si>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</si>
  <si>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</si>
  <si>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</si>
  <si>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</si>
  <si>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</si>
  <si>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</si>
  <si>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</si>
  <si>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</si>
  <si>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</si>
  <si>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</si>
  <si>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</si>
  <si>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</si>
  <si>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</si>
  <si>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</si>
  <si>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</si>
  <si>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</si>
  <si>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</si>
  <si>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</si>
  <si>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</si>
  <si>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</si>
  <si>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</si>
  <si>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</si>
  <si>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</si>
  <si>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</si>
  <si>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</si>
  <si>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</si>
  <si>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</si>
  <si>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</si>
  <si>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</si>
  <si>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</si>
  <si>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</si>
  <si>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</si>
  <si>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</si>
  <si>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</si>
  <si>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</si>
  <si>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</si>
  <si>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</si>
  <si>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</si>
  <si>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</si>
  <si>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</si>
  <si>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</si>
  <si>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</si>
  <si>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</si>
  <si>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</si>
  <si>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</si>
  <si>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</si>
  <si>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</si>
  <si>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</si>
  <si>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</si>
  <si>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</si>
  <si>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</si>
  <si>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</si>
  <si>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</si>
  <si>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</si>
  <si>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</si>
  <si>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</si>
  <si>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</si>
  <si>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</si>
  <si>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</si>
  <si>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</si>
  <si>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</si>
  <si>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</si>
  <si>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</si>
  <si>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</si>
  <si>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</si>
  <si>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</si>
  <si>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</si>
  <si>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</si>
  <si>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</si>
  <si>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</si>
  <si>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</si>
  <si>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</si>
  <si>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</si>
  <si>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</si>
  <si>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</si>
  <si>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</si>
  <si>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</si>
  <si>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</si>
  <si>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</si>
  <si>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</si>
  <si>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</si>
  <si>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</si>
  <si>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</si>
  <si>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</si>
  <si>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</si>
  <si>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</si>
  <si>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</si>
  <si>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</si>
  <si>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</si>
  <si>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</si>
  <si>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</si>
  <si>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</si>
  <si>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</si>
  <si>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</si>
  <si>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</si>
  <si>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</si>
  <si>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</si>
  <si>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</si>
  <si>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</si>
  <si>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</si>
  <si>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</si>
  <si>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</si>
  <si>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</si>
  <si>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</si>
  <si>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</si>
  <si>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</si>
  <si>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</si>
  <si>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</si>
  <si>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</si>
  <si>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</si>
  <si>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</si>
  <si>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</si>
  <si>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</si>
  <si>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</si>
  <si>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</si>
  <si>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</si>
  <si>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</si>
  <si>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</si>
  <si>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</si>
  <si>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</si>
  <si>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</si>
  <si>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</si>
  <si>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</si>
  <si>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</si>
  <si>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</si>
  <si>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</si>
  <si>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</si>
  <si>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</si>
  <si>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</si>
  <si>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</si>
  <si>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</si>
  <si>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</si>
  <si>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</si>
  <si>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</si>
  <si>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</si>
  <si>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</si>
  <si>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</si>
  <si>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</si>
  <si>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</si>
  <si>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</si>
  <si>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</si>
  <si>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</si>
  <si>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</si>
  <si>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</si>
  <si>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</si>
  <si>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</si>
  <si>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</si>
  <si>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</si>
  <si>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</si>
  <si>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</si>
  <si>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</si>
  <si>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</si>
  <si>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</si>
  <si>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</si>
  <si>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</si>
  <si>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</si>
  <si>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</si>
  <si>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</si>
  <si>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</si>
  <si>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</si>
  <si>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</si>
  <si>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</si>
  <si>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</si>
  <si>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</si>
  <si>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</si>
  <si>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</si>
  <si>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</si>
  <si>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</si>
  <si>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</si>
  <si>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</si>
  <si>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</si>
  <si>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</si>
  <si>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</si>
  <si>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</si>
  <si>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</si>
  <si>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</si>
  <si>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</si>
  <si>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</si>
  <si>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</si>
  <si>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</si>
  <si>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</si>
  <si>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</si>
  <si>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</si>
  <si>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</si>
  <si>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</si>
  <si>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</si>
  <si>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</si>
  <si>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</si>
  <si>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</si>
  <si>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</si>
  <si>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</si>
  <si>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</si>
  <si>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</si>
  <si>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</si>
  <si>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</si>
  <si>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</si>
  <si>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</si>
  <si>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</si>
  <si>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</si>
  <si>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</si>
  <si>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</si>
  <si>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</si>
  <si>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</si>
  <si>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</si>
  <si>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</si>
  <si>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</si>
  <si>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</si>
  <si>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</si>
  <si>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</si>
  <si>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</si>
  <si>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</si>
  <si>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</si>
  <si>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</si>
  <si>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</si>
  <si>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</si>
  <si>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</si>
  <si>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</si>
  <si>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</si>
  <si>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</si>
  <si>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</si>
  <si>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</si>
  <si>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</si>
  <si>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</si>
  <si>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</si>
  <si>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</si>
  <si>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</si>
  <si>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</si>
  <si>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</si>
  <si>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</si>
  <si>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</si>
  <si>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</si>
  <si>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</si>
  <si>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</si>
  <si>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</si>
  <si>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</si>
  <si>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</si>
  <si>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</si>
  <si>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</si>
  <si>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</si>
  <si>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</si>
  <si>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</si>
  <si>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</si>
  <si>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</si>
  <si>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</si>
  <si>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</si>
  <si>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</si>
  <si>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</si>
  <si>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</si>
  <si>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</si>
  <si>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</si>
  <si>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</si>
  <si>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</si>
  <si>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</si>
  <si>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</si>
  <si>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</si>
  <si>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</si>
  <si>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</si>
  <si>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</si>
  <si>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</si>
  <si>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</si>
  <si>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</si>
  <si>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</si>
  <si>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</si>
  <si>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</si>
  <si>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</si>
  <si>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</si>
  <si>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</si>
  <si>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</si>
  <si>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</si>
  <si>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</si>
  <si>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</si>
  <si>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</si>
  <si>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</si>
  <si>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</si>
  <si>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</si>
  <si>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</si>
  <si>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</si>
  <si>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</si>
  <si>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</si>
  <si>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</si>
  <si>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</si>
  <si>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</si>
  <si>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</si>
  <si>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</si>
  <si>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</si>
  <si>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</si>
  <si>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</si>
  <si>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</si>
  <si>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</si>
  <si>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</si>
  <si>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</si>
  <si>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</si>
  <si>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</si>
  <si>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</si>
  <si>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</si>
  <si>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</si>
  <si>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</si>
  <si>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</si>
  <si>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</si>
  <si>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</si>
  <si>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</si>
  <si>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</si>
  <si>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</si>
  <si>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</si>
  <si>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</si>
  <si>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</si>
  <si>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</si>
  <si>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</si>
  <si>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</si>
  <si>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</si>
  <si>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</si>
  <si>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</si>
  <si>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</si>
  <si>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</si>
  <si>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</si>
  <si>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</si>
  <si>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</si>
  <si>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</si>
  <si>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</si>
  <si>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</si>
  <si>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</si>
  <si>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</si>
  <si>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</si>
  <si>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</si>
  <si>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</si>
  <si>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</si>
  <si>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</si>
  <si>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</si>
  <si>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</si>
  <si>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</si>
  <si>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</si>
  <si>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</si>
  <si>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</si>
  <si>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</si>
  <si>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</si>
  <si>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</si>
  <si>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</si>
  <si>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</si>
  <si>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</si>
  <si>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</si>
  <si>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</si>
  <si>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</si>
  <si>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</si>
  <si>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</si>
  <si>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</si>
  <si>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</si>
  <si>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</si>
  <si>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</si>
  <si>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</si>
  <si>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</si>
  <si>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</si>
  <si>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</si>
  <si>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</si>
  <si>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</si>
  <si>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</si>
  <si>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</si>
  <si>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</si>
  <si>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</si>
  <si>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</si>
  <si>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</si>
  <si>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</si>
  <si>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</si>
  <si>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</si>
  <si>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</si>
  <si>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</si>
  <si>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</si>
  <si>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</si>
  <si>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</si>
  <si>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</si>
  <si>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</si>
  <si>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</si>
  <si>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</si>
  <si>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</si>
  <si>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</si>
  <si>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</si>
  <si>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</si>
  <si>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</si>
  <si>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</si>
  <si>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</si>
  <si>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</si>
  <si>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</si>
  <si>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</si>
  <si>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</si>
  <si>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</si>
  <si>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</si>
  <si>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</si>
  <si>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</si>
  <si>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</si>
  <si>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</si>
  <si>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</si>
  <si>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</si>
  <si>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</si>
  <si>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</si>
  <si>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</si>
  <si>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</si>
  <si>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</si>
  <si>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</si>
  <si>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</si>
  <si>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</si>
  <si>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</si>
  <si>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</si>
  <si>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</si>
  <si>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</si>
  <si>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</si>
  <si>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</si>
  <si>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</si>
  <si>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</si>
  <si>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</si>
  <si>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</si>
  <si>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</si>
  <si>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</si>
  <si>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</si>
  <si>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</si>
  <si>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</si>
  <si>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</si>
  <si>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</si>
  <si>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</si>
  <si>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</si>
  <si>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</si>
  <si>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</si>
  <si>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</si>
  <si>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</si>
  <si>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</si>
  <si>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</si>
  <si>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</si>
  <si>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</si>
  <si>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</si>
  <si>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</si>
  <si>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</si>
  <si>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</si>
  <si>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</si>
  <si>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</si>
  <si>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</si>
  <si>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</si>
  <si>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</si>
  <si>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</si>
  <si>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</si>
  <si>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</si>
  <si>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</si>
  <si>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</si>
  <si>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</si>
  <si>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</si>
  <si>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</si>
  <si>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</si>
  <si>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</si>
  <si>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</si>
  <si>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</si>
  <si>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</si>
  <si>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</si>
  <si>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</si>
  <si>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</si>
  <si>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</si>
  <si>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</si>
  <si>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</si>
  <si>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</si>
  <si>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</si>
  <si>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</si>
  <si>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</si>
  <si>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</si>
  <si>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</si>
  <si>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</si>
  <si>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</si>
  <si>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</si>
  <si>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</si>
  <si>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</si>
  <si>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</si>
  <si>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</si>
  <si>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</si>
  <si>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</si>
  <si>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</si>
  <si>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</si>
  <si>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</si>
  <si>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</si>
  <si>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</si>
  <si>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</si>
  <si>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</si>
  <si>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</si>
  <si>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</si>
  <si>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</si>
  <si>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</si>
  <si>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</si>
  <si>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</si>
  <si>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</si>
  <si>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</si>
  <si>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</si>
  <si>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</si>
  <si>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</si>
  <si>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</si>
  <si>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</si>
  <si>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</si>
  <si>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</si>
  <si>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</si>
  <si>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</si>
  <si>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</si>
  <si>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</si>
  <si>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</si>
  <si>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</si>
  <si>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</si>
  <si>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</si>
  <si>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</si>
  <si>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</si>
  <si>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</si>
  <si>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</si>
  <si>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</si>
  <si>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</si>
  <si>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</si>
  <si>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</si>
  <si>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</si>
  <si>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</si>
  <si>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</si>
  <si>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</si>
  <si>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</si>
  <si>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</si>
  <si>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</si>
  <si>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</si>
  <si>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</si>
  <si>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</si>
  <si>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</si>
  <si>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</si>
  <si>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</si>
  <si>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</si>
  <si>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</si>
  <si>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</si>
  <si>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</si>
  <si>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</si>
  <si>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</si>
  <si>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</si>
  <si>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</si>
  <si>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</si>
  <si>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</si>
  <si>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</si>
  <si>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</si>
  <si>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</si>
  <si>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</si>
  <si>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</si>
  <si>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</si>
  <si>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</si>
  <si>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</si>
  <si>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</si>
  <si>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</si>
  <si>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</si>
  <si>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</si>
  <si>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</si>
  <si>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</si>
  <si>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</si>
  <si>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</si>
  <si>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</si>
  <si>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</si>
  <si>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</si>
  <si>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</si>
  <si>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</si>
  <si>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</si>
  <si>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</si>
  <si>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</si>
  <si>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</si>
  <si>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</si>
  <si>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</si>
  <si>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</si>
  <si>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</si>
  <si>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</si>
  <si>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</si>
  <si>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</si>
  <si>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</si>
  <si>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</si>
  <si>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</si>
  <si>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</si>
  <si>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</si>
  <si>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</si>
  <si>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</si>
  <si>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</si>
  <si>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</si>
  <si>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</si>
  <si>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</si>
  <si>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</si>
  <si>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</si>
  <si>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</si>
  <si>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</si>
  <si>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</si>
  <si>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</si>
  <si>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</si>
  <si>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</si>
  <si>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</si>
  <si>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</si>
  <si>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</si>
  <si>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</si>
  <si>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</si>
  <si>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</si>
  <si>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</si>
  <si>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</si>
  <si>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</si>
  <si>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</si>
  <si>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</si>
  <si>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</si>
  <si>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</si>
  <si>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</si>
  <si>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</si>
  <si>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</si>
  <si>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</si>
  <si>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</si>
  <si>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</si>
  <si>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</si>
  <si>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</si>
  <si>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</si>
  <si>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</si>
  <si>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</si>
  <si>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</si>
  <si>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</si>
  <si>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</si>
  <si>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</si>
  <si>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</si>
  <si>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</si>
  <si>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</si>
  <si>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</si>
  <si>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</si>
  <si>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</si>
  <si>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</si>
  <si>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</si>
  <si>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</si>
  <si>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</si>
  <si>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</si>
  <si>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</si>
  <si>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</si>
  <si>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</si>
  <si>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</si>
  <si>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</si>
  <si>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</si>
  <si>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</si>
  <si>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</si>
  <si>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</si>
  <si>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</si>
  <si>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</si>
  <si>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</si>
  <si>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</si>
  <si>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</si>
  <si>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</si>
  <si>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</si>
  <si>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</si>
  <si>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</si>
  <si>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</si>
  <si>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</si>
  <si>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</si>
  <si>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</si>
  <si>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</si>
  <si>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</si>
  <si>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</si>
  <si>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</si>
  <si>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</si>
  <si>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</si>
  <si>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</si>
  <si>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</si>
  <si>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</si>
  <si>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</si>
  <si>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</si>
  <si>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</si>
  <si>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</si>
  <si>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</si>
  <si>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</si>
  <si>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</si>
  <si>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</si>
  <si>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</si>
  <si>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</si>
  <si>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</si>
  <si>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</si>
  <si>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</si>
  <si>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</si>
  <si>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</si>
  <si>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</si>
  <si>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</si>
  <si>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</si>
  <si>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</si>
  <si>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</si>
  <si>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</si>
  <si>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</si>
  <si>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</si>
  <si>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</si>
  <si>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</si>
  <si>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</si>
  <si>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</si>
  <si>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</si>
  <si>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</si>
  <si>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</si>
  <si>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</si>
  <si>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</si>
  <si>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</si>
  <si>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</si>
  <si>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</si>
  <si>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</si>
  <si>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</si>
  <si>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</si>
  <si>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</si>
  <si>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</si>
  <si>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</si>
  <si>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</si>
  <si>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</si>
  <si>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</si>
  <si>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</si>
  <si>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</si>
  <si>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</si>
  <si>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</si>
  <si>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</si>
  <si>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</si>
  <si>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</si>
  <si>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</si>
  <si>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</si>
  <si>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</si>
  <si>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</si>
  <si>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</si>
  <si>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</si>
  <si>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</si>
  <si>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</si>
  <si>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</si>
  <si>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</si>
  <si>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</si>
  <si>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</si>
  <si>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</si>
  <si>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</si>
  <si>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</si>
  <si>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</si>
  <si>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</si>
  <si>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</si>
  <si>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</si>
  <si>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</si>
  <si>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</si>
  <si>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</si>
  <si>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</si>
  <si>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</si>
  <si>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</si>
  <si>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</si>
  <si>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</si>
  <si>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</si>
  <si>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</si>
  <si>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</si>
  <si>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</si>
  <si>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</si>
  <si>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</si>
  <si>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</si>
  <si>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</si>
  <si>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</si>
  <si>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</si>
  <si>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</si>
  <si>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</si>
  <si>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</si>
  <si>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</si>
  <si>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</si>
  <si>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</si>
  <si>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</si>
  <si>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</si>
  <si>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</si>
  <si>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</si>
  <si>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</si>
  <si>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</si>
  <si>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</si>
  <si>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</si>
  <si>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</si>
  <si>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</si>
  <si>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</si>
  <si>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</si>
  <si>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</si>
  <si>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</si>
  <si>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</si>
  <si>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</si>
  <si>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</si>
  <si>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</si>
  <si>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</si>
  <si>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</si>
  <si>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</si>
  <si>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</si>
  <si>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</si>
  <si>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</si>
  <si>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</si>
  <si>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</si>
  <si>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</si>
  <si>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</si>
  <si>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</si>
  <si>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</si>
  <si>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</si>
  <si>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</si>
  <si>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</si>
  <si>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</si>
  <si>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</si>
  <si>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</si>
  <si>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</si>
  <si>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</si>
  <si>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</si>
  <si>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</si>
  <si>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</si>
  <si>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</si>
  <si>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</si>
  <si>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</si>
  <si>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</si>
  <si>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</si>
  <si>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</si>
  <si>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</si>
  <si>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</si>
  <si>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</si>
  <si>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</si>
  <si>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</si>
  <si>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</si>
  <si>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</si>
  <si>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</si>
  <si>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</si>
  <si>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</si>
  <si>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</si>
  <si>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</si>
  <si>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</si>
  <si>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</si>
  <si>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</si>
  <si>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</si>
  <si>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</si>
  <si>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</si>
  <si>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</si>
  <si>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</si>
  <si>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</si>
  <si>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</si>
  <si>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</si>
  <si>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</si>
  <si>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</si>
  <si>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</si>
  <si>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</si>
  <si>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</si>
  <si>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</si>
  <si>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</si>
  <si>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</si>
  <si>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</si>
  <si>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</si>
  <si>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</si>
  <si>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</si>
  <si>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</si>
  <si>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</si>
  <si>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</si>
  <si>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</si>
  <si>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</si>
  <si>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</si>
  <si>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</si>
  <si>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</si>
  <si>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</si>
  <si>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</si>
  <si>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</si>
  <si>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</si>
  <si>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</si>
  <si>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</si>
  <si>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</si>
  <si>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</si>
  <si>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</si>
  <si>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</si>
  <si>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</si>
  <si>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</si>
  <si>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</si>
  <si>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</si>
  <si>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</si>
  <si>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</si>
  <si>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</si>
  <si>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</si>
  <si>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</si>
  <si>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</si>
  <si>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</si>
  <si>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</si>
  <si>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</si>
  <si>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</si>
  <si>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</si>
  <si>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</si>
  <si>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</si>
  <si>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</si>
  <si>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</si>
  <si>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</si>
  <si>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</si>
  <si>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</si>
  <si>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</si>
  <si>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</si>
  <si>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</si>
  <si>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</si>
  <si>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</si>
  <si>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</si>
  <si>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</si>
  <si>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</si>
  <si>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</si>
  <si>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</si>
  <si>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</si>
  <si>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</si>
  <si>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</si>
  <si>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</si>
  <si>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</si>
  <si>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</si>
  <si>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</si>
  <si>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</si>
  <si>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</si>
  <si>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</si>
  <si>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</si>
  <si>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</si>
  <si>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</si>
  <si>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</si>
  <si>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</si>
  <si>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</si>
  <si>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</si>
  <si>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</si>
  <si>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</si>
  <si>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</si>
  <si>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</si>
  <si>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</si>
  <si>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</si>
  <si>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</si>
  <si>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</si>
  <si>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</si>
  <si>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</si>
  <si>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</si>
  <si>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</si>
  <si>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</si>
  <si>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</si>
  <si>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</si>
  <si>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</si>
  <si>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</si>
  <si>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</si>
  <si>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</si>
  <si>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</si>
  <si>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</si>
  <si>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</si>
  <si>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</si>
  <si>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</si>
  <si>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</si>
  <si>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</si>
  <si>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</si>
  <si>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</si>
  <si>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</si>
  <si>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</si>
  <si>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</si>
  <si>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</si>
  <si>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</si>
  <si>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</si>
  <si>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</si>
  <si>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</si>
  <si>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</si>
  <si>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</si>
  <si>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</si>
  <si>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</si>
  <si>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</si>
  <si>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</si>
  <si>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</si>
  <si>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</si>
  <si>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</si>
  <si>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</si>
  <si>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</si>
  <si>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</si>
  <si>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</si>
  <si>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</si>
  <si>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</si>
  <si>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</si>
  <si>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</si>
  <si>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</si>
  <si>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</si>
  <si>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</si>
  <si>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</si>
  <si>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</si>
  <si>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</si>
  <si>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</si>
  <si>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</si>
  <si>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</si>
  <si>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</si>
  <si>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</si>
  <si>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</si>
  <si>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</si>
  <si>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</si>
  <si>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</si>
  <si>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</si>
  <si>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</si>
  <si>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</si>
  <si>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</si>
  <si>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</si>
  <si>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</si>
  <si>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</si>
  <si>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</si>
  <si>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</si>
  <si>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</si>
  <si>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</si>
  <si>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</si>
  <si>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</si>
  <si>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</si>
  <si>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</si>
  <si>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</si>
  <si>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</si>
  <si>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</si>
  <si>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</si>
  <si>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</si>
  <si>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</si>
  <si>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</si>
  <si>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</si>
  <si>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</si>
  <si>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</si>
  <si>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</si>
  <si>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</si>
  <si>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</si>
  <si>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</si>
  <si>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</si>
  <si>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</si>
  <si>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</si>
  <si>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</si>
  <si>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</si>
  <si>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</si>
  <si>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</si>
  <si>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</si>
  <si>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</si>
  <si>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</si>
  <si>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</si>
  <si>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</si>
  <si>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</si>
  <si>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</si>
  <si>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</si>
  <si>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</si>
  <si>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</si>
  <si>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</si>
  <si>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</si>
  <si>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</si>
  <si>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</si>
  <si>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</si>
  <si>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</si>
  <si>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</si>
  <si>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</si>
  <si>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</si>
  <si>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</si>
  <si>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</si>
  <si>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</si>
  <si>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</si>
  <si>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</si>
  <si>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</si>
  <si>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</si>
  <si>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</si>
  <si>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</si>
  <si>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</si>
  <si>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</si>
  <si>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</si>
  <si>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</si>
  <si>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</si>
  <si>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</si>
  <si>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</si>
  <si>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</si>
  <si>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</si>
  <si>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</si>
  <si>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</si>
  <si>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</si>
  <si>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</si>
  <si>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</si>
  <si>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</si>
  <si>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</si>
  <si>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</si>
  <si>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</si>
  <si>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</si>
  <si>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</si>
  <si>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</si>
  <si>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</si>
  <si>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</si>
  <si>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</si>
  <si>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</si>
  <si>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</si>
  <si>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</si>
  <si>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</si>
  <si>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</si>
  <si>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</si>
  <si>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</si>
  <si>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</si>
  <si>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</si>
  <si>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</si>
  <si>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</si>
  <si>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</si>
  <si>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</si>
  <si>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</si>
  <si>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</si>
  <si>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</si>
  <si>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</si>
  <si>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</si>
  <si>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</si>
  <si>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</si>
  <si>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</si>
  <si>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</si>
  <si>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</si>
  <si>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</si>
  <si>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</si>
  <si>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</si>
  <si>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</si>
  <si>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</si>
  <si>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</si>
  <si>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</si>
  <si>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</si>
  <si>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</si>
  <si>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</si>
  <si>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</si>
  <si>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</si>
  <si>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</si>
  <si>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</si>
  <si>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</si>
  <si>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</si>
  <si>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</si>
  <si>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</si>
  <si>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</si>
  <si>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</si>
  <si>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</si>
  <si>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</si>
  <si>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</si>
  <si>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</si>
  <si>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</si>
  <si>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</si>
  <si>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</si>
  <si>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</si>
  <si>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</si>
  <si>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</si>
  <si>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</si>
  <si>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</si>
  <si>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</si>
  <si>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</si>
  <si>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</si>
  <si>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</si>
  <si>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</si>
  <si>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</si>
  <si>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</si>
  <si>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</si>
  <si>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</si>
  <si>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</si>
  <si>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</si>
  <si>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</si>
  <si>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</si>
  <si>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</si>
  <si>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</si>
  <si>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</si>
  <si>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</si>
  <si>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</si>
  <si>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</si>
  <si>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</si>
  <si>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</si>
  <si>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</si>
  <si>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</si>
  <si>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</si>
  <si>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</si>
  <si>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</si>
  <si>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</si>
  <si>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</si>
  <si>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</si>
  <si>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</si>
  <si>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</si>
  <si>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</si>
  <si>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</si>
  <si>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</si>
  <si>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</si>
  <si>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</si>
  <si>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</si>
  <si>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</si>
  <si>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</si>
  <si>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</si>
  <si>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</si>
  <si>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</si>
  <si>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</si>
  <si>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</si>
  <si>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</si>
  <si>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</si>
  <si>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</si>
  <si>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</si>
  <si>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</si>
  <si>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</si>
  <si>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</si>
  <si>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</si>
  <si>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</si>
  <si>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</si>
  <si>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</si>
  <si>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</si>
  <si>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</si>
  <si>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</si>
  <si>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</si>
  <si>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</si>
  <si>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</si>
  <si>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</si>
  <si>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</si>
  <si>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</si>
  <si>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</si>
  <si>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</si>
  <si>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</si>
  <si>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</si>
  <si>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</si>
  <si>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</si>
  <si>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</si>
  <si>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</si>
  <si>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</si>
  <si>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</si>
  <si>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</si>
  <si>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</si>
  <si>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</si>
  <si>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</si>
  <si>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</si>
  <si>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</si>
  <si>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</si>
  <si>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</si>
  <si>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</si>
  <si>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</si>
  <si>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</si>
  <si>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</si>
  <si>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</si>
  <si>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</si>
  <si>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</si>
  <si>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</si>
  <si>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</si>
  <si>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</si>
  <si>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</si>
  <si>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</si>
  <si>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</si>
  <si>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</si>
  <si>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</si>
  <si>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</si>
  <si>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</si>
  <si>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</si>
  <si>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</si>
  <si>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</si>
  <si>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</si>
  <si>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</si>
  <si>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</si>
  <si>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</si>
  <si>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</si>
  <si>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</si>
  <si>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</si>
  <si>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</si>
  <si>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</si>
  <si>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</si>
  <si>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</si>
  <si>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</si>
  <si>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</si>
  <si>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</si>
  <si>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</si>
  <si>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</si>
  <si>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</si>
  <si>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</si>
  <si>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</si>
  <si>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</si>
  <si>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</si>
  <si>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</si>
  <si>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</si>
  <si>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</si>
  <si>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</si>
  <si>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</si>
  <si>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</si>
  <si>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</si>
  <si>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</si>
  <si>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</si>
  <si>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</si>
  <si>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</si>
  <si>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</si>
  <si>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</si>
  <si>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</si>
  <si>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</si>
  <si>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</si>
  <si>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</si>
  <si>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</si>
  <si>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</si>
  <si>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</si>
  <si>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</si>
  <si>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</si>
  <si>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</si>
  <si>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</si>
  <si>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</si>
  <si>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</si>
  <si>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</si>
  <si>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</si>
  <si>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</si>
  <si>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</si>
  <si>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</si>
  <si>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</si>
  <si>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</si>
  <si>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</si>
  <si>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</si>
  <si>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</si>
  <si>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</si>
  <si>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</si>
  <si>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</si>
  <si>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</si>
  <si>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</si>
  <si>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</si>
  <si>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</si>
  <si>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</si>
  <si>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</si>
  <si>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</si>
  <si>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</si>
  <si>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</si>
  <si>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</si>
  <si>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</si>
  <si>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</si>
  <si>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</si>
  <si>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</si>
  <si>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</si>
  <si>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</si>
  <si>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</si>
  <si>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</si>
  <si>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</si>
  <si>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</si>
  <si>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</si>
  <si>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</si>
  <si>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</si>
  <si>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</si>
  <si>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</si>
  <si>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</si>
  <si>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</si>
  <si>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</si>
  <si>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</si>
  <si>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</si>
  <si>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</si>
  <si>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</si>
  <si>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</si>
  <si>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</si>
  <si>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</si>
  <si>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</si>
  <si>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</si>
  <si>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</si>
  <si>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</si>
  <si>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</si>
  <si>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</si>
  <si>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</si>
  <si>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</si>
  <si>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</si>
  <si>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</si>
  <si>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</si>
  <si>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</si>
  <si>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</si>
  <si>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</si>
  <si>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</si>
  <si>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</si>
  <si>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</si>
  <si>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</si>
  <si>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</si>
  <si>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</si>
  <si>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</si>
  <si>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</si>
  <si>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</si>
  <si>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</si>
  <si>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</si>
  <si>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</si>
  <si>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</si>
  <si>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</si>
  <si>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</si>
  <si>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</si>
  <si>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</si>
  <si>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</si>
  <si>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</si>
  <si>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</si>
  <si>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</si>
  <si>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</si>
  <si>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</si>
  <si>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</si>
  <si>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</si>
  <si>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</si>
  <si>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</si>
  <si>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</si>
  <si>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</si>
  <si>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</si>
  <si>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</si>
  <si>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</si>
  <si>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</si>
  <si>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</si>
  <si>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</si>
  <si>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</si>
  <si>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</si>
  <si>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</si>
  <si>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</si>
  <si>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</si>
  <si>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</si>
  <si>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</si>
  <si>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</si>
  <si>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</si>
  <si>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</si>
  <si>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</si>
  <si>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</si>
  <si>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</si>
  <si>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</si>
  <si>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</si>
  <si>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</si>
  <si>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</si>
  <si>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</si>
  <si>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</si>
  <si>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</si>
  <si>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</si>
  <si>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</si>
  <si>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</si>
  <si>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</si>
  <si>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</si>
  <si>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</si>
  <si>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</si>
  <si>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</si>
  <si>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</si>
  <si>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</si>
  <si>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</si>
  <si>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</si>
  <si>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</si>
  <si>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</si>
  <si>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</si>
  <si>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</si>
  <si>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</si>
  <si>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</si>
  <si>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</si>
  <si>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</si>
  <si>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</si>
  <si>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</si>
  <si>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</si>
  <si>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</si>
  <si>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</si>
  <si>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</si>
  <si>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</si>
  <si>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</si>
  <si>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</si>
  <si>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</si>
  <si>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</si>
  <si>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</si>
  <si>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</si>
  <si>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</si>
  <si>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</si>
  <si>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</si>
  <si>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</si>
  <si>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</si>
  <si>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</si>
  <si>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</si>
  <si>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</si>
  <si>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</si>
  <si>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</si>
  <si>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</si>
  <si>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</si>
  <si>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</si>
  <si>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</si>
  <si>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</si>
  <si>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</si>
  <si>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</si>
  <si>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</si>
  <si>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</si>
  <si>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</si>
  <si>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</si>
  <si>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</si>
  <si>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</si>
  <si>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</si>
  <si>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</si>
  <si>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</si>
  <si>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</si>
  <si>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</si>
  <si>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</si>
  <si>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</si>
  <si>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</si>
  <si>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</si>
  <si>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</si>
  <si>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</si>
  <si>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</si>
  <si>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</si>
  <si>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</si>
  <si>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</si>
  <si>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</si>
  <si>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</si>
  <si>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</si>
  <si>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</si>
  <si>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</si>
  <si>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</si>
  <si>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</si>
  <si>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</si>
  <si>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</si>
  <si>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</si>
  <si>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</si>
  <si>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</si>
  <si>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</si>
  <si>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</si>
  <si>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</si>
  <si>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</si>
  <si>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</si>
  <si>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</si>
  <si>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</si>
  <si>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</si>
  <si>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</si>
  <si>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</si>
  <si>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</si>
  <si>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</si>
  <si>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</si>
  <si>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</si>
  <si>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</si>
  <si>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</si>
  <si>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</si>
  <si>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</si>
  <si>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</si>
  <si>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</si>
  <si>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</si>
  <si>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</si>
  <si>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</si>
  <si>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</si>
  <si>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</si>
  <si>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</si>
  <si>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</si>
  <si>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</si>
  <si>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</si>
  <si>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</si>
  <si>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</si>
  <si>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</si>
  <si>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</si>
  <si>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</si>
  <si>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</si>
  <si>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</si>
  <si>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</si>
  <si>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</si>
  <si>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</si>
  <si>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</si>
  <si>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</si>
  <si>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</si>
  <si>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</si>
  <si>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</si>
  <si>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</si>
  <si>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</si>
  <si>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</si>
  <si>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</si>
  <si>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</si>
  <si>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</si>
  <si>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</si>
  <si>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</si>
  <si>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</si>
  <si>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</si>
  <si>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</si>
  <si>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</si>
  <si>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</si>
  <si>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</si>
  <si>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</si>
  <si>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</si>
  <si>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</si>
  <si>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</si>
  <si>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</si>
  <si>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</si>
  <si>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</si>
  <si>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</si>
  <si>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</si>
  <si>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</si>
  <si>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</si>
  <si>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</si>
  <si>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</si>
  <si>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</si>
  <si>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</si>
  <si>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</si>
  <si>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</si>
  <si>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</si>
  <si>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</si>
  <si>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</si>
  <si>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</si>
  <si>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</si>
  <si>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</si>
  <si>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</si>
  <si>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</si>
  <si>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</si>
  <si>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</si>
  <si>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</si>
  <si>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</si>
  <si>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</si>
  <si>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</si>
  <si>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</si>
  <si>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</si>
  <si>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</si>
  <si>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</si>
  <si>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</si>
  <si>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</si>
  <si>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</si>
  <si>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</si>
  <si>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</si>
  <si>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</si>
  <si>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</si>
  <si>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</si>
  <si>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</si>
  <si>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</si>
  <si>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</si>
  <si>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</si>
  <si>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</si>
  <si>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</si>
  <si>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</si>
  <si>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</si>
  <si>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</si>
  <si>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</si>
  <si>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</si>
  <si>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</si>
  <si>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</si>
  <si>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</si>
  <si>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</si>
  <si>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</si>
  <si>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</si>
  <si>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</si>
  <si>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</si>
  <si>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</si>
  <si>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</si>
  <si>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</si>
  <si>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</si>
  <si>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</si>
  <si>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</si>
  <si>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</si>
  <si>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</si>
  <si>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</si>
  <si>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</si>
  <si>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</si>
  <si>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</si>
  <si>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</si>
  <si>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</si>
  <si>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</si>
  <si>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</si>
  <si>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</si>
  <si>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</si>
  <si>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</si>
  <si>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</si>
  <si>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</si>
  <si>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</si>
  <si>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</si>
  <si>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</si>
  <si>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</si>
  <si>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</si>
  <si>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</si>
  <si>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</si>
  <si>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</si>
  <si>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</si>
  <si>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</si>
  <si>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</si>
  <si>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</si>
  <si>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</si>
  <si>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</si>
  <si>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</si>
  <si>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</si>
  <si>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</si>
  <si>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</si>
  <si>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</si>
  <si>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</si>
  <si>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</si>
  <si>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</si>
  <si>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</si>
  <si>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</si>
  <si>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</si>
  <si>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</si>
  <si>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</si>
  <si>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</si>
  <si>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</si>
  <si>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</si>
  <si>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</si>
  <si>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</si>
  <si>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</si>
  <si>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</si>
  <si>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</si>
  <si>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</si>
  <si>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</si>
  <si>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</si>
  <si>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</si>
  <si>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</si>
  <si>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</si>
  <si>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</si>
  <si>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</si>
  <si>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</si>
  <si>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</si>
  <si>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</si>
  <si>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</si>
  <si>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</si>
  <si>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</si>
  <si>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</si>
  <si>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</si>
  <si>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</si>
  <si>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</si>
  <si>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</si>
  <si>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</si>
  <si>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</si>
  <si>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</si>
  <si>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</si>
  <si>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</si>
  <si>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</si>
  <si>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</si>
  <si>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</si>
  <si>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</si>
  <si>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</si>
  <si>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</si>
  <si>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</si>
  <si>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</si>
  <si>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</si>
  <si>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</si>
  <si>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</si>
  <si>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</si>
  <si>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</si>
  <si>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</si>
  <si>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</si>
  <si>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</si>
  <si>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</si>
  <si>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</si>
  <si>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</si>
  <si>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</si>
  <si>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</si>
  <si>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</si>
  <si>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</si>
  <si>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</si>
  <si>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</si>
  <si>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</si>
  <si>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</si>
  <si>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</si>
  <si>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</si>
  <si>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</si>
  <si>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</si>
  <si>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</si>
  <si>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</si>
  <si>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</si>
  <si>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</si>
  <si>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</si>
  <si>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</si>
  <si>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</si>
  <si>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</si>
  <si>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</si>
  <si>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</si>
  <si>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</si>
  <si>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</si>
  <si>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</si>
  <si>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</si>
  <si>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</si>
  <si>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</si>
  <si>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</si>
  <si>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</si>
  <si>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</si>
  <si>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</si>
  <si>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</si>
  <si>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</si>
  <si>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</si>
  <si>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</si>
  <si>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</si>
  <si>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</si>
  <si>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</si>
  <si>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</si>
  <si>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</si>
  <si>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</si>
  <si>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</si>
  <si>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</si>
  <si>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</si>
  <si>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</si>
  <si>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</si>
  <si>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</si>
  <si>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</si>
  <si>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</si>
  <si>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</si>
  <si>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</si>
  <si>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</si>
  <si>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</si>
  <si>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</si>
  <si>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</si>
  <si>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</si>
  <si>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</si>
  <si>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</si>
  <si>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</si>
  <si>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</si>
  <si>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</si>
  <si>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</si>
  <si>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</si>
  <si>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</si>
  <si>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</si>
  <si>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</si>
  <si>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</si>
  <si>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</si>
  <si>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</si>
  <si>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</si>
  <si>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</si>
  <si>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</si>
  <si>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</si>
  <si>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</si>
  <si>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</si>
  <si>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</si>
  <si>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</si>
  <si>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</si>
  <si>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</si>
  <si>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</si>
  <si>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</si>
  <si>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</si>
  <si>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</si>
  <si>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</si>
  <si>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</si>
  <si>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</si>
  <si>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</si>
  <si>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</si>
  <si>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</si>
  <si>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</si>
  <si>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</si>
  <si>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</si>
  <si>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</si>
  <si>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</si>
  <si>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</si>
  <si>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</si>
  <si>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</si>
  <si>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</si>
  <si>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</si>
  <si>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</si>
  <si>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</si>
  <si>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</si>
  <si>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</si>
  <si>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</si>
  <si>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</si>
  <si>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</si>
  <si>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</si>
  <si>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</si>
  <si>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</si>
  <si>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</si>
  <si>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</si>
  <si>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</si>
  <si>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</si>
  <si>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</si>
  <si>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</si>
  <si>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</si>
  <si>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</si>
  <si>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</si>
  <si>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</si>
  <si>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</si>
  <si>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</si>
  <si>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</si>
  <si>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</si>
  <si>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</si>
  <si>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</si>
  <si>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</si>
  <si>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</si>
  <si>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</si>
  <si>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</si>
  <si>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</si>
  <si>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</si>
  <si>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</si>
  <si>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</si>
  <si>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</si>
  <si>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</si>
  <si>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</si>
  <si>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</si>
  <si>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</si>
  <si>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</si>
  <si>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</si>
  <si>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</si>
  <si>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</si>
  <si>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</si>
  <si>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</si>
  <si>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</si>
  <si>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</si>
  <si>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</si>
  <si>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</si>
  <si>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</si>
  <si>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</si>
  <si>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</si>
  <si>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</si>
  <si>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</si>
  <si>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</si>
  <si>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</si>
  <si>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</si>
  <si>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</si>
  <si>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</si>
  <si>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</si>
  <si>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</si>
  <si>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</si>
  <si>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</si>
  <si>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</si>
  <si>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</si>
  <si>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</si>
  <si>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</si>
  <si>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</si>
  <si>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</si>
  <si>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</si>
  <si>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</si>
  <si>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</si>
  <si>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</si>
  <si>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</si>
  <si>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</si>
  <si>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</si>
  <si>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</si>
  <si>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</si>
  <si>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</si>
  <si>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</si>
  <si>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</si>
  <si>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</si>
  <si>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</si>
  <si>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</si>
  <si>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</si>
  <si>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</si>
  <si>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</si>
  <si>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</si>
  <si>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</si>
  <si>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</si>
  <si>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</si>
  <si>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</si>
  <si>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</si>
  <si>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</si>
  <si>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</si>
  <si>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</si>
  <si>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</si>
  <si>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</si>
  <si>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</si>
  <si>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</si>
  <si>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</si>
  <si>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</si>
  <si>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</si>
  <si>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</si>
  <si>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</si>
  <si>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</si>
  <si>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</si>
  <si>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</si>
  <si>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</si>
  <si>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</si>
  <si>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</si>
  <si>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</si>
  <si>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</si>
  <si>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</si>
  <si>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</si>
  <si>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</si>
  <si>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</si>
  <si>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</si>
  <si>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</si>
  <si>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</si>
  <si>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</si>
  <si>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</si>
  <si>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</si>
  <si>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</si>
  <si>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</si>
  <si>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</si>
  <si>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</si>
  <si>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</si>
  <si>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</si>
  <si>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</si>
  <si>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</si>
  <si>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</si>
  <si>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</si>
  <si>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</si>
  <si>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</si>
  <si>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</si>
  <si>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</si>
  <si>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</si>
  <si>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</si>
  <si>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</si>
  <si>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</si>
  <si>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</si>
  <si>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</si>
  <si>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</si>
  <si>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</si>
  <si>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</si>
  <si>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</si>
  <si>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</si>
  <si>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</si>
  <si>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</si>
  <si>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</si>
  <si>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</si>
  <si>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</si>
  <si>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</si>
  <si>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</si>
  <si>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</si>
  <si>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</si>
  <si>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</si>
  <si>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</si>
  <si>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</si>
  <si>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</si>
  <si>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</si>
  <si>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</si>
  <si>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</si>
  <si>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</si>
  <si>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</si>
  <si>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</si>
  <si>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</si>
  <si>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</si>
  <si>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</si>
  <si>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</si>
  <si>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</si>
  <si>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</si>
  <si>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</si>
  <si>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</si>
  <si>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</si>
  <si>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</si>
  <si>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</si>
  <si>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</si>
  <si>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</si>
  <si>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</si>
  <si>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</si>
  <si>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</si>
  <si>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</si>
  <si>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</si>
  <si>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</si>
  <si>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</si>
  <si>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</si>
  <si>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</si>
  <si>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</si>
  <si>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</si>
  <si>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</si>
  <si>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</si>
  <si>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</si>
  <si>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</si>
  <si>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</si>
  <si>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</si>
  <si>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</si>
  <si>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</si>
  <si>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</si>
  <si>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</si>
  <si>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</si>
  <si>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</si>
  <si>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</si>
  <si>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</si>
  <si>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</si>
  <si>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</si>
  <si>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</si>
  <si>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</si>
  <si>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</si>
  <si>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</si>
  <si>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</si>
  <si>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</si>
  <si>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</si>
  <si>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</si>
  <si>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</si>
  <si>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</si>
  <si>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</si>
  <si>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</si>
  <si>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</si>
  <si>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</si>
  <si>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</si>
  <si>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</si>
  <si>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</si>
  <si>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</si>
  <si>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</si>
  <si>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</si>
  <si>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</si>
  <si>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</si>
  <si>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</si>
  <si>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</si>
  <si>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</si>
  <si>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</si>
  <si>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</si>
  <si>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</si>
  <si>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</si>
  <si>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</si>
  <si>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</si>
  <si>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</si>
  <si>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</si>
  <si>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</si>
  <si>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</si>
  <si>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</si>
  <si>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</si>
  <si>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</si>
  <si>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</si>
  <si>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</si>
  <si>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</si>
  <si>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</si>
  <si>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</si>
  <si>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</si>
  <si>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</si>
  <si>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</si>
  <si>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</si>
  <si>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</si>
  <si>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</si>
  <si>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</si>
  <si>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</si>
  <si>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</si>
  <si>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</si>
  <si>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</si>
  <si>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</si>
  <si>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</si>
  <si>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</si>
  <si>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</si>
  <si>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</si>
  <si>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</si>
  <si>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</si>
  <si>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</si>
  <si>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</si>
  <si>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</si>
  <si>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</si>
  <si>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</si>
  <si>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</si>
  <si>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</si>
  <si>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</si>
  <si>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</si>
  <si>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</si>
  <si>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</si>
  <si>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</si>
  <si>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</si>
  <si>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</si>
  <si>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</si>
  <si>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</si>
  <si>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</si>
  <si>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</si>
  <si>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</si>
  <si>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</si>
  <si>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</si>
  <si>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</si>
  <si>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</si>
  <si>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</si>
  <si>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</si>
  <si>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</si>
  <si>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</si>
  <si>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</si>
  <si>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</si>
  <si>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</si>
  <si>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</si>
  <si>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</si>
  <si>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</si>
  <si>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</si>
  <si>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</si>
  <si>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</si>
  <si>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</si>
  <si>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</si>
  <si>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</si>
  <si>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</si>
  <si>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</si>
  <si>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</si>
  <si>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</si>
  <si>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</si>
  <si>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</si>
  <si>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</si>
  <si>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</si>
  <si>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</si>
  <si>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</si>
  <si>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</si>
  <si>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</si>
  <si>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</si>
  <si>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</si>
  <si>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</si>
  <si>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</si>
  <si>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</si>
  <si>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</si>
  <si>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</si>
  <si>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</si>
  <si>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</si>
  <si>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</si>
  <si>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</si>
  <si>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</si>
  <si>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</si>
  <si>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</si>
  <si>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</si>
  <si>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</si>
  <si>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</si>
  <si>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</si>
  <si>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</si>
  <si>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</si>
  <si>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</si>
  <si>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</si>
  <si>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</si>
  <si>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</si>
  <si>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</si>
  <si>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</si>
  <si>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</si>
  <si>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</si>
  <si>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</si>
  <si>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</si>
  <si>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</si>
  <si>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</si>
  <si>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</si>
  <si>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</si>
  <si>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</si>
  <si>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</si>
  <si>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</si>
  <si>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</si>
  <si>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</si>
  <si>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</si>
  <si>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</si>
  <si>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</si>
  <si>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</si>
  <si>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</si>
  <si>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</si>
  <si>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</si>
  <si>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</si>
  <si>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</si>
  <si>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</si>
  <si>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</si>
  <si>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</si>
  <si>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</si>
  <si>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</si>
  <si>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</si>
  <si>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</si>
  <si>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</si>
  <si>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</si>
  <si>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</si>
  <si>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</si>
  <si>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</si>
  <si>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</si>
  <si>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</si>
  <si>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</si>
  <si>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</si>
  <si>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</si>
  <si>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</si>
  <si>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</si>
  <si>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</si>
  <si>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</si>
  <si>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</si>
  <si>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</si>
  <si>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</si>
  <si>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</si>
  <si>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</si>
  <si>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</si>
  <si>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</si>
  <si>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</si>
  <si>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</si>
  <si>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</si>
  <si>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</si>
  <si>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</si>
  <si>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</si>
  <si>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</si>
  <si>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</si>
  <si>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</si>
  <si>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</si>
  <si>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</si>
  <si>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</si>
  <si>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</si>
  <si>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</si>
  <si>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</si>
  <si>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</si>
  <si>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</si>
  <si>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</si>
  <si>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</si>
  <si>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</si>
  <si>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</si>
  <si>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</si>
  <si>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</si>
  <si>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</si>
  <si>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</si>
  <si>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</si>
  <si>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</si>
  <si>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</si>
  <si>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</si>
  <si>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</si>
  <si>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</si>
  <si>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</si>
  <si>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</si>
  <si>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</si>
  <si>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</si>
  <si>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</si>
  <si>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</si>
  <si>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</si>
  <si>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</si>
  <si>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</si>
  <si>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</si>
  <si>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</si>
  <si>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</si>
  <si>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</si>
  <si>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</si>
  <si>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</si>
  <si>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</si>
  <si>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</si>
  <si>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</si>
  <si>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</si>
  <si>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</si>
  <si>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</si>
  <si>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</si>
  <si>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</si>
  <si>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</si>
  <si>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</si>
  <si>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</si>
  <si>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</si>
  <si>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</si>
  <si>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</si>
  <si>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</si>
  <si>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</si>
  <si>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</si>
  <si>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</si>
  <si>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</si>
  <si>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</si>
  <si>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</si>
  <si>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</si>
  <si>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</si>
  <si>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</si>
  <si>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</si>
  <si>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</si>
  <si>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</si>
  <si>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</si>
  <si>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</si>
  <si>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</si>
  <si>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</si>
  <si>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</si>
  <si>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</si>
  <si>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</si>
  <si>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</si>
  <si>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</si>
  <si>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</si>
  <si>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</si>
  <si>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</si>
  <si>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</si>
  <si>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</si>
  <si>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</si>
  <si>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</si>
  <si>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</si>
  <si>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</si>
  <si>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</si>
  <si>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</si>
  <si>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</si>
  <si>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</si>
  <si>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</si>
  <si>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</si>
  <si>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</si>
  <si>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</si>
  <si>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</si>
  <si>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</si>
  <si>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</si>
  <si>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</si>
  <si>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</si>
  <si>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</si>
  <si>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</si>
  <si>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</si>
  <si>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</si>
  <si>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</si>
  <si>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</si>
  <si>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</si>
  <si>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</si>
  <si>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</si>
  <si>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</si>
  <si>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</si>
  <si>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</si>
  <si>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</si>
  <si>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</si>
  <si>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</si>
  <si>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</si>
  <si>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</si>
  <si>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</si>
  <si>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</si>
  <si>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</si>
  <si>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</si>
  <si>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</si>
  <si>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</si>
  <si>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</si>
  <si>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</si>
  <si>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</si>
  <si>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</si>
  <si>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</si>
  <si>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</si>
  <si>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</si>
  <si>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</si>
  <si>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</si>
  <si>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</si>
  <si>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</si>
  <si>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</si>
  <si>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</si>
  <si>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</si>
  <si>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</si>
  <si>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</si>
  <si>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</si>
  <si>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</si>
  <si>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</si>
  <si>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</si>
  <si>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</si>
  <si>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</si>
  <si>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</si>
  <si>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</si>
  <si>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</si>
  <si>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</si>
  <si>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</si>
  <si>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</si>
  <si>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</si>
  <si>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</si>
  <si>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</si>
  <si>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</si>
  <si>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</si>
  <si>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</si>
  <si>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</si>
  <si>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</si>
  <si>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</si>
  <si>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</si>
  <si>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</si>
  <si>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</si>
  <si>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</si>
  <si>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</si>
  <si>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</si>
  <si>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</si>
  <si>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</si>
  <si>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</si>
  <si>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</si>
  <si>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</si>
  <si>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</si>
  <si>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</si>
  <si>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</si>
  <si>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</si>
  <si>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</si>
  <si>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</si>
  <si>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</si>
  <si>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</si>
  <si>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</si>
  <si>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</si>
  <si>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</si>
  <si>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</si>
  <si>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</si>
  <si>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</si>
  <si>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</si>
  <si>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</si>
  <si>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</si>
  <si>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</si>
  <si>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</si>
  <si>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</si>
  <si>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</si>
  <si>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</si>
  <si>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</si>
  <si>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</si>
  <si>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</si>
  <si>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</si>
  <si>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</si>
  <si>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</si>
  <si>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</si>
  <si>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</si>
  <si>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</si>
  <si>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</si>
  <si>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</si>
  <si>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</si>
  <si>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</si>
  <si>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</si>
  <si>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</si>
  <si>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</si>
  <si>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</si>
  <si>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</si>
  <si>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</si>
  <si>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</si>
  <si>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</si>
  <si>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</si>
  <si>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</si>
  <si>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</si>
  <si>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</si>
  <si>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</si>
  <si>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</si>
  <si>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</si>
  <si>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</si>
  <si>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</si>
  <si>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</si>
  <si>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</si>
  <si>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</si>
  <si>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</si>
  <si>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</si>
  <si>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</si>
  <si>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</si>
  <si>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</si>
  <si>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</si>
  <si>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</si>
  <si>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</si>
  <si>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</si>
  <si>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</si>
  <si>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</si>
  <si>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</si>
  <si>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</si>
  <si>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</si>
  <si>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</si>
  <si>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</si>
  <si>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</si>
  <si>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</si>
  <si>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</si>
  <si>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</si>
  <si>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</si>
  <si>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</si>
  <si>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</si>
  <si>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</si>
  <si>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</si>
  <si>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</si>
  <si>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</si>
  <si>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</si>
  <si>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</si>
  <si>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</si>
  <si>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</si>
  <si>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</si>
  <si>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</si>
  <si>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</si>
  <si>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</si>
  <si>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</si>
  <si>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</si>
  <si>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</si>
  <si>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</si>
  <si>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</si>
  <si>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</si>
  <si>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</si>
  <si>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</si>
  <si>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</si>
  <si>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</si>
  <si>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</si>
  <si>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</si>
  <si>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</si>
  <si>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</si>
  <si>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</si>
  <si>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</si>
  <si>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</si>
  <si>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</si>
  <si>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</si>
  <si>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</si>
  <si>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</si>
  <si>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</si>
  <si>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</si>
  <si>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</si>
  <si>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</si>
  <si>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</si>
  <si>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</si>
  <si>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</si>
  <si>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</si>
  <si>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</si>
  <si>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</si>
  <si>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</si>
  <si>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</si>
  <si>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</si>
  <si>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</si>
  <si>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</si>
  <si>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</si>
  <si>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</si>
  <si>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</si>
  <si>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</si>
  <si>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</si>
  <si>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</si>
  <si>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</si>
  <si>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</si>
  <si>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</si>
  <si>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</si>
  <si>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</si>
  <si>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</si>
  <si>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</si>
  <si>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</si>
  <si>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</si>
  <si>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</si>
  <si>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</si>
  <si>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</si>
  <si>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</si>
  <si>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</si>
  <si>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</si>
  <si>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</si>
  <si>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</si>
  <si>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</si>
  <si>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</si>
  <si>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</si>
  <si>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</si>
  <si>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</si>
  <si>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</si>
  <si>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</si>
  <si>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</si>
  <si>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</si>
  <si>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</si>
  <si>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</si>
  <si>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</si>
  <si>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</si>
  <si>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</si>
  <si>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</si>
  <si>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</si>
  <si>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</si>
  <si>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</si>
  <si>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</si>
  <si>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</si>
  <si>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</si>
  <si>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</si>
  <si>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</si>
  <si>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</si>
  <si>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</si>
  <si>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</si>
  <si>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</si>
  <si>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</si>
  <si>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</si>
  <si>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</si>
  <si>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</si>
  <si>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</si>
  <si>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</si>
  <si>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</si>
  <si>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</si>
  <si>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</si>
  <si>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</si>
  <si>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</si>
  <si>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</si>
  <si>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</si>
  <si>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</si>
  <si>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</si>
  <si>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</si>
  <si>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</si>
  <si>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</si>
  <si>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</si>
  <si>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</si>
  <si>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</si>
  <si>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</si>
  <si>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</si>
  <si>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</si>
  <si>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</si>
  <si>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</si>
  <si>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</si>
  <si>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</si>
  <si>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</si>
  <si>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</si>
  <si>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</si>
  <si>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</si>
  <si>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</si>
  <si>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</si>
  <si>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</si>
  <si>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</si>
  <si>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</si>
  <si>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</si>
  <si>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</si>
  <si>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</si>
  <si>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</si>
  <si>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</si>
  <si>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</si>
  <si>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</si>
  <si>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</si>
  <si>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</si>
  <si>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</si>
  <si>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</si>
  <si>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</si>
  <si>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</si>
  <si>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</si>
  <si>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</si>
  <si>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</si>
  <si>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</si>
  <si>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</si>
  <si>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</si>
  <si>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</si>
  <si>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</si>
  <si>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</si>
  <si>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</si>
  <si>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房产证号</t>
    <phoneticPr fontId="134" type="noConversion"/>
  </si>
  <si>
    <r>
      <t>X京房权证朝字第</t>
    </r>
    <r>
      <rPr>
        <sz val="11"/>
        <color theme="1"/>
        <rFont val="宋体"/>
        <family val="3"/>
        <charset val="134"/>
        <scheme val="minor"/>
      </rPr>
      <t>1325268号</t>
    </r>
    <phoneticPr fontId="134" type="noConversion"/>
  </si>
  <si>
    <t>坐落</t>
    <phoneticPr fontId="134" type="noConversion"/>
  </si>
  <si>
    <r>
      <t>朝阳区东三环北路甲2</t>
    </r>
    <r>
      <rPr>
        <sz val="11"/>
        <color theme="1"/>
        <rFont val="宋体"/>
        <family val="3"/>
        <charset val="134"/>
        <scheme val="minor"/>
      </rPr>
      <t>6号楼-1层07-2</t>
    </r>
    <phoneticPr fontId="134" type="noConversion"/>
  </si>
  <si>
    <r>
      <t>X京房权证朝字第132526</t>
    </r>
    <r>
      <rPr>
        <sz val="11"/>
        <color theme="1"/>
        <rFont val="宋体"/>
        <family val="3"/>
        <charset val="134"/>
        <scheme val="minor"/>
      </rPr>
      <t>9</t>
    </r>
    <r>
      <rPr>
        <sz val="11"/>
        <color theme="1"/>
        <rFont val="宋体"/>
        <family val="3"/>
        <charset val="134"/>
        <scheme val="minor"/>
      </rPr>
      <t>号</t>
    </r>
    <phoneticPr fontId="134" type="noConversion"/>
  </si>
  <si>
    <r>
      <t>X京房权证朝字第1325271</t>
    </r>
    <r>
      <rPr>
        <sz val="11"/>
        <color theme="1"/>
        <rFont val="宋体"/>
        <family val="3"/>
        <charset val="134"/>
        <scheme val="minor"/>
      </rPr>
      <t>号</t>
    </r>
    <phoneticPr fontId="134" type="noConversion"/>
  </si>
  <si>
    <t>朝阳区东三环北路甲26号楼-1层07-3</t>
    <phoneticPr fontId="134" type="noConversion"/>
  </si>
  <si>
    <t>朝阳区东三环北路甲26号楼-1层07-4</t>
    <phoneticPr fontId="134" type="noConversion"/>
  </si>
  <si>
    <r>
      <rPr>
        <sz val="10"/>
        <color indexed="8"/>
        <rFont val="宋体"/>
        <family val="3"/>
        <charset val="134"/>
      </rPr>
      <t>商业</t>
    </r>
    <r>
      <rPr>
        <sz val="10"/>
        <color indexed="8"/>
        <rFont val="Arial"/>
        <family val="2"/>
      </rPr>
      <t>07-2</t>
    </r>
    <phoneticPr fontId="3" type="noConversion"/>
  </si>
  <si>
    <r>
      <rPr>
        <sz val="10"/>
        <color indexed="8"/>
        <rFont val="宋体"/>
        <family val="3"/>
        <charset val="134"/>
      </rPr>
      <t>商业</t>
    </r>
    <r>
      <rPr>
        <sz val="10"/>
        <color indexed="8"/>
        <rFont val="Arial"/>
        <family val="2"/>
      </rPr>
      <t>07-3</t>
    </r>
    <phoneticPr fontId="3" type="noConversion"/>
  </si>
  <si>
    <r>
      <rPr>
        <sz val="10"/>
        <color indexed="8"/>
        <rFont val="宋体"/>
        <family val="3"/>
        <charset val="134"/>
      </rPr>
      <t>商业</t>
    </r>
    <r>
      <rPr>
        <sz val="10"/>
        <color indexed="8"/>
        <rFont val="Arial"/>
        <family val="2"/>
      </rPr>
      <t>07-4</t>
    </r>
    <phoneticPr fontId="3" type="noConversion"/>
  </si>
  <si>
    <t>是</t>
  </si>
  <si>
    <t>否</t>
  </si>
  <si>
    <t>地下</t>
  </si>
  <si>
    <t>商业07-2</t>
  </si>
  <si>
    <t>商业07-2</t>
    <phoneticPr fontId="7" type="noConversion"/>
  </si>
  <si>
    <t>直线</t>
    <phoneticPr fontId="3" type="noConversion"/>
  </si>
  <si>
    <t>观察</t>
    <phoneticPr fontId="3" type="noConversion"/>
  </si>
  <si>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</si>
  <si>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</si>
  <si>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</si>
  <si>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</si>
  <si>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</si>
  <si>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</si>
  <si>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</si>
  <si>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</si>
  <si>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</si>
  <si>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</si>
  <si>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</si>
  <si>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</si>
  <si>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</si>
  <si>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</si>
  <si>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</si>
  <si>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</si>
  <si>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</si>
  <si>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</si>
  <si>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万通中心</t>
    <phoneticPr fontId="3" type="noConversion"/>
  </si>
  <si>
    <t>三里屯soho</t>
    <phoneticPr fontId="3" type="noConversion"/>
  </si>
  <si>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</si>
  <si>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</si>
  <si>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</si>
  <si>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</si>
  <si>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</si>
  <si>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</si>
  <si>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</si>
  <si>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</si>
  <si>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</si>
  <si>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</si>
  <si>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</si>
  <si>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</si>
  <si>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</si>
  <si>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</si>
  <si>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</si>
  <si>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</si>
  <si>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</si>
  <si>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</si>
  <si>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</si>
  <si>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</si>
  <si>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</si>
  <si>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</si>
  <si>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</si>
  <si>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</si>
  <si>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</si>
  <si>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</si>
  <si>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</si>
  <si>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</si>
  <si>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</si>
  <si>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</si>
  <si>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</si>
  <si>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</si>
  <si>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</si>
  <si>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</si>
  <si>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</si>
  <si>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</si>
  <si>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</si>
  <si>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</si>
  <si>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</si>
  <si>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</si>
  <si>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外铺</t>
    <phoneticPr fontId="30" type="noConversion"/>
  </si>
  <si>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</si>
  <si>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</si>
  <si>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</si>
  <si>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</si>
  <si>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</si>
  <si>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</si>
  <si>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</si>
  <si>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</si>
  <si>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</si>
  <si>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</si>
  <si>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</si>
  <si>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</si>
  <si>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</si>
  <si>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https://shangye.ke.com/bj/sp_buy/101117263748.html?tags=%E8%BF%91%E5%9C%B0%E9%93%81</t>
  </si>
  <si>
    <t>https://shangye.ke.com/bj/sp_buy/101128734185.html?tags=%E8%BF%91%E5%9C%B0%E9%93%81%2C%E6%9C%89%E4%BE%9B%E6%9A%96%2C%E7%B2%BE%E8%A3%85%E4%BF%AE%2C%E5%8F%AF%E6%B3%A8%E5%86%8C%2C%E4%B8%8B%E6%B0%B4%2C%E4%B8%8A%E6%B0%B4%2C%E6%89%B6%E6%A2%AF%2C220v%2C%E5%B8%A6%E5%AE%B6%E5%85%B7</t>
  </si>
  <si>
    <t>https://shangye.ke.com/bj/sp_buy/101130168344.html?tags=%E8%BF%91%E5%9C%B0%E9%93%81</t>
  </si>
  <si>
    <t>租金</t>
  </si>
  <si>
    <t>soho尚都</t>
    <phoneticPr fontId="3" type="noConversion"/>
  </si>
  <si>
    <t>光华路soho</t>
    <phoneticPr fontId="134"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</si>
  <si>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</si>
  <si>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</si>
  <si>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</si>
  <si>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</si>
  <si>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0" type="noConversion"/>
  </si>
  <si>
    <r>
      <t>10-15</t>
    </r>
    <r>
      <rPr>
        <sz val="11"/>
        <rFont val="宋体"/>
        <family val="3"/>
        <charset val="134"/>
      </rPr>
      <t>年</t>
    </r>
    <phoneticPr fontId="30" type="noConversion"/>
  </si>
  <si>
    <r>
      <t>20-25</t>
    </r>
    <r>
      <rPr>
        <sz val="11"/>
        <color indexed="8"/>
        <rFont val="宋体"/>
        <family val="3"/>
        <charset val="134"/>
      </rPr>
      <t>年</t>
    </r>
    <phoneticPr fontId="30" type="noConversion"/>
  </si>
  <si>
    <r>
      <t>25-30</t>
    </r>
    <r>
      <rPr>
        <sz val="11"/>
        <color indexed="8"/>
        <rFont val="宋体"/>
        <family val="3"/>
        <charset val="134"/>
      </rPr>
      <t>年</t>
    </r>
    <phoneticPr fontId="30" type="noConversion"/>
  </si>
  <si>
    <r>
      <t>15-20</t>
    </r>
    <r>
      <rPr>
        <sz val="11"/>
        <color indexed="8"/>
        <rFont val="宋体"/>
        <family val="3"/>
        <charset val="134"/>
      </rPr>
      <t>年</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</si>
</sst>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95" fillId="0" borderId="0" xfId="0" applyNumberFormat="1" applyFont="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a:extLst>
            <a:ext uri="{FF2B5EF4-FFF2-40B4-BE49-F238E27FC236}">
              <a16:creationId xmlns:a16="http://schemas.microsoft.com/office/drawing/2014/main" id="{D6BE7DE4-3DED-9486-4FD4-7C140348FA60}"/>
            </a:ext>
          </a:extLst>
        </xdr:cNvPr>
        <xdr:cNvPicPr>
          <a:picLocks noChangeAspect="1"/>
        </xdr:cNvPicPr>
      </xdr:nvPicPr>
      <xdr:blipFill>
        <a:blip xmlns:r="http://schemas.openxmlformats.org/officeDocument/2006/relationships" r:embed="rId1"/>
        <a:stretch>
          <a:fillRect/>
        </a:stretch>
      </xdr:blipFill>
      <xdr:spPr>
        <a:xfrm>
          <a:off x="0" y="1162050"/>
          <a:ext cx="6675892" cy="4999906"/>
        </a:xfrm>
        <a:prstGeom prst="rect">
          <a:avLst/>
        </a:prstGeom>
      </xdr:spPr>
    </xdr:pic>
    <xdr:clientData/>
  </xdr:twoCellAnchor>
  <xdr:oneCellAnchor>
    <xdr:from>
      <xdr:col>2</xdr:col>
      <xdr:colOff>110425</xdr:colOff>
      <xdr:row>14</xdr:row>
      <xdr:rowOff>127598</xdr:rowOff>
    </xdr:from>
    <xdr:ext cx="512576" cy="311496"/>
    <xdr:sp macro="" textlink="">
      <xdr:nvSpPr>
        <xdr:cNvPr id="3" name="矩形 2">
          <a:extLst>
            <a:ext uri="{FF2B5EF4-FFF2-40B4-BE49-F238E27FC236}">
              <a16:creationId xmlns:a16="http://schemas.microsoft.com/office/drawing/2014/main" id="{5CF89F3C-E0F6-1D6D-A70C-BE6FD6742641}"/>
            </a:ext>
          </a:extLst>
        </xdr:cNvPr>
        <xdr:cNvSpPr/>
      </xdr:nvSpPr>
      <xdr:spPr>
        <a:xfrm>
          <a:off x="2786950" y="2527898"/>
          <a:ext cx="512576"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macro="" textlink="">
      <xdr:nvSpPr>
        <xdr:cNvPr id="6" name="矩形 5">
          <a:extLst>
            <a:ext uri="{FF2B5EF4-FFF2-40B4-BE49-F238E27FC236}">
              <a16:creationId xmlns:a16="http://schemas.microsoft.com/office/drawing/2014/main" id="{98D3ADD9-D640-4809-9D43-F50E4815BA07}"/>
            </a:ext>
          </a:extLst>
        </xdr:cNvPr>
        <xdr:cNvSpPr/>
      </xdr:nvSpPr>
      <xdr:spPr>
        <a:xfrm>
          <a:off x="2743200" y="3438525"/>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macro="" textlink="">
      <xdr:nvSpPr>
        <xdr:cNvPr id="7" name="矩形 6">
          <a:extLst>
            <a:ext uri="{FF2B5EF4-FFF2-40B4-BE49-F238E27FC236}">
              <a16:creationId xmlns:a16="http://schemas.microsoft.com/office/drawing/2014/main" id="{67C03A39-0E5E-40B7-9734-798801C949E7}"/>
            </a:ext>
          </a:extLst>
        </xdr:cNvPr>
        <xdr:cNvSpPr/>
      </xdr:nvSpPr>
      <xdr:spPr>
        <a:xfrm>
          <a:off x="2771775" y="4591050"/>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72026</xdr:rowOff>
    </xdr:from>
    <xdr:to>
      <xdr:col>12</xdr:col>
      <xdr:colOff>19270</xdr:colOff>
      <xdr:row>70</xdr:row>
      <xdr:rowOff>19050</xdr:rowOff>
    </xdr:to>
    <xdr:pic>
      <xdr:nvPicPr>
        <xdr:cNvPr id="4" name="图片 3">
          <a:extLst>
            <a:ext uri="{FF2B5EF4-FFF2-40B4-BE49-F238E27FC236}">
              <a16:creationId xmlns:a16="http://schemas.microsoft.com/office/drawing/2014/main" id="{4E3FBFBA-F98D-705B-30E9-0458E5190072}"/>
            </a:ext>
          </a:extLst>
        </xdr:cNvPr>
        <xdr:cNvPicPr>
          <a:picLocks noChangeAspect="1"/>
        </xdr:cNvPicPr>
      </xdr:nvPicPr>
      <xdr:blipFill>
        <a:blip xmlns:r="http://schemas.openxmlformats.org/officeDocument/2006/relationships" r:embed="rId1"/>
        <a:stretch>
          <a:fillRect/>
        </a:stretch>
      </xdr:blipFill>
      <xdr:spPr>
        <a:xfrm>
          <a:off x="0" y="7787276"/>
          <a:ext cx="8248870" cy="4233274"/>
        </a:xfrm>
        <a:prstGeom prst="rect">
          <a:avLst/>
        </a:prstGeom>
      </xdr:spPr>
    </xdr:pic>
    <xdr:clientData/>
  </xdr:twoCellAnchor>
  <xdr:twoCellAnchor>
    <xdr:from>
      <xdr:col>0</xdr:col>
      <xdr:colOff>0</xdr:colOff>
      <xdr:row>0</xdr:row>
      <xdr:rowOff>0</xdr:rowOff>
    </xdr:from>
    <xdr:to>
      <xdr:col>13</xdr:col>
      <xdr:colOff>342466</xdr:colOff>
      <xdr:row>21</xdr:row>
      <xdr:rowOff>28575</xdr:rowOff>
    </xdr:to>
    <xdr:grpSp>
      <xdr:nvGrpSpPr>
        <xdr:cNvPr id="8" name="组合 7">
          <a:extLst>
            <a:ext uri="{FF2B5EF4-FFF2-40B4-BE49-F238E27FC236}">
              <a16:creationId xmlns:a16="http://schemas.microsoft.com/office/drawing/2014/main" id="{3740FFDC-D63F-C26C-4832-B1A9A3A677C4}"/>
            </a:ext>
          </a:extLst>
        </xdr:cNvPr>
        <xdr:cNvGrpSpPr/>
      </xdr:nvGrpSpPr>
      <xdr:grpSpPr>
        <a:xfrm>
          <a:off x="0" y="0"/>
          <a:ext cx="9257866" cy="3629025"/>
          <a:chOff x="0" y="0"/>
          <a:chExt cx="9257866" cy="3629025"/>
        </a:xfrm>
      </xdr:grpSpPr>
      <xdr:pic>
        <xdr:nvPicPr>
          <xdr:cNvPr id="5" name="图片 4">
            <a:extLst>
              <a:ext uri="{FF2B5EF4-FFF2-40B4-BE49-F238E27FC236}">
                <a16:creationId xmlns:a16="http://schemas.microsoft.com/office/drawing/2014/main" id="{2E88AB4B-B0D2-D94C-F089-AB611196D2A4}"/>
              </a:ext>
            </a:extLst>
          </xdr:cNvPr>
          <xdr:cNvPicPr>
            <a:picLocks noChangeAspect="1"/>
          </xdr:cNvPicPr>
        </xdr:nvPicPr>
        <xdr:blipFill>
          <a:blip xmlns:r="http://schemas.openxmlformats.org/officeDocument/2006/relationships" r:embed="rId2"/>
          <a:stretch>
            <a:fillRect/>
          </a:stretch>
        </xdr:blipFill>
        <xdr:spPr>
          <a:xfrm>
            <a:off x="0" y="0"/>
            <a:ext cx="8308102" cy="3629025"/>
          </a:xfrm>
          <a:prstGeom prst="rect">
            <a:avLst/>
          </a:prstGeom>
        </xdr:spPr>
      </xdr:pic>
      <xdr:pic>
        <xdr:nvPicPr>
          <xdr:cNvPr id="6" name="图片 5">
            <a:extLst>
              <a:ext uri="{FF2B5EF4-FFF2-40B4-BE49-F238E27FC236}">
                <a16:creationId xmlns:a16="http://schemas.microsoft.com/office/drawing/2014/main" id="{551D31E6-1ED7-87C1-CD0C-BAE815C88D56}"/>
              </a:ext>
            </a:extLst>
          </xdr:cNvPr>
          <xdr:cNvPicPr>
            <a:picLocks noChangeAspect="1"/>
          </xdr:cNvPicPr>
        </xdr:nvPicPr>
        <xdr:blipFill>
          <a:blip xmlns:r="http://schemas.openxmlformats.org/officeDocument/2006/relationships" r:embed="rId3"/>
          <a:stretch>
            <a:fillRect/>
          </a:stretch>
        </xdr:blipFill>
        <xdr:spPr>
          <a:xfrm>
            <a:off x="5791199" y="390525"/>
            <a:ext cx="3466667" cy="2752381"/>
          </a:xfrm>
          <a:prstGeom prst="rect">
            <a:avLst/>
          </a:prstGeom>
        </xdr:spPr>
      </xdr:pic>
    </xdr:grpSp>
    <xdr:clientData/>
  </xdr:twoCellAnchor>
  <xdr:twoCellAnchor>
    <xdr:from>
      <xdr:col>0</xdr:col>
      <xdr:colOff>0</xdr:colOff>
      <xdr:row>20</xdr:row>
      <xdr:rowOff>66675</xdr:rowOff>
    </xdr:from>
    <xdr:to>
      <xdr:col>14</xdr:col>
      <xdr:colOff>494859</xdr:colOff>
      <xdr:row>45</xdr:row>
      <xdr:rowOff>37220</xdr:rowOff>
    </xdr:to>
    <xdr:grpSp>
      <xdr:nvGrpSpPr>
        <xdr:cNvPr id="9" name="组合 8">
          <a:extLst>
            <a:ext uri="{FF2B5EF4-FFF2-40B4-BE49-F238E27FC236}">
              <a16:creationId xmlns:a16="http://schemas.microsoft.com/office/drawing/2014/main" id="{D8C5EBAA-ABAF-5378-C405-61E4A289F264}"/>
            </a:ext>
          </a:extLst>
        </xdr:cNvPr>
        <xdr:cNvGrpSpPr/>
      </xdr:nvGrpSpPr>
      <xdr:grpSpPr>
        <a:xfrm>
          <a:off x="0" y="3495675"/>
          <a:ext cx="10096059" cy="4256795"/>
          <a:chOff x="0" y="3495675"/>
          <a:chExt cx="10096059" cy="4256795"/>
        </a:xfrm>
      </xdr:grpSpPr>
      <xdr:pic>
        <xdr:nvPicPr>
          <xdr:cNvPr id="3" name="图片 2">
            <a:extLst>
              <a:ext uri="{FF2B5EF4-FFF2-40B4-BE49-F238E27FC236}">
                <a16:creationId xmlns:a16="http://schemas.microsoft.com/office/drawing/2014/main" id="{11C15C43-9D17-5E42-2FF6-98F1347F793E}"/>
              </a:ext>
            </a:extLst>
          </xdr:cNvPr>
          <xdr:cNvPicPr>
            <a:picLocks noChangeAspect="1"/>
          </xdr:cNvPicPr>
        </xdr:nvPicPr>
        <xdr:blipFill>
          <a:blip xmlns:r="http://schemas.openxmlformats.org/officeDocument/2006/relationships" r:embed="rId4"/>
          <a:stretch>
            <a:fillRect/>
          </a:stretch>
        </xdr:blipFill>
        <xdr:spPr>
          <a:xfrm>
            <a:off x="0" y="3495675"/>
            <a:ext cx="8294702" cy="4256795"/>
          </a:xfrm>
          <a:prstGeom prst="rect">
            <a:avLst/>
          </a:prstGeom>
        </xdr:spPr>
      </xdr:pic>
      <xdr:pic>
        <xdr:nvPicPr>
          <xdr:cNvPr id="7" name="图片 6">
            <a:extLst>
              <a:ext uri="{FF2B5EF4-FFF2-40B4-BE49-F238E27FC236}">
                <a16:creationId xmlns:a16="http://schemas.microsoft.com/office/drawing/2014/main" id="{ED0CA8DB-6BFE-7DAF-89BE-EB1209450C4A}"/>
              </a:ext>
            </a:extLst>
          </xdr:cNvPr>
          <xdr:cNvPicPr>
            <a:picLocks noChangeAspect="1"/>
          </xdr:cNvPicPr>
        </xdr:nvPicPr>
        <xdr:blipFill>
          <a:blip xmlns:r="http://schemas.openxmlformats.org/officeDocument/2006/relationships" r:embed="rId5"/>
          <a:stretch>
            <a:fillRect/>
          </a:stretch>
        </xdr:blipFill>
        <xdr:spPr>
          <a:xfrm>
            <a:off x="6572250" y="4762500"/>
            <a:ext cx="3523809" cy="28571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30729</xdr:colOff>
      <xdr:row>22</xdr:row>
      <xdr:rowOff>76200</xdr:rowOff>
    </xdr:to>
    <xdr:pic>
      <xdr:nvPicPr>
        <xdr:cNvPr id="2" name="图片 1">
          <a:extLst>
            <a:ext uri="{FF2B5EF4-FFF2-40B4-BE49-F238E27FC236}">
              <a16:creationId xmlns:a16="http://schemas.microsoft.com/office/drawing/2014/main" id="{6449A670-40E6-B462-6E51-5E124E53BB33}"/>
            </a:ext>
          </a:extLst>
        </xdr:cNvPr>
        <xdr:cNvPicPr>
          <a:picLocks noChangeAspect="1"/>
        </xdr:cNvPicPr>
      </xdr:nvPicPr>
      <xdr:blipFill>
        <a:blip xmlns:r="http://schemas.openxmlformats.org/officeDocument/2006/relationships" r:embed="rId1"/>
        <a:stretch>
          <a:fillRect/>
        </a:stretch>
      </xdr:blipFill>
      <xdr:spPr>
        <a:xfrm>
          <a:off x="0" y="0"/>
          <a:ext cx="8946129" cy="3848100"/>
        </a:xfrm>
        <a:prstGeom prst="rect">
          <a:avLst/>
        </a:prstGeom>
      </xdr:spPr>
    </xdr:pic>
    <xdr:clientData/>
  </xdr:twoCellAnchor>
  <xdr:twoCellAnchor editAs="oneCell">
    <xdr:from>
      <xdr:col>0</xdr:col>
      <xdr:colOff>0</xdr:colOff>
      <xdr:row>21</xdr:row>
      <xdr:rowOff>85725</xdr:rowOff>
    </xdr:from>
    <xdr:to>
      <xdr:col>13</xdr:col>
      <xdr:colOff>160571</xdr:colOff>
      <xdr:row>61</xdr:row>
      <xdr:rowOff>27707</xdr:rowOff>
    </xdr:to>
    <xdr:pic>
      <xdr:nvPicPr>
        <xdr:cNvPr id="4" name="图片 3">
          <a:extLst>
            <a:ext uri="{FF2B5EF4-FFF2-40B4-BE49-F238E27FC236}">
              <a16:creationId xmlns:a16="http://schemas.microsoft.com/office/drawing/2014/main" id="{EA287C90-4D9B-F874-932B-B02B00798FE2}"/>
            </a:ext>
          </a:extLst>
        </xdr:cNvPr>
        <xdr:cNvPicPr>
          <a:picLocks noChangeAspect="1"/>
        </xdr:cNvPicPr>
      </xdr:nvPicPr>
      <xdr:blipFill>
        <a:blip xmlns:r="http://schemas.openxmlformats.org/officeDocument/2006/relationships" r:embed="rId2"/>
        <a:stretch>
          <a:fillRect/>
        </a:stretch>
      </xdr:blipFill>
      <xdr:spPr>
        <a:xfrm>
          <a:off x="0" y="3686175"/>
          <a:ext cx="9075971" cy="6799982"/>
        </a:xfrm>
        <a:prstGeom prst="rect">
          <a:avLst/>
        </a:prstGeom>
      </xdr:spPr>
    </xdr:pic>
    <xdr:clientData/>
  </xdr:twoCellAnchor>
  <xdr:twoCellAnchor editAs="oneCell">
    <xdr:from>
      <xdr:col>0</xdr:col>
      <xdr:colOff>0</xdr:colOff>
      <xdr:row>61</xdr:row>
      <xdr:rowOff>38100</xdr:rowOff>
    </xdr:from>
    <xdr:to>
      <xdr:col>13</xdr:col>
      <xdr:colOff>579542</xdr:colOff>
      <xdr:row>88</xdr:row>
      <xdr:rowOff>113581</xdr:rowOff>
    </xdr:to>
    <xdr:pic>
      <xdr:nvPicPr>
        <xdr:cNvPr id="5" name="图片 4">
          <a:extLst>
            <a:ext uri="{FF2B5EF4-FFF2-40B4-BE49-F238E27FC236}">
              <a16:creationId xmlns:a16="http://schemas.microsoft.com/office/drawing/2014/main" id="{80F2474C-4FEA-E549-2EBF-65A9F6AAC319}"/>
            </a:ext>
          </a:extLst>
        </xdr:cNvPr>
        <xdr:cNvPicPr>
          <a:picLocks noChangeAspect="1"/>
        </xdr:cNvPicPr>
      </xdr:nvPicPr>
      <xdr:blipFill>
        <a:blip xmlns:r="http://schemas.openxmlformats.org/officeDocument/2006/relationships" r:embed="rId3"/>
        <a:stretch>
          <a:fillRect/>
        </a:stretch>
      </xdr:blipFill>
      <xdr:spPr>
        <a:xfrm>
          <a:off x="0" y="10496550"/>
          <a:ext cx="9494942" cy="4704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估价对象为北京市房地产，为所有。根据《国有土地使用证》[]，估价对象（分摊）出让国有建设用地使用权面积为0平方米，建筑面积为138.79平方米。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估价对象为北京市房地产,属开发建设的，该项目尚在开发建设中。根据《国有土地使用证》[]，估价对象（分摊）出让国有建设用地使用权面积为0平方米，规划建筑面积为138.79平方米。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2025年8月29日（评估专业人员实地查勘之日）</v>
      </c>
    </row>
    <row r="13" spans="1:2">
      <c r="A13" s="1118" t="s">
        <v>529</v>
      </c>
      <c r="B13" s="1119"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138.79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3395</v>
      </c>
      <c r="AA1" s="1437" t="s">
        <v>3394</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3402</v>
      </c>
      <c r="Z2" s="1444" t="s">
        <v>2442</v>
      </c>
      <c r="AA2" s="1444" t="s">
        <v>3403</v>
      </c>
      <c r="AB2" s="1444" t="s">
        <v>2469</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3404</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3330</v>
      </c>
      <c r="X7" s="1444" t="s">
        <v>2439</v>
      </c>
      <c r="Z7" s="1444" t="s">
        <v>2452</v>
      </c>
      <c r="AB7" s="1444" t="s">
        <v>2478</v>
      </c>
    </row>
    <row r="8" spans="1:28">
      <c r="A8" s="1440" t="s">
        <v>1026</v>
      </c>
      <c r="B8" s="1440" t="s">
        <v>1027</v>
      </c>
      <c r="C8" s="1441" t="s">
        <v>319</v>
      </c>
      <c r="F8" s="1442" t="s">
        <v>1028</v>
      </c>
      <c r="H8" s="1442" t="s">
        <v>2567</v>
      </c>
      <c r="I8" s="1442" t="s">
        <v>3331</v>
      </c>
      <c r="X8" s="1444" t="s">
        <v>3405</v>
      </c>
      <c r="Z8" s="1444" t="s">
        <v>2454</v>
      </c>
      <c r="AB8" s="1444" t="s">
        <v>2480</v>
      </c>
    </row>
    <row r="9" spans="1:28">
      <c r="A9" s="1440" t="s">
        <v>1029</v>
      </c>
      <c r="B9" s="1440" t="s">
        <v>1030</v>
      </c>
      <c r="C9" s="1441" t="s">
        <v>320</v>
      </c>
      <c r="F9" s="1442" t="s">
        <v>1031</v>
      </c>
      <c r="H9" s="1442"/>
      <c r="I9" s="1444" t="s">
        <v>3332</v>
      </c>
      <c r="X9" s="1444" t="s">
        <v>3406</v>
      </c>
      <c r="Z9" s="1444" t="s">
        <v>2456</v>
      </c>
      <c r="AB9" s="1444" t="s">
        <v>2482</v>
      </c>
    </row>
    <row r="10" spans="1:28">
      <c r="A10" s="1440" t="s">
        <v>1032</v>
      </c>
      <c r="B10" s="1440" t="s">
        <v>1033</v>
      </c>
      <c r="C10" s="1441" t="s">
        <v>321</v>
      </c>
      <c r="F10" s="1442" t="s">
        <v>2568</v>
      </c>
      <c r="I10" s="1444" t="s">
        <v>3333</v>
      </c>
      <c r="Z10" s="1444" t="s">
        <v>2458</v>
      </c>
      <c r="AB10" s="1444" t="s">
        <v>2484</v>
      </c>
    </row>
    <row r="11" spans="1:28">
      <c r="A11" s="1440" t="s">
        <v>1034</v>
      </c>
      <c r="B11" s="1440" t="s">
        <v>1035</v>
      </c>
      <c r="C11" s="1441" t="s">
        <v>322</v>
      </c>
      <c r="F11" s="1442" t="s">
        <v>13</v>
      </c>
      <c r="I11" s="1444" t="s">
        <v>3334</v>
      </c>
      <c r="Z11" s="1444" t="s">
        <v>2460</v>
      </c>
      <c r="AB11" s="1444" t="s">
        <v>2486</v>
      </c>
    </row>
    <row r="12" spans="1:28">
      <c r="A12" s="1440" t="s">
        <v>1036</v>
      </c>
      <c r="B12" s="1440" t="s">
        <v>1037</v>
      </c>
      <c r="C12" s="1441" t="s">
        <v>323</v>
      </c>
      <c r="I12" s="1444" t="s">
        <v>3335</v>
      </c>
      <c r="Z12" s="1444" t="s">
        <v>2462</v>
      </c>
      <c r="AB12" s="1444" t="s">
        <v>2488</v>
      </c>
    </row>
    <row r="13" spans="1:28">
      <c r="A13" s="1440" t="s">
        <v>1038</v>
      </c>
      <c r="B13" s="1440" t="s">
        <v>1039</v>
      </c>
      <c r="C13" s="1441" t="s">
        <v>324</v>
      </c>
      <c r="I13" s="1444" t="s">
        <v>3336</v>
      </c>
      <c r="Z13" s="1444" t="s">
        <v>2464</v>
      </c>
    </row>
    <row r="14" spans="1:28">
      <c r="A14" s="1440" t="s">
        <v>1040</v>
      </c>
      <c r="B14" s="1440" t="s">
        <v>1041</v>
      </c>
      <c r="C14" s="1442" t="s">
        <v>13</v>
      </c>
      <c r="I14" s="1444" t="s">
        <v>3337</v>
      </c>
      <c r="Z14" s="1444" t="s">
        <v>2466</v>
      </c>
    </row>
    <row r="15" spans="1:28">
      <c r="A15" s="1440" t="s">
        <v>1042</v>
      </c>
      <c r="B15" s="1440" t="s">
        <v>1043</v>
      </c>
      <c r="C15" s="1441"/>
      <c r="I15" s="1444" t="s">
        <v>3338</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6" t="s">
        <v>385</v>
      </c>
      <c r="C54" s="1444" t="s">
        <v>583</v>
      </c>
    </row>
    <row r="55" spans="1:4">
      <c r="A55" s="3226"/>
      <c r="B55" s="1446" t="s">
        <v>386</v>
      </c>
      <c r="C55" s="1444" t="s">
        <v>584</v>
      </c>
    </row>
    <row r="56" spans="1:4">
      <c r="A56" s="3226"/>
      <c r="B56" s="1446" t="s">
        <v>387</v>
      </c>
      <c r="C56" s="1444" t="s">
        <v>588</v>
      </c>
    </row>
    <row r="57" spans="1:4">
      <c r="A57" s="322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27" t="s">
        <v>2570</v>
      </c>
      <c r="J2" s="3227"/>
      <c r="K2" s="3227"/>
      <c r="L2" s="3227"/>
      <c r="M2" s="3227"/>
      <c r="N2" s="3227"/>
      <c r="O2" s="3227"/>
      <c r="P2" s="3227"/>
      <c r="Q2" s="3227"/>
      <c r="R2" s="3227"/>
    </row>
    <row r="3" spans="1:18">
      <c r="A3" s="2762" t="s">
        <v>2491</v>
      </c>
      <c r="B3" s="2763">
        <f>项目基本情况!D3</f>
        <v>45898</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1.3</v>
      </c>
      <c r="D5" s="2767">
        <f>IF(ISERROR(ROUND(POWER(1+E5,A5-C5)*(POWER(1+E5,C5)-1)/(POWER(1+E5,A5)-1),3)),0,ROUND(POWER(1+E5,A5-C5)*(POWER(1+E5,C5)-1)/(POWER(1+E5,A5)-1),4))</f>
        <v>6.2799999999999995E-2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11.31</v>
      </c>
      <c r="D6" s="2767">
        <f>IF(ISERROR(ROUND(POWER(1+E6,A6-C6)*(POWER(1+E6,C6)-1)/(POWER(1+E6,A6)-1),3)),0,ROUND(POWER(1+E6,A6-C6)*(POWER(1+E6,C6)-1)/(POWER(1+E6,A6)-1),4))</f>
        <v>0.41689999999999999</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31.32</v>
      </c>
      <c r="D7" s="2767">
        <f>IF(ISERROR(ROUND(POWER(1+E7,A7-C7)*(POWER(1+E7,C7)-1)/(POWER(1+E7,A7)-1),3)),0,ROUND(POWER(1+E7,A7-C7)*(POWER(1+E7,C7)-1)/(POWER(1+E7,A7)-1),4))</f>
        <v>0.75580000000000003</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5" t="str">
        <f>IF(B10="北京市","北京市",C10)&amp;F10&amp;IF(结果表!G1="在建","出让国有建设用地使用权及在建建筑物",IF(结果表!G1="土地","出让国有建设用地使用权",))&amp;B9&amp;"预评估"</f>
        <v>北京市房地产抵押价值预评估</v>
      </c>
      <c r="C1" s="3236"/>
      <c r="D1" s="3236"/>
      <c r="E1" s="3236"/>
      <c r="F1" s="3236"/>
      <c r="G1" s="3236"/>
      <c r="H1" s="3236"/>
      <c r="I1" s="323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45898</v>
      </c>
      <c r="C3" s="2185" t="s">
        <v>2170</v>
      </c>
      <c r="D3" s="2184">
        <f>B3</f>
        <v>45898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3407</v>
      </c>
      <c r="C8" s="2200"/>
      <c r="D8" s="3238" t="s">
        <v>2176</v>
      </c>
      <c r="E8" s="2201" t="s">
        <v>3408</v>
      </c>
      <c r="F8" s="2202"/>
      <c r="G8" s="2441"/>
      <c r="H8" s="2441"/>
      <c r="I8" s="2441"/>
      <c r="J8" s="2244"/>
      <c r="K8" s="2399"/>
      <c r="L8" s="2398"/>
      <c r="M8" s="2398"/>
      <c r="N8" s="2244"/>
      <c r="O8" s="1669"/>
      <c r="P8" s="2244"/>
      <c r="Q8" s="2244"/>
      <c r="R8" s="2244"/>
    </row>
    <row r="9" spans="1:30" ht="13.5" thickBot="1">
      <c r="A9" s="2203" t="s">
        <v>2177</v>
      </c>
      <c r="B9" s="2204" t="s">
        <v>3408</v>
      </c>
      <c r="C9" s="2205"/>
      <c r="D9" s="3239"/>
      <c r="E9" s="2204" t="s">
        <v>43</v>
      </c>
      <c r="F9" s="2206"/>
      <c r="G9" s="2442"/>
      <c r="H9" s="2442"/>
      <c r="I9" s="2442"/>
      <c r="J9" s="2244"/>
      <c r="K9" s="2401"/>
      <c r="L9" s="2398"/>
      <c r="M9" s="2398"/>
      <c r="N9" s="2244"/>
      <c r="O9" s="1669"/>
      <c r="P9" s="2244"/>
      <c r="Q9" s="2244"/>
      <c r="R9" s="2244"/>
    </row>
    <row r="10" spans="1:30" ht="13.5" thickTop="1">
      <c r="A10" s="2207" t="s">
        <v>2178</v>
      </c>
      <c r="B10" s="2208" t="s">
        <v>3409</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3410</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3320</v>
      </c>
      <c r="B13" s="2217" t="s">
        <v>2189</v>
      </c>
      <c r="C13" s="802"/>
      <c r="D13" s="802">
        <v>54667</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24.02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45"/>
      <c r="C16" s="3246"/>
      <c r="D16" s="3247"/>
      <c r="E16" s="2221" t="s">
        <v>2193</v>
      </c>
      <c r="F16" s="3248"/>
      <c r="G16" s="3249"/>
      <c r="H16" s="3249"/>
      <c r="I16" s="3250"/>
      <c r="J16" s="2244"/>
      <c r="K16" s="2402"/>
      <c r="L16" s="1669"/>
      <c r="M16" s="1669"/>
      <c r="N16" s="2244"/>
      <c r="O16" s="1669"/>
      <c r="P16" s="2244"/>
      <c r="Q16" s="2244"/>
      <c r="R16" s="2244"/>
    </row>
    <row r="17" spans="1:28">
      <c r="A17" s="305" t="s">
        <v>2194</v>
      </c>
      <c r="B17" s="294" t="s">
        <v>2195</v>
      </c>
      <c r="C17" s="8">
        <f>'数据-汇总表'!E3</f>
        <v>138.79</v>
      </c>
      <c r="D17" s="1255" t="s">
        <v>2196</v>
      </c>
      <c r="E17" s="3251" t="s">
        <v>2197</v>
      </c>
      <c r="F17" s="3252"/>
      <c r="G17" s="3252"/>
      <c r="H17" s="3252"/>
      <c r="I17" s="3253"/>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54" t="s">
        <v>2201</v>
      </c>
      <c r="F18" s="3255"/>
      <c r="G18" s="3255"/>
      <c r="H18" s="3255"/>
      <c r="I18" s="3256"/>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41" t="s">
        <v>2205</v>
      </c>
      <c r="C20" s="3242"/>
      <c r="D20" s="3243" t="s">
        <v>2206</v>
      </c>
      <c r="E20" s="3244"/>
      <c r="F20" s="2429" t="s">
        <v>1056</v>
      </c>
      <c r="G20" s="2441"/>
      <c r="H20" s="2441"/>
      <c r="I20" s="2441"/>
      <c r="J20" s="2244"/>
      <c r="K20" s="324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4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4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0"/>
      <c r="B30" s="294" t="s">
        <v>2217</v>
      </c>
      <c r="C30" s="3231"/>
      <c r="D30" s="3232"/>
      <c r="E30" s="2441"/>
      <c r="F30" s="2441"/>
      <c r="G30" s="2441"/>
      <c r="H30" s="2441"/>
      <c r="I30" s="2441"/>
      <c r="J30" s="2244"/>
      <c r="K30" s="2401"/>
      <c r="L30" s="2398"/>
      <c r="M30" s="2398"/>
      <c r="N30" s="2244"/>
      <c r="O30" s="1669"/>
      <c r="P30" s="2244"/>
      <c r="Q30" s="2244"/>
      <c r="R30" s="2244"/>
      <c r="S30" s="2244"/>
      <c r="T30" s="2244"/>
      <c r="U30" s="2244"/>
      <c r="V30" s="2244"/>
    </row>
    <row r="31" spans="1:28">
      <c r="A31" s="323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8" t="s">
        <v>2227</v>
      </c>
      <c r="T34" s="315" t="str">
        <f>NUMBERSTRING(7-K34,1)&amp;"通"</f>
        <v>七通</v>
      </c>
      <c r="U34" s="2244"/>
      <c r="V34" s="2244"/>
    </row>
    <row r="35" spans="1:30">
      <c r="A35" s="2235"/>
      <c r="B35" s="3228" t="s">
        <v>2228</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t="s">
        <v>184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t="s">
        <v>222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9AD85-9AD7-4451-8490-CF1209FFD4AD}">
  <sheetPr>
    <tabColor rgb="FFFFFF00"/>
  </sheetPr>
  <dimension ref="B2:D5"/>
  <sheetViews>
    <sheetView workbookViewId="0">
      <selection activeCell="D3" sqref="D3:D5"/>
    </sheetView>
  </sheetViews>
  <sheetFormatPr defaultRowHeight="13.5"/>
  <cols>
    <col min="1" max="1" width="9" style="2813"/>
    <col min="2" max="2" width="26.125" style="2813" bestFit="1" customWidth="1"/>
    <col min="3" max="3" width="34.375" style="2813" bestFit="1" customWidth="1"/>
    <col min="4" max="4" width="7.5" style="2813" bestFit="1" customWidth="1"/>
    <col min="5" max="16384" width="9" style="2813"/>
  </cols>
  <sheetData>
    <row r="2" spans="2:4">
      <c r="B2" s="1420" t="s">
        <v>3411</v>
      </c>
      <c r="C2" s="1420" t="s">
        <v>3413</v>
      </c>
      <c r="D2" s="1420" t="s">
        <v>3377</v>
      </c>
    </row>
    <row r="3" spans="2:4">
      <c r="B3" s="3169" t="s">
        <v>3412</v>
      </c>
      <c r="C3" s="1420" t="s">
        <v>3414</v>
      </c>
      <c r="D3" s="2813">
        <v>138.79</v>
      </c>
    </row>
    <row r="4" spans="2:4">
      <c r="B4" s="1420" t="s">
        <v>3415</v>
      </c>
      <c r="C4" s="1420" t="s">
        <v>3417</v>
      </c>
      <c r="D4" s="2813">
        <v>128.29</v>
      </c>
    </row>
    <row r="5" spans="2:4">
      <c r="B5" s="1420" t="s">
        <v>3416</v>
      </c>
      <c r="C5" s="1420" t="s">
        <v>3418</v>
      </c>
      <c r="D5" s="2813">
        <v>170.92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438</v>
      </c>
      <c r="H5" s="13">
        <f t="shared" ref="H5:AT5" si="0">SUM(H13:H656)</f>
        <v>438</v>
      </c>
      <c r="I5" s="13">
        <f t="shared" si="0"/>
        <v>438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138.79</v>
      </c>
      <c r="BA5" s="15">
        <f t="shared" si="1"/>
        <v>138.79</v>
      </c>
      <c r="BB5" s="15">
        <f t="shared" si="1"/>
        <v>138.79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3424</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0" t="s">
        <v>3419</v>
      </c>
      <c r="D13" s="1512" t="s">
        <v>3422</v>
      </c>
      <c r="E13" s="13">
        <f>IF($C$3="是",ROUND($A$3*G13/$B$3,2),ROUND($A$3*(G13-AT13)/$B$3,2))</f>
        <v>0</v>
      </c>
      <c r="F13" s="29"/>
      <c r="G13" s="30">
        <f>H13+AC13+AT13</f>
        <v>138.79</v>
      </c>
      <c r="H13" s="17">
        <f>SUMIF(I$12:AB$12,"总值",I13:AB13)</f>
        <v>138.79</v>
      </c>
      <c r="I13" s="1513">
        <f>Sheet1!D3</f>
        <v>138.79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商业07-2</v>
      </c>
      <c r="AY13" s="1259">
        <f>ROUND($AY$6*AZ13/$AZ$5,2)</f>
        <v>0</v>
      </c>
      <c r="AZ13" s="13">
        <f>BA13+BL13</f>
        <v>138.79</v>
      </c>
      <c r="BA13" s="13">
        <f>SUM(BB13:BK13)</f>
        <v>138.79</v>
      </c>
      <c r="BB13" s="13">
        <f>IF($D13="是",I13-J13,0)</f>
        <v>138.79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70" t="s">
        <v>3420</v>
      </c>
      <c r="D14" s="1512" t="s">
        <v>3423</v>
      </c>
      <c r="E14" s="13">
        <f>IF($C$3="是",ROUND($A$3*G14/$B$3,2),ROUND($A$3*(G14-AT14)/$B$3,2))</f>
        <v>0</v>
      </c>
      <c r="F14" s="29"/>
      <c r="G14" s="30">
        <f>H14+AC14+AT14</f>
        <v>128.29</v>
      </c>
      <c r="H14" s="17">
        <f>SUMIF(I$12:AB$12,"总值",I14:AB14)</f>
        <v>128.29</v>
      </c>
      <c r="I14" s="1513">
        <f>Sheet1!D4</f>
        <v>128.29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商业07-3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3170" t="s">
        <v>3421</v>
      </c>
      <c r="D15" s="1512" t="s">
        <v>3423</v>
      </c>
      <c r="E15" s="13">
        <f>IF($C$3="是",ROUND($A$3*G15/$B$3,2),ROUND($A$3*(G15-AT15)/$B$3,2))</f>
        <v>0</v>
      </c>
      <c r="F15" s="29"/>
      <c r="G15" s="30">
        <f>H15+AC15+AT15</f>
        <v>170.92</v>
      </c>
      <c r="H15" s="17">
        <f>SUMIF(I$12:AB$12,"总值",I15:AB15)</f>
        <v>170.92</v>
      </c>
      <c r="I15" s="1513">
        <f>Sheet1!D5</f>
        <v>170.92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商业07-4</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O10" sqref="O1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6" t="s">
        <v>1131</v>
      </c>
      <c r="B2" s="3266"/>
      <c r="C2" s="3266"/>
      <c r="D2" s="747" t="s">
        <v>1107</v>
      </c>
      <c r="E2" s="1522" t="s">
        <v>1108</v>
      </c>
      <c r="F2" s="2438"/>
      <c r="G2" s="2431"/>
      <c r="H2" s="2432"/>
      <c r="I2" s="2145" t="s">
        <v>1132</v>
      </c>
      <c r="J2" s="2438"/>
      <c r="K2" s="2438"/>
      <c r="L2" s="2438"/>
      <c r="M2" s="2438"/>
      <c r="N2" s="2439"/>
      <c r="O2" s="2438"/>
      <c r="P2" s="2438"/>
    </row>
    <row r="3" spans="1:16" ht="15.75" thickBot="1">
      <c r="A3" s="3267" t="s">
        <v>1105</v>
      </c>
      <c r="B3" s="3267"/>
      <c r="C3" s="3267"/>
      <c r="D3" s="41">
        <f>'数据-基础表'!AY6</f>
        <v>0</v>
      </c>
      <c r="E3" s="41">
        <f>'数据-基础表'!AZ5</f>
        <v>138.79</v>
      </c>
      <c r="F3" s="2438"/>
      <c r="G3" s="42"/>
      <c r="H3" s="43" t="s">
        <v>1106</v>
      </c>
      <c r="I3" s="801" t="e">
        <f>ROUND('数据-基础表'!B3/'数据-基础表'!A3,2)</f>
        <v>#DIV/0!</v>
      </c>
      <c r="J3" s="2438"/>
      <c r="K3" s="2438"/>
      <c r="L3" s="2438"/>
      <c r="M3" s="2438"/>
      <c r="N3" s="2439"/>
      <c r="O3" s="2438"/>
      <c r="P3" s="2438"/>
    </row>
    <row r="4" spans="1:16" ht="15">
      <c r="A4" s="3268"/>
      <c r="B4" s="3269"/>
      <c r="C4" s="3270"/>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1" t="s">
        <v>1110</v>
      </c>
      <c r="C5" s="3271"/>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1" t="s">
        <v>1111</v>
      </c>
      <c r="C6" s="3271"/>
      <c r="D6" s="43">
        <f>ROUND($D$3*E6/$E$3,2)</f>
        <v>0</v>
      </c>
      <c r="E6" s="44">
        <f>E3-E5</f>
        <v>138.79</v>
      </c>
      <c r="F6" s="2438"/>
      <c r="G6" s="1528" t="s">
        <v>1112</v>
      </c>
      <c r="H6" s="45" t="s">
        <v>1113</v>
      </c>
      <c r="I6" s="2434" t="e">
        <f>ROUND(F31/D31,2)</f>
        <v>#DIV/0!</v>
      </c>
      <c r="J6" s="2438"/>
      <c r="K6" s="2438"/>
      <c r="L6" s="2438"/>
      <c r="M6" s="2438"/>
      <c r="N6" s="2438"/>
      <c r="O6" s="2438"/>
      <c r="P6" s="2438"/>
    </row>
    <row r="7" spans="1:16" ht="15.75" thickBot="1">
      <c r="A7" s="3263"/>
      <c r="B7" s="3264"/>
      <c r="C7" s="3265"/>
      <c r="D7" s="1523" t="s">
        <v>1107</v>
      </c>
      <c r="E7" s="1527" t="s">
        <v>1114</v>
      </c>
      <c r="F7" s="2438"/>
      <c r="G7" s="2435" t="s">
        <v>1115</v>
      </c>
      <c r="H7" s="95"/>
      <c r="I7" s="2436">
        <v>5.99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138.79</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138.79</v>
      </c>
      <c r="F16" s="2438"/>
      <c r="G16" s="2438"/>
      <c r="H16" s="1530" t="s">
        <v>1135</v>
      </c>
      <c r="I16" s="1531"/>
      <c r="J16" s="1070"/>
      <c r="K16" s="3260" t="s">
        <v>1135</v>
      </c>
      <c r="L16" s="3261"/>
      <c r="M16" s="3261"/>
      <c r="N16" s="3261"/>
      <c r="O16" s="3261"/>
      <c r="P16" s="3262"/>
    </row>
    <row r="17" spans="1:19" ht="15">
      <c r="A17" s="1532" t="s">
        <v>1136</v>
      </c>
      <c r="B17" s="1533" t="s">
        <v>1137</v>
      </c>
      <c r="C17" s="1534" t="s">
        <v>1138</v>
      </c>
      <c r="D17" s="1535" t="s">
        <v>1126</v>
      </c>
      <c r="E17" s="1536" t="s">
        <v>1127</v>
      </c>
      <c r="F17" s="1537"/>
      <c r="G17" s="1538"/>
      <c r="H17" s="1539" t="s">
        <v>1139</v>
      </c>
      <c r="I17" s="1540" t="s">
        <v>1124</v>
      </c>
      <c r="J17" s="1070"/>
      <c r="K17" s="3257" t="s">
        <v>1140</v>
      </c>
      <c r="L17" s="3258"/>
      <c r="M17" s="3259"/>
      <c r="N17" s="3257" t="s">
        <v>1141</v>
      </c>
      <c r="O17" s="3258"/>
      <c r="P17" s="3259"/>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3426</v>
      </c>
      <c r="D19" s="43">
        <f>ROUND($D$3*E19/$E$3,2)</f>
        <v>0</v>
      </c>
      <c r="E19" s="51">
        <f t="shared" ref="E19:E26" si="1">SUM(F19:G19)</f>
        <v>138.79</v>
      </c>
      <c r="F19" s="2557"/>
      <c r="G19" s="1242">
        <f>'数据-基础表'!I13</f>
        <v>138.79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138.79</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138.79</v>
      </c>
      <c r="F27" s="1071">
        <f>IF(SUM(F19:F26)=E8,SUM(F19:F26),"地上面积有误")</f>
        <v>0</v>
      </c>
      <c r="G27" s="1073">
        <f>SUM(G19:G26)</f>
        <v>138.79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138.79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138.79</v>
      </c>
      <c r="F31" s="643">
        <f>F27+F30</f>
        <v>0</v>
      </c>
      <c r="G31" s="644">
        <f>G27+G30</f>
        <v>138.79</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商业07-2</v>
      </c>
      <c r="B6" s="1586" t="str">
        <f>IF(A6=0,"","经营性")</f>
        <v>经营性</v>
      </c>
      <c r="C6" s="1587" t="s">
        <v>673</v>
      </c>
      <c r="D6" s="804">
        <f>SUMIF(项目基本情况!C$12:I$12,C6,项目基本情况!C$14:I$14)</f>
        <v>40</v>
      </c>
      <c r="E6" s="803">
        <f>IF(B6="","",SUMIF(项目基本情况!C$12:I$12,C6,项目基本情况!C$13:I$13))</f>
        <v>54667</v>
      </c>
      <c r="F6" s="61">
        <f>SUMIF(项目基本情况!C$12:I$12,C6,项目基本情况!C$15:I$15)</f>
        <v>24.02</v>
      </c>
      <c r="G6" s="62">
        <f>IF(ISERROR(ROUND(POWER(1+H6,D6-F6)*(POWER(1+H6,F6)-1)/(POWER(1+H6,D6)-1),3)),0,ROUND(POWER(1+H6,D6-F6)*(POWER(1+H6,F6)-1)/(POWER(1+H6,D6)-1),3))</f>
        <v>0.80500000000000005</v>
      </c>
      <c r="H6" s="690">
        <v>0.05</v>
      </c>
      <c r="I6" s="690">
        <v>0.06</v>
      </c>
      <c r="J6" s="63">
        <v>7.0000000000000007E-2</v>
      </c>
      <c r="K6" s="969">
        <f>SUMIF('数据-汇总表'!C$19:C$33,A6,'数据-汇总表'!E$19:E$33)</f>
        <v>138.79</v>
      </c>
      <c r="L6" s="691">
        <v>4500</v>
      </c>
      <c r="M6" s="64">
        <f t="shared" ref="M6:M14" si="0">ROUND(K6*L6/10000,0)</f>
        <v>62</v>
      </c>
      <c r="N6" s="689">
        <f>O20</f>
        <v>0.84</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租金比较法!C49</f>
        <v>5</v>
      </c>
      <c r="V6" s="67">
        <v>0.02</v>
      </c>
      <c r="W6" s="67">
        <v>0.1</v>
      </c>
      <c r="X6" s="978"/>
      <c r="Y6" s="68">
        <f>N6</f>
        <v>0.84</v>
      </c>
      <c r="Z6" s="69"/>
      <c r="AA6" s="63"/>
      <c r="AB6" s="63"/>
      <c r="AC6" s="978"/>
      <c r="AD6" s="70"/>
      <c r="AE6" s="979">
        <f ca="1">IF(AN6="",0,SUMIF(INDIRECT("'"&amp;AN6&amp;"'"&amp;"!E:E"),$AE$5,INDIRECT("'"&amp;AN6&amp;"'"&amp;"!F:F")))</f>
        <v>24.02</v>
      </c>
      <c r="AF6" s="74"/>
      <c r="AG6" s="130">
        <f>IF(AF6="",0,AE6-AF6)</f>
        <v>0</v>
      </c>
      <c r="AH6" s="71"/>
      <c r="AI6" s="73">
        <v>365</v>
      </c>
      <c r="AJ6" s="74"/>
      <c r="AK6" s="75">
        <v>2E-3</v>
      </c>
      <c r="AL6" s="76">
        <v>1E-3</v>
      </c>
      <c r="AM6" s="77">
        <v>5.0000000000000001E-3</v>
      </c>
      <c r="AN6" s="1588" t="s">
        <v>3430</v>
      </c>
      <c r="AO6" s="50">
        <f ca="1">SUMIF(INDIRECT("'"&amp;AN6&amp;"'"&amp;"!A:A"),"总价",INDIRECT("'"&amp;AN6&amp;"'"&amp;"!B:B"))</f>
        <v>322.09879999999998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0.80500000000000005</v>
      </c>
      <c r="H16" s="84">
        <f>ROUND(SUMPRODUCT(H6:H13,K6:K13)/SUMPRODUCT((H6:H13&gt;0)*(K6:K13)),3)</f>
        <v>0.05</v>
      </c>
      <c r="I16" s="85"/>
      <c r="J16" s="85"/>
      <c r="K16" s="86">
        <f>SUM(K6:K15)</f>
        <v>138.79</v>
      </c>
      <c r="L16" s="87">
        <f>ROUND(M16*10000/SUM(K6:K14),0)</f>
        <v>4467</v>
      </c>
      <c r="M16" s="87">
        <f>SUM(M6:M14)</f>
        <v>62</v>
      </c>
      <c r="N16" s="88">
        <f>ROUND(SUMPRODUCT(M6:M14,N6:N14)/M16,3)</f>
        <v>0.84</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3171" t="s">
        <v>3427</v>
      </c>
      <c r="O18" s="2448">
        <f>ROUND(1-(1-0%)*(2025-2011)/60,2)</f>
        <v>0.77</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3171" t="s">
        <v>3428</v>
      </c>
      <c r="O19" s="2448">
        <v>0.9</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3171" t="s">
        <v>458</v>
      </c>
      <c r="O20" s="2448">
        <f>ROUND((O18+O19)/2,2)</f>
        <v>0.84</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(元)'!C10/10000</f>
        <v>2.7757999999999998</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184</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2" t="s">
        <v>2276</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438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45898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1524</v>
      </c>
      <c r="C5" s="2299">
        <f ca="1">IF(B5=D14,结果表!H102,ROUND(B5*10000/$B$1,0))</f>
        <v>0</v>
      </c>
      <c r="D5" s="2299" t="e">
        <f ca="1">ROUND(B5*10000/$B$2,0)</f>
        <v>#DIV/0!</v>
      </c>
      <c r="E5" s="2461"/>
      <c r="F5" s="2462"/>
      <c r="G5" s="2462"/>
      <c r="H5" s="2462"/>
      <c r="I5" s="2462"/>
      <c r="J5" s="2462"/>
      <c r="K5" s="2462"/>
    </row>
    <row r="6" spans="1:11" ht="16.5">
      <c r="A6" s="2299" t="s">
        <v>656</v>
      </c>
      <c r="B6" s="2299">
        <f ca="1">SUM(G14:G23)</f>
        <v>1524</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438</v>
      </c>
      <c r="C14" s="2305"/>
      <c r="D14" s="2305">
        <f ca="1">典型户型修正!S22</f>
        <v>1524</v>
      </c>
      <c r="E14" s="2305">
        <f ca="1">ROUND(D14*10000/B14,0)</f>
        <v>34795</v>
      </c>
      <c r="F14" s="2305" t="e">
        <f ca="1">ROUND(D14*10000/C14,0)</f>
        <v>#DIV/0!</v>
      </c>
      <c r="G14" s="2305">
        <f ca="1">D14</f>
        <v>1524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K26" sqref="K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3" t="s">
        <v>1265</v>
      </c>
      <c r="B4" s="1624" t="s">
        <v>1266</v>
      </c>
      <c r="C4" s="1625" t="s">
        <v>3499</v>
      </c>
      <c r="D4" s="1625" t="s">
        <v>3430</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8" t="s">
        <v>1268</v>
      </c>
      <c r="B5" s="3275">
        <v>25</v>
      </c>
      <c r="C5" s="3291"/>
      <c r="D5" s="3311"/>
      <c r="E5" s="123" t="s">
        <v>1269</v>
      </c>
      <c r="F5" s="1626"/>
      <c r="G5" s="1626"/>
      <c r="H5" s="1626"/>
      <c r="I5" s="1280"/>
    </row>
    <row r="6" spans="1:12" ht="12.75">
      <c r="A6" s="3288"/>
      <c r="B6" s="3275"/>
      <c r="C6" s="3292"/>
      <c r="D6" s="3311"/>
      <c r="E6" s="123" t="s">
        <v>1270</v>
      </c>
      <c r="F6" s="1626"/>
      <c r="G6" s="1626"/>
      <c r="H6" s="1626"/>
      <c r="I6" s="1280"/>
    </row>
    <row r="7" spans="1:12" ht="12.75">
      <c r="A7" s="3288"/>
      <c r="B7" s="3275"/>
      <c r="C7" s="3293"/>
      <c r="D7" s="3311"/>
      <c r="E7" s="123" t="s">
        <v>1271</v>
      </c>
      <c r="F7" s="1626"/>
      <c r="G7" s="1626"/>
      <c r="H7" s="1626"/>
      <c r="I7" s="1280"/>
    </row>
    <row r="8" spans="1:12" ht="12.75">
      <c r="A8" s="3288" t="s">
        <v>1272</v>
      </c>
      <c r="B8" s="3275">
        <v>15</v>
      </c>
      <c r="C8" s="3291"/>
      <c r="D8" s="3311"/>
      <c r="E8" s="123" t="s">
        <v>1273</v>
      </c>
      <c r="F8" s="1626"/>
      <c r="G8" s="1626"/>
      <c r="H8" s="1626"/>
      <c r="I8" s="1280"/>
    </row>
    <row r="9" spans="1:12" ht="12.75">
      <c r="A9" s="3288"/>
      <c r="B9" s="3275"/>
      <c r="C9" s="3293"/>
      <c r="D9" s="3311"/>
      <c r="E9" s="123" t="s">
        <v>1274</v>
      </c>
      <c r="F9" s="1626"/>
      <c r="G9" s="1626"/>
      <c r="H9" s="1626"/>
      <c r="I9" s="1280"/>
    </row>
    <row r="10" spans="1:12" ht="12.75">
      <c r="A10" s="3288" t="s">
        <v>1275</v>
      </c>
      <c r="B10" s="3275">
        <v>15</v>
      </c>
      <c r="C10" s="3291"/>
      <c r="D10" s="3311"/>
      <c r="E10" s="123" t="s">
        <v>1276</v>
      </c>
      <c r="F10" s="1626"/>
      <c r="G10" s="1626"/>
      <c r="H10" s="1626"/>
      <c r="I10" s="1280"/>
    </row>
    <row r="11" spans="1:12" ht="12.75">
      <c r="A11" s="3288"/>
      <c r="B11" s="3275"/>
      <c r="C11" s="3293"/>
      <c r="D11" s="3311"/>
      <c r="E11" s="123" t="s">
        <v>1277</v>
      </c>
      <c r="F11" s="1626"/>
      <c r="G11" s="1626"/>
      <c r="H11" s="1626"/>
      <c r="I11" s="1280"/>
    </row>
    <row r="12" spans="1:12" ht="12.75">
      <c r="A12" s="3288" t="s">
        <v>1278</v>
      </c>
      <c r="B12" s="3275">
        <v>15</v>
      </c>
      <c r="C12" s="3291"/>
      <c r="D12" s="3311"/>
      <c r="E12" s="123" t="s">
        <v>1279</v>
      </c>
      <c r="F12" s="1626"/>
      <c r="G12" s="1626"/>
      <c r="H12" s="1626"/>
      <c r="I12" s="1280"/>
    </row>
    <row r="13" spans="1:12" ht="12.75">
      <c r="A13" s="3288"/>
      <c r="B13" s="3275"/>
      <c r="C13" s="3293"/>
      <c r="D13" s="3311"/>
      <c r="E13" s="123" t="s">
        <v>1280</v>
      </c>
      <c r="F13" s="1626"/>
      <c r="G13" s="1626"/>
      <c r="H13" s="1626"/>
      <c r="I13" s="1280"/>
    </row>
    <row r="14" spans="1:12" ht="12.75">
      <c r="A14" s="3288" t="s">
        <v>1281</v>
      </c>
      <c r="B14" s="3275">
        <v>30</v>
      </c>
      <c r="C14" s="3291">
        <v>0.7</v>
      </c>
      <c r="D14" s="3311">
        <v>0.3</v>
      </c>
      <c r="E14" s="123" t="s">
        <v>1282</v>
      </c>
      <c r="F14" s="1626"/>
      <c r="G14" s="1626"/>
      <c r="H14" s="1626"/>
      <c r="I14" s="1280"/>
    </row>
    <row r="15" spans="1:12" ht="12.75">
      <c r="A15" s="3288"/>
      <c r="B15" s="3275"/>
      <c r="C15" s="3292"/>
      <c r="D15" s="3311"/>
      <c r="E15" s="123" t="s">
        <v>1283</v>
      </c>
      <c r="F15" s="1626"/>
      <c r="G15" s="1626"/>
      <c r="H15" s="1626"/>
      <c r="I15" s="1280"/>
    </row>
    <row r="16" spans="1:12" ht="12.75">
      <c r="A16" s="3288"/>
      <c r="B16" s="3275"/>
      <c r="C16" s="3293"/>
      <c r="D16" s="3311"/>
      <c r="E16" s="123" t="s">
        <v>1284</v>
      </c>
      <c r="F16" s="1626"/>
      <c r="G16" s="1626"/>
      <c r="H16" s="1626"/>
      <c r="I16" s="1280"/>
    </row>
    <row r="17" spans="1:36" ht="15">
      <c r="A17" s="1627" t="s">
        <v>1285</v>
      </c>
      <c r="B17" s="54"/>
      <c r="C17" s="124">
        <f>SUM(C5:C16)</f>
        <v>0.7</v>
      </c>
      <c r="D17" s="124">
        <f>SUM(D5:D16)</f>
        <v>0.3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8" t="s">
        <v>2130</v>
      </c>
      <c r="F18" s="3299"/>
      <c r="G18" s="3299"/>
      <c r="H18" s="3299"/>
      <c r="I18" s="3299"/>
      <c r="K18" s="294" t="s">
        <v>1289</v>
      </c>
      <c r="L18" s="294">
        <f>IF(C1="",'数据-汇总表'!E3,SUMIF(项目类型,C1,'数据-汇总表'!E17:E26)+SUMIF(项目类型,C1,'数据-汇总表'!I17:I26))</f>
        <v>138.79</v>
      </c>
      <c r="M18" s="294">
        <f>IF(C1="",'数据-汇总表'!E3,SUMIF(项目类型,C1,'数据-汇总表'!E17:E26))</f>
        <v>138.79</v>
      </c>
    </row>
    <row r="19" spans="1:36" ht="15">
      <c r="A19" s="1629" t="s">
        <v>1290</v>
      </c>
      <c r="B19" s="1630" t="s">
        <v>1291</v>
      </c>
      <c r="C19" s="126">
        <f ca="1">SUMIF(INDIRECT("'"&amp;C4&amp;"'"&amp;"!A:A"),结果表!B19,INDIRECT("'"&amp;C4&amp;"'"&amp;"!B:B"))</f>
        <v>551.71799999999996</v>
      </c>
      <c r="D19" s="127">
        <f ca="1">SUMIF(INDIRECT("'"&amp;D4&amp;"'"&amp;"!A:A"),结果表!B19,INDIRECT("'"&amp;D4&amp;"'"&amp;"!B:B"))</f>
        <v>322.09879999999998</v>
      </c>
      <c r="E19" s="1629" t="s">
        <v>1292</v>
      </c>
      <c r="F19" s="1630" t="s">
        <v>1291</v>
      </c>
      <c r="G19" s="128">
        <f ca="1">ROUND(C19*$C$18+D19*$D$18,0)</f>
        <v>483</v>
      </c>
      <c r="H19" s="1631" t="s">
        <v>1293</v>
      </c>
      <c r="I19" s="2330">
        <f ca="1">(C19*C14+D19*D14)*10000</f>
        <v>4828322.3999999994</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39752</v>
      </c>
      <c r="D20" s="130">
        <f ca="1">SUMIF(INDIRECT("'"&amp;D4&amp;"'"&amp;"!A:A"),结果表!B20,INDIRECT("'"&amp;D4&amp;"'"&amp;"!B:B"))</f>
        <v>23208</v>
      </c>
      <c r="E20" s="1632"/>
      <c r="F20" s="43" t="s">
        <v>1295</v>
      </c>
      <c r="G20" s="131">
        <f ca="1">ROUND(C20*$C$18+D20*$D$18,0)</f>
        <v>34789</v>
      </c>
      <c r="H20" s="759" t="s">
        <v>1296</v>
      </c>
      <c r="I20" s="2330">
        <f ca="1">ROUND(I19/'数据-汇总表'!E3,0)</f>
        <v>34789</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0.71288436964061952</v>
      </c>
      <c r="E22" s="121"/>
      <c r="F22" s="121"/>
      <c r="G22" s="121"/>
      <c r="H22" s="121"/>
      <c r="I22" s="121"/>
    </row>
    <row r="23" spans="1:36" ht="13.5" thickBot="1">
      <c r="A23" s="645"/>
      <c r="B23" s="645"/>
      <c r="C23" s="645"/>
      <c r="D23" s="645"/>
      <c r="E23" s="121"/>
      <c r="F23" s="121"/>
      <c r="G23" s="121"/>
      <c r="H23" s="121"/>
      <c r="I23" s="121"/>
    </row>
    <row r="24" spans="1:36" ht="14.25">
      <c r="A24" s="3282" t="s">
        <v>1299</v>
      </c>
      <c r="B24" s="1630" t="s">
        <v>1291</v>
      </c>
      <c r="C24" s="128">
        <f>IF(B30=0,0,D30)</f>
        <v>0</v>
      </c>
      <c r="D24" s="1636"/>
      <c r="E24" s="121"/>
      <c r="F24" s="121"/>
      <c r="G24" s="121"/>
      <c r="H24" s="121"/>
      <c r="I24" s="121"/>
    </row>
    <row r="25" spans="1:36" ht="14.25">
      <c r="A25" s="328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34789</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02" t="s">
        <v>1312</v>
      </c>
      <c r="B36" s="1651" t="s">
        <v>1313</v>
      </c>
      <c r="C36" s="137"/>
      <c r="D36" s="1652"/>
      <c r="E36" s="1566"/>
      <c r="F36" s="1653"/>
      <c r="G36" s="121"/>
      <c r="H36" s="121"/>
      <c r="I36" s="121"/>
    </row>
    <row r="37" spans="1:15" ht="15.75" thickBot="1">
      <c r="A37" s="3303"/>
      <c r="B37" s="1554" t="s">
        <v>1314</v>
      </c>
      <c r="C37" s="139"/>
      <c r="D37" s="1070"/>
      <c r="E37" s="1070"/>
      <c r="F37" s="1653"/>
      <c r="G37" s="121"/>
      <c r="H37" s="121"/>
      <c r="I37" s="121"/>
    </row>
    <row r="38" spans="1:15" ht="15.75" thickBot="1">
      <c r="A38" s="3304"/>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9" t="s">
        <v>1326</v>
      </c>
      <c r="B45" s="3280"/>
      <c r="C45" s="3281"/>
      <c r="D45" s="147" t="e">
        <f ca="1">ROUND(H101*F45,0)</f>
        <v>#REF!</v>
      </c>
      <c r="E45" s="148" t="s">
        <v>1327</v>
      </c>
      <c r="F45" s="149">
        <v>1</v>
      </c>
      <c r="G45" s="150" t="s">
        <v>1328</v>
      </c>
      <c r="H45" s="121"/>
      <c r="I45" s="121"/>
      <c r="J45" s="3357" t="s">
        <v>1329</v>
      </c>
      <c r="K45" s="3357"/>
      <c r="L45" s="3357"/>
      <c r="M45" s="3357"/>
      <c r="N45" s="3357"/>
      <c r="O45" s="3357"/>
    </row>
    <row r="46" spans="1:15" ht="14.25" customHeight="1">
      <c r="A46" s="3276" t="s">
        <v>1330</v>
      </c>
      <c r="B46" s="3277"/>
      <c r="C46" s="3277"/>
      <c r="D46" s="3277"/>
      <c r="E46" s="3277"/>
      <c r="F46" s="3277"/>
      <c r="G46" s="3278"/>
      <c r="H46" s="1667"/>
      <c r="I46" s="151"/>
      <c r="J46" s="2309">
        <v>1</v>
      </c>
      <c r="K46" s="3338" t="s">
        <v>1331</v>
      </c>
      <c r="L46" s="3338"/>
      <c r="M46" s="3358"/>
      <c r="N46" s="3358"/>
      <c r="O46" s="3358"/>
    </row>
    <row r="47" spans="1:15" ht="12" customHeight="1">
      <c r="A47" s="152" t="s">
        <v>1332</v>
      </c>
      <c r="B47" s="153"/>
      <c r="C47" s="154"/>
      <c r="D47" s="1023" t="s">
        <v>1333</v>
      </c>
      <c r="E47" s="294" t="s">
        <v>1334</v>
      </c>
      <c r="F47" s="155" t="s">
        <v>1335</v>
      </c>
      <c r="G47" s="2332" t="s">
        <v>1336</v>
      </c>
      <c r="H47" s="2333"/>
      <c r="I47" s="151"/>
      <c r="J47" s="2309">
        <v>2</v>
      </c>
      <c r="K47" s="3338" t="s">
        <v>1337</v>
      </c>
      <c r="L47" s="3338"/>
      <c r="M47" s="3359">
        <f>'数据-取费表'!B2</f>
        <v>45898</v>
      </c>
      <c r="N47" s="3359"/>
      <c r="O47" s="3359"/>
    </row>
    <row r="48" spans="1:15" ht="25.5">
      <c r="A48" s="3307" t="s">
        <v>1338</v>
      </c>
      <c r="B48" s="3290"/>
      <c r="C48" s="3290"/>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38" t="s">
        <v>1340</v>
      </c>
      <c r="L48" s="3338"/>
      <c r="M48" s="3360" t="e">
        <f ca="1">H101</f>
        <v>#REF!</v>
      </c>
      <c r="N48" s="3360"/>
      <c r="O48" s="3360"/>
    </row>
    <row r="49" spans="1:35" ht="25.5" customHeight="1">
      <c r="A49" s="2151" t="s">
        <v>1341</v>
      </c>
      <c r="B49" s="3274" t="s">
        <v>1342</v>
      </c>
      <c r="C49" s="3274"/>
      <c r="D49" s="1477">
        <v>0</v>
      </c>
      <c r="E49" s="316" t="s">
        <v>1343</v>
      </c>
      <c r="F49" s="2232" t="s">
        <v>28</v>
      </c>
      <c r="G49" s="3344"/>
      <c r="H49" s="2133" t="s">
        <v>2133</v>
      </c>
      <c r="I49" s="2134"/>
      <c r="J49" s="2309">
        <v>4</v>
      </c>
      <c r="K49" s="3338" t="str">
        <f>IF(项目基本情况!E8="房地产抵押价值","房地产抵押价值","抵押担保权已注销时的房地产抵押价值")</f>
        <v>房地产抵押价值</v>
      </c>
      <c r="L49" s="3338"/>
      <c r="M49" s="3360" t="str">
        <f ca="1">IF(项目基本情况!E8="房地产抵押价值",H107,H109)</f>
        <v>——</v>
      </c>
      <c r="N49" s="3360"/>
      <c r="O49" s="3360"/>
    </row>
    <row r="50" spans="1:35" ht="25.5" customHeight="1">
      <c r="A50" s="2337"/>
      <c r="B50" s="3274" t="s">
        <v>1344</v>
      </c>
      <c r="C50" s="3274"/>
      <c r="D50" s="2188"/>
      <c r="E50" s="323"/>
      <c r="F50" s="2232"/>
      <c r="G50" s="3345"/>
      <c r="H50" s="2135" t="s">
        <v>2134</v>
      </c>
      <c r="I50" s="2134"/>
      <c r="J50" s="3357" t="s">
        <v>1345</v>
      </c>
      <c r="K50" s="3357"/>
      <c r="L50" s="3357"/>
      <c r="M50" s="3357"/>
      <c r="N50" s="3357"/>
      <c r="O50" s="3357"/>
    </row>
    <row r="51" spans="1:35" ht="20.45" customHeight="1">
      <c r="A51" s="2338"/>
      <c r="B51" s="3274" t="s">
        <v>1346</v>
      </c>
      <c r="C51" s="3274"/>
      <c r="D51" s="1023"/>
      <c r="E51" s="319"/>
      <c r="F51" s="2232"/>
      <c r="G51" s="3346"/>
      <c r="H51" s="2135" t="s">
        <v>2135</v>
      </c>
      <c r="I51" s="2134"/>
      <c r="J51" s="2310" t="s">
        <v>1347</v>
      </c>
      <c r="K51" s="3338" t="s">
        <v>1348</v>
      </c>
      <c r="L51" s="3338"/>
      <c r="M51" s="2310" t="s">
        <v>1349</v>
      </c>
      <c r="N51" s="2310" t="s">
        <v>1350</v>
      </c>
      <c r="O51" s="2310" t="s">
        <v>1351</v>
      </c>
    </row>
    <row r="52" spans="1:35" ht="24" customHeight="1">
      <c r="A52" s="2152" t="s">
        <v>1352</v>
      </c>
      <c r="B52" s="3274" t="s">
        <v>1353</v>
      </c>
      <c r="C52" s="3274"/>
      <c r="D52" s="1023" t="e">
        <f ca="1">ROUND(D45*'数据-取费表'!B41/(1+'数据-取费表'!C42),0)</f>
        <v>#REF!</v>
      </c>
      <c r="E52" s="1255" t="s">
        <v>1354</v>
      </c>
      <c r="F52" s="2339">
        <f>'数据-取费表'!B41</f>
        <v>5.6000000000000001E-2</v>
      </c>
      <c r="G52" s="2340"/>
      <c r="H52" s="2330"/>
      <c r="I52" s="1668"/>
      <c r="J52" s="2309">
        <v>1</v>
      </c>
      <c r="K52" s="3339" t="s">
        <v>1355</v>
      </c>
      <c r="L52" s="3339"/>
      <c r="M52" s="2311" t="b">
        <f>D48</f>
        <v>0</v>
      </c>
      <c r="N52" s="2309" t="str">
        <f>E48</f>
        <v>销售额×税（费）率</v>
      </c>
      <c r="O52" s="2312">
        <f>F48</f>
        <v>5.6000000000000001E-2</v>
      </c>
    </row>
    <row r="53" spans="1:35" ht="12" customHeight="1">
      <c r="A53" s="2152" t="s">
        <v>1356</v>
      </c>
      <c r="B53" s="3300" t="s">
        <v>2281</v>
      </c>
      <c r="C53" s="3301"/>
      <c r="D53" s="1023" t="e">
        <f ca="1">ROUND(D45*'数据-取费表'!B41/(1+'数据-取费表'!C42),0)</f>
        <v>#REF!</v>
      </c>
      <c r="E53" s="1255" t="s">
        <v>1354</v>
      </c>
      <c r="F53" s="2339">
        <f>'数据-取费表'!B41</f>
        <v>5.6000000000000001E-2</v>
      </c>
      <c r="G53" s="2340"/>
      <c r="H53" s="2330"/>
      <c r="I53" s="1668"/>
      <c r="J53" s="2309">
        <v>2</v>
      </c>
      <c r="K53" s="3339" t="s">
        <v>1357</v>
      </c>
      <c r="L53" s="3339"/>
      <c r="M53" s="2311" t="e">
        <f t="shared" ref="M53:O54" ca="1" si="0">D55</f>
        <v>#REF!</v>
      </c>
      <c r="N53" s="2309" t="str">
        <f t="shared" si="0"/>
        <v>销售额×税（费）率</v>
      </c>
      <c r="O53" s="2312" t="str">
        <f t="shared" si="0"/>
        <v>免征</v>
      </c>
    </row>
    <row r="54" spans="1:35" ht="12" customHeight="1">
      <c r="A54" s="2152" t="s">
        <v>1358</v>
      </c>
      <c r="B54" s="3300" t="s">
        <v>2282</v>
      </c>
      <c r="C54" s="3301"/>
      <c r="D54" s="1023" t="e">
        <f ca="1">C68</f>
        <v>#REF!</v>
      </c>
      <c r="E54" s="319" t="s">
        <v>1359</v>
      </c>
      <c r="F54" s="2339">
        <f>'数据-取费表'!B41</f>
        <v>5.6000000000000001E-2</v>
      </c>
      <c r="G54" s="2340"/>
      <c r="H54" s="2341"/>
      <c r="I54" s="1668"/>
      <c r="J54" s="2309">
        <v>3</v>
      </c>
      <c r="K54" s="3339" t="s">
        <v>1360</v>
      </c>
      <c r="L54" s="3339"/>
      <c r="M54" s="2311" t="e">
        <f t="shared" ca="1" si="0"/>
        <v>#REF!</v>
      </c>
      <c r="N54" s="2309" t="str">
        <f t="shared" si="0"/>
        <v>增值额×税（费）率</v>
      </c>
      <c r="O54" s="2313" t="str">
        <f t="shared" si="0"/>
        <v>免征</v>
      </c>
    </row>
    <row r="55" spans="1:35" ht="24" customHeight="1">
      <c r="A55" s="3289" t="s">
        <v>1361</v>
      </c>
      <c r="B55" s="3290"/>
      <c r="C55" s="3290"/>
      <c r="D55" s="12" t="e">
        <f ca="1">IF(H55="个人住宅",0,ROUND(D45*I55,0))</f>
        <v>#REF!</v>
      </c>
      <c r="E55" s="1255" t="s">
        <v>1362</v>
      </c>
      <c r="F55" s="2339" t="str">
        <f>IF(H55="正常",I55,"免征")</f>
        <v>免征</v>
      </c>
      <c r="G55" s="2340"/>
      <c r="H55" s="2336"/>
      <c r="I55" s="157">
        <f>'数据-取费表'!B49</f>
        <v>5.0000000000000001E-4</v>
      </c>
      <c r="J55" s="2309">
        <f>IF(H59="非个人房产","",4)</f>
        <v>4</v>
      </c>
      <c r="K55" s="3339" t="str">
        <f>IF(H59="非个人房产","——","个人所得税")</f>
        <v>个人所得税</v>
      </c>
      <c r="L55" s="3339"/>
      <c r="M55" s="2314" t="e">
        <f ca="1">D59</f>
        <v>#REF!</v>
      </c>
      <c r="N55" s="1882" t="str">
        <f>E59</f>
        <v>差额计税</v>
      </c>
      <c r="O55" s="2315">
        <f>F59</f>
        <v>0.01</v>
      </c>
    </row>
    <row r="56" spans="1:35" ht="24.75">
      <c r="A56" s="3289" t="s">
        <v>1363</v>
      </c>
      <c r="B56" s="3290"/>
      <c r="C56" s="3290"/>
      <c r="D56" s="12" t="e">
        <f ca="1">IF(H56="个人住宅",D57,D58)</f>
        <v>#REF!</v>
      </c>
      <c r="E56" s="1255" t="s">
        <v>1364</v>
      </c>
      <c r="F56" s="2339" t="str">
        <f>IF(H56="正常",F58,"免征")</f>
        <v>免征</v>
      </c>
      <c r="G56" s="2342" t="s">
        <v>1365</v>
      </c>
      <c r="H56" s="2343"/>
      <c r="I56" s="1669"/>
      <c r="J56" s="2309" t="str">
        <f>IF(项目基本情况!K6="上海银行",IF(J55="",4,J55+1),"")</f>
        <v/>
      </c>
      <c r="K56" s="3362" t="str">
        <f>IF(项目基本情况!K6="上海银行","其他处置费用","")</f>
        <v/>
      </c>
      <c r="L56" s="3363"/>
      <c r="M56" s="2311" t="str">
        <f>IF(项目基本情况!K6="上海银行",M69,"")</f>
        <v/>
      </c>
      <c r="N56" s="3362" t="str">
        <f>IF(项目基本情况!K6="上海银行","包含处置中涉及的律师、诉讼、拍卖、评估等费用","")</f>
        <v/>
      </c>
      <c r="O56" s="3365"/>
    </row>
    <row r="57" spans="1:35" ht="12.75">
      <c r="A57" s="2152" t="s">
        <v>1341</v>
      </c>
      <c r="B57" s="3300" t="s">
        <v>1366</v>
      </c>
      <c r="C57" s="3301"/>
      <c r="D57" s="1477">
        <v>0</v>
      </c>
      <c r="E57" s="316" t="s">
        <v>1343</v>
      </c>
      <c r="F57" s="294"/>
      <c r="G57" s="2340"/>
      <c r="H57" s="2344"/>
      <c r="I57" s="1669"/>
      <c r="J57" s="3339">
        <f>IF(AND(J55="",J56=""),4,IF(项目基本情况!K6="上海银行",结果表!J56+1,结果表!J55+1))</f>
        <v>5</v>
      </c>
      <c r="K57" s="3339" t="s">
        <v>1367</v>
      </c>
      <c r="L57" s="2316" t="s">
        <v>1368</v>
      </c>
      <c r="M57" s="2317"/>
      <c r="N57" s="2318">
        <f ca="1">SUMIF(M52:M56,"&lt;9e307")</f>
        <v>0</v>
      </c>
      <c r="O57" s="2319"/>
      <c r="P57" s="2464" t="e">
        <f ca="1">N57/M49</f>
        <v>#VALUE!</v>
      </c>
    </row>
    <row r="58" spans="1:35" ht="24.75">
      <c r="A58" s="2152" t="s">
        <v>1352</v>
      </c>
      <c r="B58" s="3300" t="s">
        <v>1369</v>
      </c>
      <c r="C58" s="3274"/>
      <c r="D58" s="12" t="e">
        <f ca="1">IF(H58="转让取得",C81,C97)</f>
        <v>#REF!</v>
      </c>
      <c r="E58" s="1255" t="s">
        <v>1364</v>
      </c>
      <c r="F58" s="294" t="s">
        <v>28</v>
      </c>
      <c r="G58" s="2340"/>
      <c r="H58" s="2343"/>
      <c r="I58" s="1669"/>
      <c r="J58" s="3339"/>
      <c r="K58" s="3339"/>
      <c r="L58" s="2316" t="s">
        <v>1370</v>
      </c>
      <c r="M58" s="2320"/>
      <c r="N58" s="2321" t="str">
        <f ca="1">NUMBERSTRING(INT(N57*10000),2)&amp;"元整"</f>
        <v>零元整</v>
      </c>
      <c r="O58" s="2322"/>
    </row>
    <row r="59" spans="1:35" ht="24.75" thickBot="1">
      <c r="A59" s="3342" t="s">
        <v>1371</v>
      </c>
      <c r="B59" s="3343"/>
      <c r="C59" s="334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40">
        <f>J57+1</f>
        <v>6</v>
      </c>
      <c r="K59" s="3339" t="s">
        <v>1372</v>
      </c>
      <c r="L59" s="2309" t="s">
        <v>1368</v>
      </c>
      <c r="M59" s="2323"/>
      <c r="N59" s="2324" t="e">
        <f ca="1">M49-N57</f>
        <v>#VALUE!</v>
      </c>
      <c r="O59" s="2325"/>
    </row>
    <row r="60" spans="1:35" ht="12" customHeight="1">
      <c r="A60" s="1670"/>
      <c r="B60" s="645"/>
      <c r="C60" s="645"/>
      <c r="D60" s="645"/>
      <c r="E60" s="1465"/>
      <c r="F60" s="1669"/>
      <c r="G60" s="1669"/>
      <c r="H60" s="151"/>
      <c r="I60" s="121"/>
      <c r="J60" s="3341"/>
      <c r="K60" s="3339"/>
      <c r="L60" s="2316" t="s">
        <v>1370</v>
      </c>
      <c r="M60" s="2320"/>
      <c r="N60" s="2321" t="e">
        <f ca="1">NUMBERSTRING(INT(N59*10000),2)&amp;"元整"</f>
        <v>#VALUE!</v>
      </c>
      <c r="O60" s="2322"/>
    </row>
    <row r="61" spans="1:35" ht="13.5" thickBot="1">
      <c r="A61" s="3287" t="s">
        <v>1373</v>
      </c>
      <c r="B61" s="3287"/>
      <c r="C61" s="3287"/>
      <c r="D61" s="3287"/>
      <c r="E61" s="3287"/>
      <c r="F61" s="1669"/>
      <c r="G61" s="1669"/>
      <c r="H61" s="151"/>
      <c r="I61" s="121"/>
      <c r="J61" s="2309">
        <f>J59+1</f>
        <v>7</v>
      </c>
      <c r="K61" s="3339" t="s">
        <v>1374</v>
      </c>
      <c r="L61" s="3339"/>
      <c r="M61" s="2326"/>
      <c r="N61" s="2327" t="e">
        <f ca="1">ROUND(N59*10000/'数据-汇总表'!E3,0)</f>
        <v>#VALUE!</v>
      </c>
      <c r="O61" s="2328"/>
    </row>
    <row r="62" spans="1:35" ht="12.75">
      <c r="A62" s="3305" t="s">
        <v>1375</v>
      </c>
      <c r="B62" s="3306"/>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64"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364"/>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364"/>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364"/>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64"/>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64"/>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5"/>
      <c r="J69" s="3364"/>
      <c r="K69" s="1244" t="s">
        <v>1393</v>
      </c>
      <c r="L69" s="1244"/>
      <c r="M69" s="294" t="e">
        <f ca="1">ROUND(SUM(M63:M68),0)</f>
        <v>#VALUE!</v>
      </c>
      <c r="N69" s="2331" t="e">
        <f ca="1">M69/M49</f>
        <v>#VALUE!</v>
      </c>
      <c r="Z69" s="1622"/>
      <c r="AI69" s="1560"/>
    </row>
    <row r="70" spans="1:35" s="641" customFormat="1" ht="15" thickBot="1">
      <c r="A70" s="3326" t="s">
        <v>1394</v>
      </c>
      <c r="B70" s="3327"/>
      <c r="C70" s="3327"/>
      <c r="D70" s="3327"/>
      <c r="E70" s="3327"/>
      <c r="F70" s="3327"/>
      <c r="G70" s="3327"/>
      <c r="H70" s="33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5" t="s">
        <v>1375</v>
      </c>
      <c r="B71" s="330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00" t="s">
        <v>1402</v>
      </c>
      <c r="F76" s="3274"/>
      <c r="G76" s="3274"/>
      <c r="H76" s="33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284" t="s">
        <v>1406</v>
      </c>
      <c r="F78" s="3285"/>
      <c r="G78" s="3285"/>
      <c r="H78" s="329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6" t="s">
        <v>1410</v>
      </c>
      <c r="B83" s="3327"/>
      <c r="C83" s="3327"/>
      <c r="D83" s="3327"/>
      <c r="E83" s="3327"/>
      <c r="F83" s="3327"/>
      <c r="G83" s="3327"/>
      <c r="H83" s="33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5" t="s">
        <v>1375</v>
      </c>
      <c r="B84" s="330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66" t="s">
        <v>2128</v>
      </c>
      <c r="H90" s="3367"/>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84" t="s">
        <v>1419</v>
      </c>
      <c r="F91" s="3285"/>
      <c r="G91" s="328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84" t="s">
        <v>1422</v>
      </c>
      <c r="F92" s="3285"/>
      <c r="G92" s="3285"/>
      <c r="H92" s="3294"/>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284" t="s">
        <v>1406</v>
      </c>
      <c r="F93" s="3285"/>
      <c r="G93" s="3285"/>
      <c r="H93" s="329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95" t="s">
        <v>1426</v>
      </c>
      <c r="F94" s="3296"/>
      <c r="G94" s="3296"/>
      <c r="H94" s="329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8" t="s">
        <v>1428</v>
      </c>
      <c r="B100" s="3269"/>
      <c r="C100" s="3269"/>
      <c r="D100" s="3286"/>
      <c r="E100" s="3269" t="s">
        <v>1429</v>
      </c>
      <c r="F100" s="3269"/>
      <c r="G100" s="3269"/>
      <c r="H100" s="3286"/>
      <c r="I100" s="121"/>
    </row>
    <row r="101" spans="1:35" ht="18.75" customHeight="1">
      <c r="A101" s="3347" t="s">
        <v>1430</v>
      </c>
      <c r="B101" s="3348"/>
      <c r="C101" s="2370" t="str">
        <f>C4</f>
        <v>比较法-商业</v>
      </c>
      <c r="D101" s="2371" t="str">
        <f>D4</f>
        <v>收益法 (元)</v>
      </c>
      <c r="E101" s="3361" t="s">
        <v>1431</v>
      </c>
      <c r="F101" s="3318"/>
      <c r="G101" s="1686" t="s">
        <v>1432</v>
      </c>
      <c r="H101" s="2380" t="e">
        <f ca="1">H118</f>
        <v>#REF!</v>
      </c>
      <c r="I101" s="121"/>
    </row>
    <row r="102" spans="1:35" ht="18.75" customHeight="1">
      <c r="A102" s="3320" t="s">
        <v>1433</v>
      </c>
      <c r="B102" s="2369" t="s">
        <v>1432</v>
      </c>
      <c r="C102" s="2370">
        <f ca="1">IF(D32="楼面单价",ROUND(C19,0),C19)</f>
        <v>551.71799999999996</v>
      </c>
      <c r="D102" s="2371">
        <f ca="1">IF(D32="楼面单价",ROUND(D19,0),D19)</f>
        <v>322.09879999999998</v>
      </c>
      <c r="E102" s="3361"/>
      <c r="F102" s="3318"/>
      <c r="G102" s="1686" t="s">
        <v>1434</v>
      </c>
      <c r="H102" s="2340" t="e">
        <f ca="1">I118</f>
        <v>#REF!</v>
      </c>
      <c r="I102" s="121"/>
    </row>
    <row r="103" spans="1:35" ht="42.75" customHeight="1">
      <c r="A103" s="3320"/>
      <c r="B103" s="2369" t="s">
        <v>1434</v>
      </c>
      <c r="C103" s="2372">
        <f ca="1">C20</f>
        <v>39752</v>
      </c>
      <c r="D103" s="2373">
        <f ca="1">D20</f>
        <v>23208</v>
      </c>
      <c r="E103" s="3355" t="s">
        <v>1435</v>
      </c>
      <c r="F103" s="3356"/>
      <c r="G103" s="1687" t="s">
        <v>1436</v>
      </c>
      <c r="H103" s="2380">
        <f>IF(D36="正常操作",H104+H105+H106,H105+H106)</f>
        <v>0</v>
      </c>
      <c r="I103" s="121"/>
    </row>
    <row r="104" spans="1:35" ht="18.75" customHeight="1">
      <c r="A104" s="3320"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21"/>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7" t="str">
        <f>IF(项目基本情况!E8="已注销","——","3.房地产抵押价值")</f>
        <v>3.房地产抵押价值</v>
      </c>
      <c r="F107" s="3318"/>
      <c r="G107" s="1686" t="s">
        <v>1432</v>
      </c>
      <c r="H107" s="2380" t="e">
        <f ca="1">IF(E107="——","——",H101-H103)</f>
        <v>#REF!</v>
      </c>
      <c r="I107" s="121"/>
    </row>
    <row r="108" spans="1:35" ht="18.75" customHeight="1">
      <c r="A108" s="121"/>
      <c r="B108" s="121"/>
      <c r="C108" s="121"/>
      <c r="D108" s="121"/>
      <c r="E108" s="3317"/>
      <c r="F108" s="3318"/>
      <c r="G108" s="1686" t="s">
        <v>1434</v>
      </c>
      <c r="H108" s="2340">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6" t="s">
        <v>1432</v>
      </c>
      <c r="H109" s="2383" t="str">
        <f>IF(E109="——","——",H101-H105-H106)</f>
        <v>——</v>
      </c>
      <c r="I109" s="121"/>
    </row>
    <row r="110" spans="1:35" ht="18.75" customHeight="1">
      <c r="A110" s="121"/>
      <c r="B110" s="121"/>
      <c r="C110" s="121"/>
      <c r="D110" s="121"/>
      <c r="E110" s="3317"/>
      <c r="F110" s="3318"/>
      <c r="G110" s="1686" t="s">
        <v>1434</v>
      </c>
      <c r="H110" s="2340"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6" t="s">
        <v>1432</v>
      </c>
      <c r="H111" s="2380" t="str">
        <f>IF(E111="——","——",N59)</f>
        <v>——</v>
      </c>
      <c r="I111" s="121"/>
    </row>
    <row r="112" spans="1:35" ht="18.75" customHeight="1" thickBot="1">
      <c r="A112" s="121"/>
      <c r="B112" s="121"/>
      <c r="C112" s="121"/>
      <c r="D112" s="121"/>
      <c r="E112" s="3350"/>
      <c r="F112" s="3351"/>
      <c r="G112" s="1689" t="s">
        <v>1434</v>
      </c>
      <c r="H112" s="2384" t="str">
        <f>IF(E111="——","——",N61)</f>
        <v>——</v>
      </c>
      <c r="I112" s="121"/>
    </row>
    <row r="113" spans="1:27" ht="18.75" customHeight="1">
      <c r="A113" s="121"/>
      <c r="B113" s="121"/>
      <c r="C113" s="121"/>
      <c r="D113" s="121"/>
      <c r="E113" s="3322" t="s">
        <v>1440</v>
      </c>
      <c r="F113" s="3322"/>
      <c r="G113" s="3322"/>
      <c r="H113" s="3322"/>
      <c r="I113" s="121"/>
    </row>
    <row r="114" spans="1:27" ht="3.75" customHeight="1">
      <c r="A114" s="645"/>
      <c r="B114" s="645"/>
      <c r="C114" s="645"/>
      <c r="D114" s="645"/>
      <c r="E114" s="1670"/>
      <c r="F114" s="1670"/>
      <c r="G114" s="1670"/>
      <c r="H114" s="1670"/>
      <c r="I114" s="645"/>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138.79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8" t="s">
        <v>1452</v>
      </c>
      <c r="B119" s="3288"/>
      <c r="C119" s="3288"/>
      <c r="D119" s="3328" t="e">
        <f ca="1">NUMBERSTRING(INT(D118*10000),2)&amp;"元整"</f>
        <v>#REF!</v>
      </c>
      <c r="E119" s="3330"/>
      <c r="F119" s="3328" t="e">
        <f ca="1">NUMBERSTRING(INT(F118*10000),2)&amp;"元整"</f>
        <v>#REF!</v>
      </c>
      <c r="G119" s="3330"/>
      <c r="H119" s="3328" t="e">
        <f ca="1">NUMBERSTRING(INT(H118*10000),2)&amp;"元整"</f>
        <v>#REF!</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8" t="s">
        <v>1452</v>
      </c>
      <c r="B121" s="3329"/>
      <c r="C121" s="3330"/>
      <c r="D121" s="3328" t="str">
        <f>IF(D120=0,"零元整",NUMBERSTRING(INT(D120*10000),2)&amp;"元整")</f>
        <v>零元整</v>
      </c>
      <c r="E121" s="3329"/>
      <c r="F121" s="3329"/>
      <c r="G121" s="3329"/>
      <c r="H121" s="3329"/>
      <c r="I121" s="3330"/>
      <c r="AA121" s="683"/>
    </row>
    <row r="122" spans="1:27" ht="18.75" customHeight="1">
      <c r="A122" s="3319" t="str">
        <f>IF(项目基本情况!B9="房地产市场价值","",MID(E107,3,LEN(E107)-2))</f>
        <v>房地产抵押价值</v>
      </c>
      <c r="B122" s="3319"/>
      <c r="C122" s="3319"/>
      <c r="D122" s="3352" t="e">
        <f ca="1">H107</f>
        <v>#REF!</v>
      </c>
      <c r="E122" s="3353"/>
      <c r="F122" s="3353"/>
      <c r="G122" s="3353"/>
      <c r="H122" s="3353"/>
      <c r="I122" s="3354"/>
      <c r="AA122" s="683"/>
    </row>
    <row r="123" spans="1:27" ht="18.75" customHeight="1">
      <c r="A123" s="3288" t="s">
        <v>1452</v>
      </c>
      <c r="B123" s="3288"/>
      <c r="C123" s="3288"/>
      <c r="D123" s="3328" t="e">
        <f ca="1">NUMBERSTRING(INT(D122*10000),2)&amp;"元整"</f>
        <v>#REF!</v>
      </c>
      <c r="E123" s="3329"/>
      <c r="F123" s="3329"/>
      <c r="G123" s="3329"/>
      <c r="H123" s="3329"/>
      <c r="I123" s="3330"/>
      <c r="AA123" s="683"/>
    </row>
    <row r="124" spans="1:27" ht="18.75" customHeight="1">
      <c r="A124" s="3319" t="str">
        <f>IF(项目基本情况!B9="房地产市场价值","",MID(E109,3,LEN(E109)-2))</f>
        <v/>
      </c>
      <c r="B124" s="3319"/>
      <c r="C124" s="3319"/>
      <c r="D124" s="3352" t="str">
        <f>H109</f>
        <v>——</v>
      </c>
      <c r="E124" s="3353"/>
      <c r="F124" s="3353"/>
      <c r="G124" s="3353"/>
      <c r="H124" s="3353"/>
      <c r="I124" s="3354"/>
      <c r="AA124" s="683"/>
    </row>
    <row r="125" spans="1:27" ht="18.75" customHeight="1">
      <c r="A125" s="3288" t="s">
        <v>1452</v>
      </c>
      <c r="B125" s="3288"/>
      <c r="C125" s="3288"/>
      <c r="D125" s="3328" t="e">
        <f>NUMBERSTRING(INT(D124*10000),2)&amp;"元整"</f>
        <v>#VALUE!</v>
      </c>
      <c r="E125" s="3329"/>
      <c r="F125" s="3329"/>
      <c r="G125" s="3329"/>
      <c r="H125" s="3329"/>
      <c r="I125" s="3330"/>
      <c r="AA125" s="683"/>
    </row>
    <row r="126" spans="1:27" ht="18.75" customHeight="1">
      <c r="A126" s="3319" t="str">
        <f>IF(项目基本情况!B9="房地产市场价值","",MID(E111,3,LEN(E111)-2))</f>
        <v/>
      </c>
      <c r="B126" s="3319"/>
      <c r="C126" s="3319"/>
      <c r="D126" s="3352" t="str">
        <f>H111</f>
        <v>——</v>
      </c>
      <c r="E126" s="3353"/>
      <c r="F126" s="3353"/>
      <c r="G126" s="3353"/>
      <c r="H126" s="3353"/>
      <c r="I126" s="3354"/>
      <c r="AA126" s="683"/>
    </row>
    <row r="127" spans="1:27" ht="18.75" customHeight="1">
      <c r="A127" s="3288" t="s">
        <v>1452</v>
      </c>
      <c r="B127" s="3288"/>
      <c r="C127" s="3288"/>
      <c r="D127" s="3328" t="e">
        <f>NUMBERSTRING(INT(D126*10000),2)&amp;"元整"</f>
        <v>#VALUE!</v>
      </c>
      <c r="E127" s="3329"/>
      <c r="F127" s="3329"/>
      <c r="G127" s="3329"/>
      <c r="H127" s="3329"/>
      <c r="I127" s="3330"/>
      <c r="AA127" s="683"/>
    </row>
    <row r="128" spans="1:27" ht="21.75" customHeight="1">
      <c r="A128" s="3335" t="s">
        <v>1453</v>
      </c>
      <c r="B128" s="3335"/>
      <c r="C128" s="3335"/>
      <c r="D128" s="3335"/>
      <c r="E128" s="3335"/>
      <c r="F128" s="3335"/>
      <c r="G128" s="3335"/>
      <c r="H128" s="3335"/>
      <c r="I128" s="333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6" t="str">
        <f>项目基本情况!B1</f>
        <v>北京市房地产抵押价值预评估</v>
      </c>
      <c r="C37" s="3186"/>
      <c r="D37" s="3186"/>
      <c r="E37" s="3186"/>
      <c r="F37" s="3186"/>
      <c r="G37" s="3186"/>
      <c r="H37" s="3186"/>
      <c r="I37" s="318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85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6124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2.7757999999999998</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2.7757999999999998</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v>
      </c>
      <c r="D10" s="794">
        <f ca="1">IF(B1="",'数据-汇总表'!E6,IF(INDIRECT("'数据-取费表'!c"&amp;$G$1)="住宅",INDIRECT("'数据-取费表'!s"&amp;$G$1),INDIRECT("'数据-取费表'!k"&amp;$G$1)+INDIRECT("'数据-取费表'!s"&amp;$G$1)))</f>
        <v>138.79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138.79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v>
      </c>
      <c r="D37" s="209">
        <f ca="1">D19</f>
        <v>138.79</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68" t="s">
        <v>1544</v>
      </c>
    </row>
    <row r="43" spans="1:7" ht="13.5" customHeight="1">
      <c r="A43" s="733" t="s">
        <v>347</v>
      </c>
      <c r="B43" s="207" t="s">
        <v>1545</v>
      </c>
      <c r="C43" s="230">
        <f ca="1">ROUND(IF('数据-取费表'!B22&lt;=1,C39*F22*'数据-取费表'!B21/2,C39*(POWER((1+F22),'数据-取费表'!B21/2)-1)),0)</f>
        <v>0</v>
      </c>
      <c r="D43" s="230"/>
      <c r="E43" s="230"/>
      <c r="F43" s="231"/>
      <c r="G43" s="3369"/>
    </row>
    <row r="44" spans="1:7" ht="13.5" customHeight="1">
      <c r="A44" s="733"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14</v>
      </c>
      <c r="D45" s="227">
        <f ca="1">C47</f>
        <v>4.0000000000000001E-3</v>
      </c>
      <c r="E45" s="228" t="s">
        <v>1539</v>
      </c>
      <c r="F45" s="238">
        <f ca="1">F27</f>
        <v>0.2</v>
      </c>
      <c r="G45" s="239" t="s">
        <v>1548</v>
      </c>
    </row>
    <row r="46" spans="1:7" s="206" customFormat="1" ht="13.5" customHeight="1">
      <c r="A46" s="733" t="s">
        <v>346</v>
      </c>
      <c r="B46" s="240" t="s">
        <v>1549</v>
      </c>
      <c r="C46" s="241">
        <f ca="1">ROUND((C33+C39)*F27,0)</f>
        <v>14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78</v>
      </c>
      <c r="D51" s="224"/>
      <c r="E51" s="224"/>
      <c r="F51" s="256"/>
      <c r="G51" s="226" t="s">
        <v>1560</v>
      </c>
    </row>
    <row r="52" spans="1:7" s="200" customFormat="1" ht="16.5" thickBot="1">
      <c r="A52" s="257" t="s">
        <v>1561</v>
      </c>
      <c r="B52" s="258"/>
      <c r="C52" s="259">
        <f ca="1">C31+C51</f>
        <v>85</v>
      </c>
      <c r="D52" s="258"/>
      <c r="E52" s="258"/>
      <c r="F52" s="258"/>
      <c r="G52" s="260"/>
    </row>
    <row r="55" spans="1:7" ht="15">
      <c r="B55" s="262" t="s">
        <v>1562</v>
      </c>
      <c r="C55" s="263"/>
    </row>
    <row r="56" spans="1:7">
      <c r="B56" s="265" t="s">
        <v>802</v>
      </c>
      <c r="C56" s="267">
        <f ca="1">1-C57</f>
        <v>8.1999999999999962E-2</v>
      </c>
    </row>
    <row r="57" spans="1:7">
      <c r="B57" s="265" t="s">
        <v>803</v>
      </c>
      <c r="C57" s="266">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138.79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138.79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0.22420000000000018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138.79</v>
      </c>
      <c r="E20" s="21">
        <f>'数据-取费表'!B28</f>
        <v>200</v>
      </c>
      <c r="F20" s="755"/>
      <c r="G20" s="12"/>
      <c r="H20" s="760"/>
      <c r="I20" s="760"/>
      <c r="J20" s="760"/>
      <c r="K20" s="761"/>
    </row>
    <row r="21" spans="1:33" s="754" customFormat="1" ht="13.5" customHeight="1">
      <c r="A21" s="743" t="s">
        <v>357</v>
      </c>
      <c r="B21" s="764" t="s">
        <v>1628</v>
      </c>
      <c r="C21" s="765">
        <f ca="1">C16+C17+C18</f>
        <v>0.22420000000000018</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3" t="s">
        <v>694</v>
      </c>
      <c r="C6" s="1010">
        <f ca="1">ROUND(F6*F8*F7*(1-F9)/10000,0)</f>
        <v>0</v>
      </c>
      <c r="D6" s="147" t="s">
        <v>2108</v>
      </c>
      <c r="E6" s="294" t="s">
        <v>696</v>
      </c>
      <c r="F6" s="295">
        <f ca="1">INDIRECT("'数据-取费表'!u"&amp;$G$1)</f>
        <v>0</v>
      </c>
      <c r="G6" s="1291"/>
      <c r="H6" s="1005" t="s">
        <v>398</v>
      </c>
      <c r="I6" s="3373" t="s">
        <v>694</v>
      </c>
      <c r="J6" s="293">
        <f ca="1">ROUND(M6*M8*M7*(1-M9)/10000,0)</f>
        <v>0</v>
      </c>
      <c r="K6" s="147" t="s">
        <v>2107</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0</v>
      </c>
      <c r="G7" s="1291"/>
      <c r="H7" s="296"/>
      <c r="I7" s="3374"/>
      <c r="J7" s="298"/>
      <c r="K7" s="299"/>
      <c r="L7" s="294" t="s">
        <v>697</v>
      </c>
      <c r="M7" s="295">
        <f ca="1">F7</f>
        <v>0</v>
      </c>
    </row>
    <row r="8" spans="1:37" ht="18" customHeight="1">
      <c r="A8" s="296"/>
      <c r="B8" s="3374"/>
      <c r="C8" s="298"/>
      <c r="D8" s="299"/>
      <c r="E8" s="294" t="s">
        <v>698</v>
      </c>
      <c r="F8" s="295">
        <f ca="1">INDIRECT("'数据-取费表'!ai"&amp;$G$1)</f>
        <v>0</v>
      </c>
      <c r="G8" s="1291"/>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71" t="s">
        <v>837</v>
      </c>
      <c r="L53" s="3372"/>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8" zoomScale="85" zoomScaleNormal="70" zoomScaleSheetLayoutView="85" workbookViewId="0">
      <selection activeCell="C50" sqref="C5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3425</v>
      </c>
      <c r="E1" s="3124" t="s">
        <v>3445</v>
      </c>
      <c r="F1" s="1734" t="s">
        <v>3446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551.71799999999996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39752</v>
      </c>
      <c r="C3" s="344" t="s">
        <v>1768</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77" t="s">
        <v>1773</v>
      </c>
      <c r="W4" s="3377"/>
      <c r="X4" s="1264"/>
      <c r="Y4" s="3404" t="s">
        <v>1775</v>
      </c>
      <c r="Z4" s="3405"/>
      <c r="AA4" s="3391" t="s">
        <v>1771</v>
      </c>
      <c r="AB4" s="3377" t="s">
        <v>1772</v>
      </c>
      <c r="AC4" s="3391" t="s">
        <v>1773</v>
      </c>
    </row>
    <row r="5" spans="1:29" ht="15">
      <c r="A5" s="348"/>
      <c r="B5" s="349"/>
      <c r="C5" s="3417" t="s">
        <v>1673</v>
      </c>
      <c r="D5" s="3413"/>
      <c r="E5" s="3420" t="s">
        <v>3447</v>
      </c>
      <c r="F5" s="3421"/>
      <c r="G5" s="3412" t="s">
        <v>3448</v>
      </c>
      <c r="H5" s="3413"/>
      <c r="I5" s="3412" t="s">
        <v>3449</v>
      </c>
      <c r="J5" s="3413"/>
      <c r="K5" s="537"/>
      <c r="L5" s="2486"/>
      <c r="M5" s="2487"/>
      <c r="N5" s="2487"/>
      <c r="O5" s="2487"/>
      <c r="P5" s="3400"/>
      <c r="Q5" s="3401"/>
      <c r="R5" s="3406"/>
      <c r="S5" s="3407"/>
      <c r="T5" s="3406"/>
      <c r="U5" s="3407"/>
      <c r="V5" s="3377"/>
      <c r="W5" s="3377"/>
      <c r="X5" s="1264"/>
      <c r="Y5" s="3406"/>
      <c r="Z5" s="3407"/>
      <c r="AA5" s="3392"/>
      <c r="AB5" s="3377"/>
      <c r="AC5" s="3392"/>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02"/>
      <c r="Q6" s="3403"/>
      <c r="R6" s="3406"/>
      <c r="S6" s="3407"/>
      <c r="T6" s="3408"/>
      <c r="U6" s="3409"/>
      <c r="V6" s="3377"/>
      <c r="W6" s="3377"/>
      <c r="X6" s="1264"/>
      <c r="Y6" s="3408"/>
      <c r="Z6" s="3409"/>
      <c r="AA6" s="3393"/>
      <c r="AB6" s="3377"/>
      <c r="AC6" s="3393"/>
    </row>
    <row r="7" spans="1:29" s="102" customFormat="1" ht="15.7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414" t="s">
        <v>1680</v>
      </c>
      <c r="Q7" s="3416"/>
      <c r="R7" s="663" t="s">
        <v>14</v>
      </c>
      <c r="S7" s="664">
        <f t="shared" ref="S7:S15" si="0">F7</f>
        <v>100</v>
      </c>
      <c r="T7" s="663" t="s">
        <v>14</v>
      </c>
      <c r="U7" s="664">
        <f t="shared" ref="U7:U15" si="1">H7</f>
        <v>100</v>
      </c>
      <c r="V7" s="663" t="s">
        <v>14</v>
      </c>
      <c r="W7" s="664">
        <f t="shared" ref="W7:W15" si="2">J7</f>
        <v>100</v>
      </c>
      <c r="X7" s="665"/>
      <c r="Y7" s="3414" t="s">
        <v>1680</v>
      </c>
      <c r="Z7" s="3415"/>
      <c r="AA7" s="50">
        <f>D7/F7</f>
        <v>1</v>
      </c>
      <c r="AB7" s="50">
        <f>D7/H7</f>
        <v>1</v>
      </c>
      <c r="AC7" s="50">
        <f>D7/J7</f>
        <v>1</v>
      </c>
    </row>
    <row r="8" spans="1:29" s="102" customFormat="1" ht="15.75" thickBot="1">
      <c r="A8" s="352" t="s">
        <v>1681</v>
      </c>
      <c r="B8" s="353"/>
      <c r="C8" s="358" t="s">
        <v>3450</v>
      </c>
      <c r="D8" s="355">
        <v>100</v>
      </c>
      <c r="E8" s="358" t="s">
        <v>3486</v>
      </c>
      <c r="F8" s="357">
        <f>SUMIF(61:61,E8,62:62)-SUMIF(61:61,C8,62:62)+100</f>
        <v>102</v>
      </c>
      <c r="G8" s="358" t="s">
        <v>3486</v>
      </c>
      <c r="H8" s="355">
        <f>SUMIF(61:61,G8,62:62)-SUMIF(61:61,C8,62:62)+100</f>
        <v>102</v>
      </c>
      <c r="I8" s="358" t="s">
        <v>3486</v>
      </c>
      <c r="J8" s="355">
        <f>SUMIF(61:61,I8,62:62)-SUMIF(61:61,C8,62:62)+100</f>
        <v>102</v>
      </c>
      <c r="K8" s="38"/>
      <c r="L8" s="2488"/>
      <c r="M8" s="2439"/>
      <c r="N8" s="2439"/>
      <c r="O8" s="2439"/>
      <c r="P8" s="3414" t="s">
        <v>1683</v>
      </c>
      <c r="Q8" s="3415"/>
      <c r="R8" s="663" t="s">
        <v>14</v>
      </c>
      <c r="S8" s="664">
        <f t="shared" si="0"/>
        <v>102</v>
      </c>
      <c r="T8" s="663" t="s">
        <v>14</v>
      </c>
      <c r="U8" s="664">
        <f t="shared" si="1"/>
        <v>102</v>
      </c>
      <c r="V8" s="663" t="s">
        <v>14</v>
      </c>
      <c r="W8" s="664">
        <f t="shared" si="2"/>
        <v>102</v>
      </c>
      <c r="X8" s="665"/>
      <c r="Y8" s="3414" t="s">
        <v>1683</v>
      </c>
      <c r="Z8" s="341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82" t="s">
        <v>3487</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0"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132" t="s">
        <v>3515</v>
      </c>
      <c r="D10" s="119">
        <v>100</v>
      </c>
      <c r="E10" s="3133" t="s">
        <v>3516</v>
      </c>
      <c r="F10" s="364">
        <f>SUMIF(65:65,E10,66:66)-SUMIF(65:65,C10,66:66)+100</f>
        <v>105</v>
      </c>
      <c r="G10" s="3132" t="s">
        <v>3515</v>
      </c>
      <c r="H10" s="119">
        <f>SUMIF(65:65,G10,66:66)-SUMIF(65:65,C10,66:66)+100</f>
        <v>100</v>
      </c>
      <c r="I10" s="3132" t="s">
        <v>3517</v>
      </c>
      <c r="J10" s="119">
        <f>SUMIF(65:65,I10,66:66)-SUMIF(65:65,C10,66:66)+100</f>
        <v>95</v>
      </c>
      <c r="K10" s="38"/>
      <c r="L10" s="2489"/>
      <c r="M10" s="2490"/>
      <c r="N10" s="2490"/>
      <c r="O10" s="2490"/>
      <c r="P10" s="3390"/>
      <c r="Q10" s="530" t="str">
        <f t="shared" si="6"/>
        <v>土地使用年限（年）</v>
      </c>
      <c r="R10" s="663" t="s">
        <v>14</v>
      </c>
      <c r="S10" s="664">
        <f t="shared" si="0"/>
        <v>105</v>
      </c>
      <c r="T10" s="663" t="s">
        <v>14</v>
      </c>
      <c r="U10" s="664">
        <f t="shared" si="1"/>
        <v>100</v>
      </c>
      <c r="V10" s="663" t="s">
        <v>14</v>
      </c>
      <c r="W10" s="664">
        <f t="shared" si="2"/>
        <v>95</v>
      </c>
      <c r="X10" s="665"/>
      <c r="Y10" s="3275"/>
      <c r="Z10" s="50" t="str">
        <f t="shared" si="7"/>
        <v>土地使用年限（年）</v>
      </c>
      <c r="AA10" s="50">
        <f t="shared" si="3"/>
        <v>0.95238095238095233</v>
      </c>
      <c r="AB10" s="50">
        <f t="shared" si="4"/>
        <v>1</v>
      </c>
      <c r="AC10" s="50">
        <f t="shared" si="5"/>
        <v>1.0526315789473684</v>
      </c>
    </row>
    <row r="11" spans="1:29" ht="15">
      <c r="A11" s="367"/>
      <c r="B11" s="364" t="s">
        <v>1689</v>
      </c>
      <c r="C11" s="368">
        <f>'数据-汇总表'!I7</f>
        <v>5.99</v>
      </c>
      <c r="D11" s="119">
        <v>100</v>
      </c>
      <c r="E11" s="369">
        <v>8.3000000000000007</v>
      </c>
      <c r="F11" s="364">
        <f>LOOKUP(E11,68:68,69:69)-LOOKUP(C11,68:68,69:69)+100</f>
        <v>100</v>
      </c>
      <c r="G11" s="368">
        <v>9</v>
      </c>
      <c r="H11" s="119">
        <f>LOOKUP(G11,68:68,69:69)-LOOKUP(C11,68:68,69:69)+100</f>
        <v>100</v>
      </c>
      <c r="I11" s="368">
        <v>4.7</v>
      </c>
      <c r="J11" s="119">
        <f>LOOKUP(I11,68:68,69:69)-LOOKUP(C11,68:68,69:69)+100</f>
        <v>100</v>
      </c>
      <c r="K11" s="538">
        <v>0</v>
      </c>
      <c r="L11" s="2491"/>
      <c r="M11" s="2487"/>
      <c r="N11" s="2487"/>
      <c r="O11" s="2487"/>
      <c r="P11" s="3390"/>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50">
        <f t="shared" si="5"/>
        <v>1</v>
      </c>
    </row>
    <row r="12" spans="1:29" s="102" customFormat="1" ht="15.75" thickBot="1">
      <c r="A12" s="370"/>
      <c r="B12" s="3185" t="s">
        <v>3500</v>
      </c>
      <c r="C12" s="371">
        <f>项目基本情况!D15</f>
        <v>24.02</v>
      </c>
      <c r="D12" s="372">
        <v>100</v>
      </c>
      <c r="E12" s="373">
        <f>2052-2025</f>
        <v>27</v>
      </c>
      <c r="F12" s="364">
        <f>SUMIF(70:70,E12,71:71)-SUMIF(70:70,C12,71:71)+100</f>
        <v>100</v>
      </c>
      <c r="G12" s="373">
        <f>2046-2025</f>
        <v>21</v>
      </c>
      <c r="H12" s="119">
        <f>SUMIF(70:70,G12,71:71)-SUMIF(70:70,C12,71:71)+100</f>
        <v>100</v>
      </c>
      <c r="I12" s="373">
        <f>2044-2025</f>
        <v>19</v>
      </c>
      <c r="J12" s="119">
        <f>SUMIF(70:70,I12,71:71)-SUMIF(70:70,C12,71:71)+100</f>
        <v>100</v>
      </c>
      <c r="K12" s="539"/>
      <c r="L12" s="2488"/>
      <c r="M12" s="2439"/>
      <c r="N12" s="2439"/>
      <c r="O12" s="2439"/>
      <c r="P12" s="3390"/>
      <c r="Q12" s="530" t="str">
        <f t="shared" si="6"/>
        <v>土地剩余年期</v>
      </c>
      <c r="R12" s="663" t="s">
        <v>14</v>
      </c>
      <c r="S12" s="664">
        <f t="shared" si="0"/>
        <v>100</v>
      </c>
      <c r="T12" s="663" t="s">
        <v>14</v>
      </c>
      <c r="U12" s="664">
        <f t="shared" si="1"/>
        <v>100</v>
      </c>
      <c r="V12" s="663" t="s">
        <v>14</v>
      </c>
      <c r="W12" s="664">
        <f t="shared" si="2"/>
        <v>100</v>
      </c>
      <c r="X12" s="665"/>
      <c r="Y12" s="3275"/>
      <c r="Z12" s="50" t="str">
        <f t="shared" si="7"/>
        <v>土地剩余年期</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105</v>
      </c>
      <c r="I15" s="381"/>
      <c r="J15" s="380">
        <f>SUMIF(76:76,I16,77:77)-SUMIF(76:76,C16,77:77)+100</f>
        <v>95</v>
      </c>
      <c r="K15" s="540">
        <v>5</v>
      </c>
      <c r="L15" s="2492"/>
      <c r="M15" s="2487"/>
      <c r="N15" s="2487"/>
      <c r="O15" s="2487"/>
      <c r="P15" s="3381" t="s">
        <v>1691</v>
      </c>
      <c r="Q15" s="1262" t="str">
        <f t="shared" si="6"/>
        <v>商业繁华度</v>
      </c>
      <c r="R15" s="666" t="s">
        <v>14</v>
      </c>
      <c r="S15" s="667">
        <f t="shared" si="0"/>
        <v>100</v>
      </c>
      <c r="T15" s="666" t="s">
        <v>14</v>
      </c>
      <c r="U15" s="667">
        <f t="shared" si="1"/>
        <v>105</v>
      </c>
      <c r="V15" s="666" t="s">
        <v>14</v>
      </c>
      <c r="W15" s="667">
        <f t="shared" si="2"/>
        <v>95</v>
      </c>
      <c r="X15" s="1264"/>
      <c r="Y15" s="3383" t="s">
        <v>1691</v>
      </c>
      <c r="Z15" s="1263" t="str">
        <f t="shared" si="7"/>
        <v>商业繁华度</v>
      </c>
      <c r="AA15" s="1263">
        <f t="shared" si="3"/>
        <v>1</v>
      </c>
      <c r="AB15" s="1263">
        <f t="shared" si="4"/>
        <v>0.95238095238095233</v>
      </c>
      <c r="AC15" s="1263">
        <f t="shared" si="5"/>
        <v>1.0526315789473684</v>
      </c>
    </row>
    <row r="16" spans="1:29" ht="15">
      <c r="A16" s="367"/>
      <c r="B16" s="385"/>
      <c r="C16" s="386" t="s">
        <v>3488</v>
      </c>
      <c r="D16" s="387"/>
      <c r="E16" s="386" t="s">
        <v>3488</v>
      </c>
      <c r="F16" s="388"/>
      <c r="G16" s="386" t="s">
        <v>3501</v>
      </c>
      <c r="H16" s="389"/>
      <c r="I16" s="386" t="s">
        <v>3463</v>
      </c>
      <c r="J16" s="387"/>
      <c r="K16" s="541"/>
      <c r="L16" s="2492"/>
      <c r="M16" s="2487"/>
      <c r="N16" s="2487"/>
      <c r="O16" s="2487"/>
      <c r="P16" s="3382"/>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2"/>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395"/>
      <c r="C18" s="1754" t="s">
        <v>3488</v>
      </c>
      <c r="D18" s="389"/>
      <c r="E18" s="1754" t="s">
        <v>3488</v>
      </c>
      <c r="F18" s="392"/>
      <c r="G18" s="1754" t="s">
        <v>3488</v>
      </c>
      <c r="H18" s="387"/>
      <c r="I18" s="1754" t="s">
        <v>3488</v>
      </c>
      <c r="J18" s="387"/>
      <c r="K18" s="541"/>
      <c r="L18" s="2492"/>
      <c r="M18" s="2487"/>
      <c r="N18" s="2487"/>
      <c r="O18" s="2487"/>
      <c r="P18" s="3382"/>
      <c r="Q18" s="1262"/>
      <c r="R18" s="666"/>
      <c r="S18" s="667"/>
      <c r="T18" s="666"/>
      <c r="U18" s="667"/>
      <c r="V18" s="666"/>
      <c r="W18" s="667"/>
      <c r="X18" s="1264"/>
      <c r="Y18" s="338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2"/>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7"/>
      <c r="B20" s="395"/>
      <c r="C20" s="1754" t="s">
        <v>3488</v>
      </c>
      <c r="D20" s="387"/>
      <c r="E20" s="1754" t="s">
        <v>3488</v>
      </c>
      <c r="F20" s="388"/>
      <c r="G20" s="1754" t="s">
        <v>3488</v>
      </c>
      <c r="H20" s="387"/>
      <c r="I20" s="1754" t="s">
        <v>3488</v>
      </c>
      <c r="J20" s="387"/>
      <c r="K20" s="541"/>
      <c r="L20" s="2492"/>
      <c r="M20" s="2487"/>
      <c r="N20" s="2487"/>
      <c r="O20" s="2487"/>
      <c r="P20" s="3382"/>
      <c r="Q20" s="1262"/>
      <c r="R20" s="666"/>
      <c r="S20" s="667"/>
      <c r="T20" s="666"/>
      <c r="U20" s="667"/>
      <c r="V20" s="666"/>
      <c r="W20" s="667"/>
      <c r="X20" s="1264"/>
      <c r="Y20" s="3384"/>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t="s">
        <v>3476</v>
      </c>
      <c r="D22" s="387"/>
      <c r="E22" s="1754" t="s">
        <v>3476</v>
      </c>
      <c r="F22" s="388"/>
      <c r="G22" s="1754" t="s">
        <v>3476</v>
      </c>
      <c r="H22" s="387"/>
      <c r="I22" s="1754" t="s">
        <v>3476</v>
      </c>
      <c r="J22" s="387"/>
      <c r="K22" s="1063"/>
      <c r="L22" s="2492"/>
      <c r="M22" s="2487"/>
      <c r="N22" s="2487"/>
      <c r="O22" s="2487"/>
      <c r="P22" s="3382"/>
      <c r="Q22" s="1262"/>
      <c r="R22" s="666"/>
      <c r="S22" s="667"/>
      <c r="T22" s="666"/>
      <c r="U22" s="667"/>
      <c r="V22" s="666"/>
      <c r="W22" s="667"/>
      <c r="X22" s="1264"/>
      <c r="Y22" s="338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2"/>
      <c r="Q23" s="1262" t="str">
        <f>B23</f>
        <v>自然及人文环境</v>
      </c>
      <c r="R23" s="666" t="s">
        <v>14</v>
      </c>
      <c r="S23" s="667">
        <f>F23</f>
        <v>100</v>
      </c>
      <c r="T23" s="666" t="s">
        <v>14</v>
      </c>
      <c r="U23" s="667">
        <f>H23</f>
        <v>100</v>
      </c>
      <c r="V23" s="666" t="s">
        <v>14</v>
      </c>
      <c r="W23" s="667">
        <f>J23</f>
        <v>100</v>
      </c>
      <c r="X23" s="1264"/>
      <c r="Y23" s="3384"/>
      <c r="Z23" s="1263" t="str">
        <f>Q23</f>
        <v>自然及人文环境</v>
      </c>
      <c r="AA23" s="1263">
        <f t="shared" si="3"/>
        <v>1</v>
      </c>
      <c r="AB23" s="1263">
        <f t="shared" si="4"/>
        <v>1</v>
      </c>
      <c r="AC23" s="1263">
        <f t="shared" si="5"/>
        <v>1</v>
      </c>
    </row>
    <row r="24" spans="1:29" ht="15">
      <c r="A24" s="367"/>
      <c r="B24" s="395"/>
      <c r="C24" s="386" t="s">
        <v>3488</v>
      </c>
      <c r="D24" s="387"/>
      <c r="E24" s="386" t="s">
        <v>3488</v>
      </c>
      <c r="F24" s="388"/>
      <c r="G24" s="386" t="s">
        <v>3488</v>
      </c>
      <c r="H24" s="387"/>
      <c r="I24" s="386" t="s">
        <v>3488</v>
      </c>
      <c r="J24" s="387"/>
      <c r="K24" s="541"/>
      <c r="L24" s="2492"/>
      <c r="M24" s="2487"/>
      <c r="N24" s="2487"/>
      <c r="O24" s="2487"/>
      <c r="P24" s="3382"/>
      <c r="Q24" s="1262"/>
      <c r="R24" s="666"/>
      <c r="S24" s="667"/>
      <c r="T24" s="666"/>
      <c r="U24" s="667"/>
      <c r="V24" s="666"/>
      <c r="W24" s="667"/>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382"/>
      <c r="Q25" s="1262" t="str">
        <f t="shared" ref="Q25:Q46" si="11">B25</f>
        <v>临街状况</v>
      </c>
      <c r="R25" s="666" t="s">
        <v>14</v>
      </c>
      <c r="S25" s="667">
        <f>F25</f>
        <v>100</v>
      </c>
      <c r="T25" s="666" t="s">
        <v>14</v>
      </c>
      <c r="U25" s="667">
        <f>H25</f>
        <v>100</v>
      </c>
      <c r="V25" s="666" t="s">
        <v>14</v>
      </c>
      <c r="W25" s="667">
        <f>J25</f>
        <v>100</v>
      </c>
      <c r="X25" s="1264"/>
      <c r="Y25" s="3384"/>
      <c r="Z25" s="1263" t="str">
        <f>Q25</f>
        <v>临街状况</v>
      </c>
      <c r="AA25" s="1263">
        <f t="shared" si="3"/>
        <v>1</v>
      </c>
      <c r="AB25" s="1263">
        <f t="shared" si="4"/>
        <v>1</v>
      </c>
      <c r="AC25" s="1263">
        <f t="shared" si="5"/>
        <v>1</v>
      </c>
    </row>
    <row r="26" spans="1:29" ht="15">
      <c r="A26" s="367"/>
      <c r="B26" s="1065" t="s">
        <v>1781</v>
      </c>
      <c r="C26" s="3183" t="s">
        <v>3495</v>
      </c>
      <c r="D26" s="374">
        <v>100</v>
      </c>
      <c r="E26" s="3183" t="s">
        <v>3495</v>
      </c>
      <c r="F26" s="400">
        <f>SUMIF(88:88,E26,89:89)-SUMIF(88:88,C26,89:89)+100</f>
        <v>100</v>
      </c>
      <c r="G26" s="3183" t="s">
        <v>3489</v>
      </c>
      <c r="H26" s="374">
        <f>SUMIF(88:88,G26,89:89)-SUMIF(88:88,C26,89:89)+100</f>
        <v>105</v>
      </c>
      <c r="I26" s="3183" t="s">
        <v>3495</v>
      </c>
      <c r="J26" s="374">
        <f>SUMIF(88:88,I26,89:89)-SUMIF(88:88,C26,89:89)+100</f>
        <v>100</v>
      </c>
      <c r="K26" s="539"/>
      <c r="L26" s="2492"/>
      <c r="M26" s="2487"/>
      <c r="N26" s="2487"/>
      <c r="O26" s="2487"/>
      <c r="P26" s="3382"/>
      <c r="Q26" s="1262" t="str">
        <f t="shared" si="11"/>
        <v>平面位置/可视性</v>
      </c>
      <c r="R26" s="666" t="s">
        <v>14</v>
      </c>
      <c r="S26" s="667">
        <f>F26</f>
        <v>100</v>
      </c>
      <c r="T26" s="666" t="s">
        <v>14</v>
      </c>
      <c r="U26" s="667">
        <f>H26</f>
        <v>105</v>
      </c>
      <c r="V26" s="666" t="s">
        <v>14</v>
      </c>
      <c r="W26" s="667">
        <f>J26</f>
        <v>100</v>
      </c>
      <c r="X26" s="1264"/>
      <c r="Y26" s="3384"/>
      <c r="Z26" s="1263" t="str">
        <f>Q26</f>
        <v>平面位置/可视性</v>
      </c>
      <c r="AA26" s="1263">
        <f t="shared" si="3"/>
        <v>1</v>
      </c>
      <c r="AB26" s="1263">
        <f t="shared" si="4"/>
        <v>0.95238095238095233</v>
      </c>
      <c r="AC26" s="1263">
        <f t="shared" si="5"/>
        <v>1</v>
      </c>
    </row>
    <row r="27" spans="1:29" s="102" customFormat="1" ht="15">
      <c r="A27" s="370"/>
      <c r="B27" s="390" t="s">
        <v>1782</v>
      </c>
      <c r="C27" s="1806" t="s">
        <v>3462</v>
      </c>
      <c r="D27" s="401">
        <v>100</v>
      </c>
      <c r="E27" s="1806" t="s">
        <v>3462</v>
      </c>
      <c r="F27" s="395">
        <f>SUMIF(90:90,E27,91:91)-SUMIF(90:90,C27,91:91)+100</f>
        <v>100</v>
      </c>
      <c r="G27" s="1806" t="s">
        <v>3461</v>
      </c>
      <c r="H27" s="401">
        <f>SUMIF(90:90,G27,91:91)-SUMIF(90:90,C27,91:91)+100</f>
        <v>105</v>
      </c>
      <c r="I27" s="1806" t="s">
        <v>3463</v>
      </c>
      <c r="J27" s="401">
        <f>SUMIF(90:90,I27,91:91)-SUMIF(90:90,C27,91:91)+100</f>
        <v>95</v>
      </c>
      <c r="K27" s="538">
        <v>5</v>
      </c>
      <c r="L27" s="2488"/>
      <c r="M27" s="2439"/>
      <c r="N27" s="2439"/>
      <c r="O27" s="2439"/>
      <c r="P27" s="3382"/>
      <c r="Q27" s="530" t="str">
        <f t="shared" si="11"/>
        <v>人流量</v>
      </c>
      <c r="R27" s="663" t="s">
        <v>14</v>
      </c>
      <c r="S27" s="664">
        <f>F27</f>
        <v>100</v>
      </c>
      <c r="T27" s="663" t="s">
        <v>14</v>
      </c>
      <c r="U27" s="664">
        <f>H27</f>
        <v>105</v>
      </c>
      <c r="V27" s="663" t="s">
        <v>14</v>
      </c>
      <c r="W27" s="664">
        <f>J27</f>
        <v>95</v>
      </c>
      <c r="X27" s="665"/>
      <c r="Y27" s="3384"/>
      <c r="Z27" s="50" t="str">
        <f>Q27</f>
        <v>人流量</v>
      </c>
      <c r="AA27" s="1263">
        <f>D27/F27</f>
        <v>1</v>
      </c>
      <c r="AB27" s="1263">
        <f>D27/H27</f>
        <v>0.95238095238095233</v>
      </c>
      <c r="AC27" s="1263">
        <f>D27/J27</f>
        <v>1.0526315789473684</v>
      </c>
    </row>
    <row r="28" spans="1:29" ht="15.75" thickBot="1">
      <c r="A28" s="367"/>
      <c r="B28" s="364" t="s">
        <v>1783</v>
      </c>
      <c r="C28" s="542" t="s">
        <v>3491</v>
      </c>
      <c r="D28" s="374">
        <v>100</v>
      </c>
      <c r="E28" s="542" t="s">
        <v>3491</v>
      </c>
      <c r="F28" s="400">
        <f>SUMIF(92:92,E28,93:93)-SUMIF(92:92,C28,93:93)+100</f>
        <v>100</v>
      </c>
      <c r="G28" s="542" t="s">
        <v>3491</v>
      </c>
      <c r="H28" s="374">
        <f>SUMIF(92:92,G28,93:93)-SUMIF(92:92,C28,93:93)+100</f>
        <v>100</v>
      </c>
      <c r="I28" s="542" t="s">
        <v>3491</v>
      </c>
      <c r="J28" s="374">
        <f>SUMIF(92:92,I28,93:93)-SUMIF(92:92,C28,93:93)+100</f>
        <v>100</v>
      </c>
      <c r="K28" s="539"/>
      <c r="L28" s="2492"/>
      <c r="M28" s="2487"/>
      <c r="N28" s="2487"/>
      <c r="O28" s="2487"/>
      <c r="P28" s="338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4"/>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2"/>
      <c r="Q29" s="1262">
        <f t="shared" si="11"/>
        <v>111</v>
      </c>
      <c r="R29" s="666" t="s">
        <v>14</v>
      </c>
      <c r="S29" s="667">
        <f t="shared" si="12"/>
        <v>100</v>
      </c>
      <c r="T29" s="666" t="s">
        <v>14</v>
      </c>
      <c r="U29" s="667">
        <f t="shared" si="13"/>
        <v>100</v>
      </c>
      <c r="V29" s="666" t="s">
        <v>14</v>
      </c>
      <c r="W29" s="667">
        <f t="shared" si="14"/>
        <v>100</v>
      </c>
      <c r="X29" s="1264"/>
      <c r="Y29" s="3384"/>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2"/>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2"/>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263">
        <f t="shared" si="5"/>
        <v>1</v>
      </c>
    </row>
    <row r="32" spans="1:29" ht="15">
      <c r="A32" s="379" t="s">
        <v>1694</v>
      </c>
      <c r="B32" s="60" t="s">
        <v>1784</v>
      </c>
      <c r="C32" s="1763" t="s">
        <v>3471</v>
      </c>
      <c r="D32" s="405">
        <v>100</v>
      </c>
      <c r="E32" s="1763" t="s">
        <v>3471</v>
      </c>
      <c r="F32" s="400">
        <f>SUMIF(100:100,E32,101:101)-SUMIF(100:100,C32,101:101)+100</f>
        <v>100</v>
      </c>
      <c r="G32" s="1763" t="s">
        <v>3471</v>
      </c>
      <c r="H32" s="374">
        <f>SUMIF(100:100,G32,101:101)-SUMIF(100:100,C32,101:101)+100</f>
        <v>100</v>
      </c>
      <c r="I32" s="1763" t="s">
        <v>3471</v>
      </c>
      <c r="J32" s="405">
        <f>SUMIF(100:100,I32,101:101)-SUMIF(100:100,C32,101:101)+100</f>
        <v>100</v>
      </c>
      <c r="K32" s="538">
        <v>2</v>
      </c>
      <c r="L32" s="2492"/>
      <c r="M32" s="2487"/>
      <c r="N32" s="2487"/>
      <c r="O32" s="2487"/>
      <c r="P32" s="3385" t="s">
        <v>1696</v>
      </c>
      <c r="Q32" s="1262" t="str">
        <f t="shared" si="11"/>
        <v>商业类型</v>
      </c>
      <c r="R32" s="666" t="s">
        <v>14</v>
      </c>
      <c r="S32" s="667">
        <f t="shared" si="12"/>
        <v>100</v>
      </c>
      <c r="T32" s="666" t="s">
        <v>14</v>
      </c>
      <c r="U32" s="667">
        <f t="shared" si="13"/>
        <v>100</v>
      </c>
      <c r="V32" s="666" t="s">
        <v>14</v>
      </c>
      <c r="W32" s="667">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166.07</v>
      </c>
      <c r="F33" s="364">
        <f>LOOKUP(E33,103:103,104:104)-LOOKUP(C33,103:103,104:104)+100</f>
        <v>100</v>
      </c>
      <c r="G33" s="368">
        <v>155.77000000000001</v>
      </c>
      <c r="H33" s="119">
        <f>LOOKUP(G33,103:103,104:104)-LOOKUP(C33,103:103,104:104)+100</f>
        <v>100</v>
      </c>
      <c r="I33" s="368">
        <v>255.29</v>
      </c>
      <c r="J33" s="119">
        <f>LOOKUP(I33,103:103,104:104)-LOOKUP(C33,103:103,104:104)+100</f>
        <v>98</v>
      </c>
      <c r="K33" s="539"/>
      <c r="L33" s="2491"/>
      <c r="M33" s="2493"/>
      <c r="N33" s="2493"/>
      <c r="O33" s="2493"/>
      <c r="P33" s="3386"/>
      <c r="Q33" s="531" t="str">
        <f t="shared" si="11"/>
        <v>项目建筑规模</v>
      </c>
      <c r="R33" s="668" t="s">
        <v>14</v>
      </c>
      <c r="S33" s="669">
        <f t="shared" si="12"/>
        <v>100</v>
      </c>
      <c r="T33" s="668" t="s">
        <v>14</v>
      </c>
      <c r="U33" s="669">
        <f t="shared" si="13"/>
        <v>100</v>
      </c>
      <c r="V33" s="668" t="s">
        <v>14</v>
      </c>
      <c r="W33" s="669">
        <f t="shared" si="14"/>
        <v>98</v>
      </c>
      <c r="X33" s="670"/>
      <c r="Y33" s="3388"/>
      <c r="Z33" s="671" t="str">
        <f t="shared" si="15"/>
        <v>项目建筑规模</v>
      </c>
      <c r="AA33" s="1263">
        <f t="shared" si="3"/>
        <v>1</v>
      </c>
      <c r="AB33" s="1263">
        <f t="shared" si="4"/>
        <v>1</v>
      </c>
      <c r="AC33" s="1263">
        <f t="shared" si="5"/>
        <v>1.0204081632653061</v>
      </c>
    </row>
    <row r="34" spans="1:29" ht="15">
      <c r="A34" s="409"/>
      <c r="B34" s="364" t="s">
        <v>1698</v>
      </c>
      <c r="C34" s="399" t="s">
        <v>3472</v>
      </c>
      <c r="D34" s="374">
        <v>100</v>
      </c>
      <c r="E34" s="399" t="s">
        <v>3472</v>
      </c>
      <c r="F34" s="400">
        <f>SUMIF(105:105,E34,106:106)-SUMIF(105:105,C34,106:106)+100</f>
        <v>100</v>
      </c>
      <c r="G34" s="399" t="s">
        <v>3472</v>
      </c>
      <c r="H34" s="374">
        <f>SUMIF(105:105,G34,106:106)-SUMIF(105:105,C34,106:106)+100</f>
        <v>100</v>
      </c>
      <c r="I34" s="399" t="s">
        <v>3472</v>
      </c>
      <c r="J34" s="374">
        <f>SUMIF(105:105,I34,106:106)-SUMIF(105:105,C34,106:106)+100</f>
        <v>100</v>
      </c>
      <c r="K34" s="538">
        <v>1</v>
      </c>
      <c r="L34" s="2492"/>
      <c r="M34" s="2487"/>
      <c r="N34" s="2487"/>
      <c r="O34" s="2487"/>
      <c r="P34" s="3386"/>
      <c r="Q34" s="1262" t="str">
        <f t="shared" si="11"/>
        <v>建筑结构</v>
      </c>
      <c r="R34" s="666" t="s">
        <v>14</v>
      </c>
      <c r="S34" s="667">
        <f t="shared" si="12"/>
        <v>100</v>
      </c>
      <c r="T34" s="666" t="s">
        <v>14</v>
      </c>
      <c r="U34" s="667">
        <f t="shared" si="13"/>
        <v>100</v>
      </c>
      <c r="V34" s="666" t="s">
        <v>14</v>
      </c>
      <c r="W34" s="667">
        <f t="shared" si="14"/>
        <v>100</v>
      </c>
      <c r="X34" s="1264"/>
      <c r="Y34" s="3388"/>
      <c r="Z34" s="1263" t="str">
        <f t="shared" si="15"/>
        <v>建筑结构</v>
      </c>
      <c r="AA34" s="1263">
        <f t="shared" si="3"/>
        <v>1</v>
      </c>
      <c r="AB34" s="1263">
        <f t="shared" si="4"/>
        <v>1</v>
      </c>
      <c r="AC34" s="1263">
        <f t="shared" si="5"/>
        <v>1</v>
      </c>
    </row>
    <row r="35" spans="1:29" ht="15">
      <c r="A35" s="409"/>
      <c r="B35" s="364" t="s">
        <v>1785</v>
      </c>
      <c r="C35" s="1759" t="s">
        <v>3474</v>
      </c>
      <c r="D35" s="374">
        <v>100</v>
      </c>
      <c r="E35" s="1759" t="s">
        <v>3474</v>
      </c>
      <c r="F35" s="400">
        <f>SUMIF(107:107,E35,108:108)-SUMIF(107:107,C35,108:108)+100</f>
        <v>100</v>
      </c>
      <c r="G35" s="1759" t="s">
        <v>3474</v>
      </c>
      <c r="H35" s="374">
        <f>SUMIF(107:107,G35,108:108)-SUMIF(107:107,C35,108:108)+100</f>
        <v>100</v>
      </c>
      <c r="I35" s="1759" t="s">
        <v>3474</v>
      </c>
      <c r="J35" s="374">
        <f>SUMIF(107:107,I35,108:108)-SUMIF(107:107,C35,108:108)+100</f>
        <v>100</v>
      </c>
      <c r="K35" s="538">
        <v>1</v>
      </c>
      <c r="L35" s="2492"/>
      <c r="M35" s="2487"/>
      <c r="N35" s="2487"/>
      <c r="O35" s="2487"/>
      <c r="P35" s="3386"/>
      <c r="Q35" s="1262" t="str">
        <f t="shared" si="11"/>
        <v>公共部分装修</v>
      </c>
      <c r="R35" s="666" t="s">
        <v>14</v>
      </c>
      <c r="S35" s="667">
        <f t="shared" si="12"/>
        <v>100</v>
      </c>
      <c r="T35" s="666" t="s">
        <v>14</v>
      </c>
      <c r="U35" s="667">
        <f t="shared" si="13"/>
        <v>100</v>
      </c>
      <c r="V35" s="666" t="s">
        <v>14</v>
      </c>
      <c r="W35" s="667">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0.67</v>
      </c>
      <c r="F36" s="400">
        <f>LOOKUP(E36,110:110,111:111)-LOOKUP(C36,110:110,111:111)+100</f>
        <v>98</v>
      </c>
      <c r="G36" s="411">
        <f>ROUND(1-(1-0%)*(2025-G44)/60,2)</f>
        <v>0.72</v>
      </c>
      <c r="H36" s="400">
        <f>LOOKUP(G36,110:110,111:111)-LOOKUP(C36,110:110,111:111)+100</f>
        <v>99</v>
      </c>
      <c r="I36" s="411">
        <f>ROUND(1-(1-0%)*(2025-I44)/60,2)</f>
        <v>0.85</v>
      </c>
      <c r="J36" s="374">
        <f>LOOKUP(I36,110:110,111:111)-LOOKUP(C36,110:110,111:111)+100</f>
        <v>100</v>
      </c>
      <c r="K36" s="538">
        <v>1</v>
      </c>
      <c r="L36" s="2492"/>
      <c r="M36" s="2487"/>
      <c r="N36" s="2487"/>
      <c r="O36" s="2487"/>
      <c r="P36" s="3386"/>
      <c r="Q36" s="1262" t="str">
        <f t="shared" si="11"/>
        <v>成新度</v>
      </c>
      <c r="R36" s="666" t="s">
        <v>14</v>
      </c>
      <c r="S36" s="667">
        <f t="shared" si="12"/>
        <v>98</v>
      </c>
      <c r="T36" s="666" t="s">
        <v>14</v>
      </c>
      <c r="U36" s="667">
        <f t="shared" si="13"/>
        <v>99</v>
      </c>
      <c r="V36" s="666" t="s">
        <v>14</v>
      </c>
      <c r="W36" s="667">
        <f t="shared" si="14"/>
        <v>100</v>
      </c>
      <c r="X36" s="1264"/>
      <c r="Y36" s="3388"/>
      <c r="Z36" s="1263" t="str">
        <f t="shared" si="15"/>
        <v>成新度</v>
      </c>
      <c r="AA36" s="1263">
        <f t="shared" si="3"/>
        <v>1.0204081632653061</v>
      </c>
      <c r="AB36" s="1263">
        <f t="shared" si="4"/>
        <v>1.0101010101010102</v>
      </c>
      <c r="AC36" s="1263">
        <f t="shared" si="5"/>
        <v>1</v>
      </c>
    </row>
    <row r="37" spans="1:29" s="102" customFormat="1" ht="15">
      <c r="A37" s="410"/>
      <c r="B37" s="364" t="s">
        <v>1787</v>
      </c>
      <c r="C37" s="1759" t="s">
        <v>3477</v>
      </c>
      <c r="D37" s="119">
        <v>100</v>
      </c>
      <c r="E37" s="1759" t="s">
        <v>3478</v>
      </c>
      <c r="F37" s="400">
        <f>SUMIF(112:112,E37,113:113)-SUMIF(112:112,C37,113:113)+100</f>
        <v>99</v>
      </c>
      <c r="G37" s="1759" t="s">
        <v>3478</v>
      </c>
      <c r="H37" s="374">
        <f>SUMIF(112:112,G37,113:113)-SUMIF(112:112,C37,113:113)+100</f>
        <v>99</v>
      </c>
      <c r="I37" s="1759" t="s">
        <v>3477</v>
      </c>
      <c r="J37" s="374">
        <f>SUMIF(112:112,I37,113:113)-SUMIF(112:112,C37,113:113)+100</f>
        <v>100</v>
      </c>
      <c r="K37" s="538">
        <v>1</v>
      </c>
      <c r="L37" s="2488"/>
      <c r="M37" s="2439"/>
      <c r="N37" s="2439"/>
      <c r="O37" s="2439"/>
      <c r="P37" s="3386"/>
      <c r="Q37" s="530" t="str">
        <f t="shared" si="11"/>
        <v>市政基础设施</v>
      </c>
      <c r="R37" s="663" t="s">
        <v>14</v>
      </c>
      <c r="S37" s="664">
        <f t="shared" si="12"/>
        <v>99</v>
      </c>
      <c r="T37" s="663" t="s">
        <v>14</v>
      </c>
      <c r="U37" s="664">
        <f t="shared" si="13"/>
        <v>99</v>
      </c>
      <c r="V37" s="663" t="s">
        <v>14</v>
      </c>
      <c r="W37" s="664">
        <f t="shared" si="14"/>
        <v>100</v>
      </c>
      <c r="X37" s="665"/>
      <c r="Y37" s="3388"/>
      <c r="Z37" s="50" t="str">
        <f t="shared" si="15"/>
        <v>市政基础设施</v>
      </c>
      <c r="AA37" s="50">
        <f t="shared" si="3"/>
        <v>1.0101010101010102</v>
      </c>
      <c r="AB37" s="50">
        <f t="shared" si="4"/>
        <v>1.0101010101010102</v>
      </c>
      <c r="AC37" s="50">
        <f t="shared" si="5"/>
        <v>1</v>
      </c>
    </row>
    <row r="38" spans="1:29" ht="15">
      <c r="A38" s="409"/>
      <c r="B38" s="364" t="s">
        <v>1788</v>
      </c>
      <c r="C38" s="1759" t="s">
        <v>3479</v>
      </c>
      <c r="D38" s="374">
        <v>100</v>
      </c>
      <c r="E38" s="1759" t="s">
        <v>3480</v>
      </c>
      <c r="F38" s="400">
        <f>SUMIF(114:114,E38,115:115)-SUMIF(114:114,C38,115:115)+100</f>
        <v>98</v>
      </c>
      <c r="G38" s="1759" t="s">
        <v>3480</v>
      </c>
      <c r="H38" s="374">
        <f>SUMIF(114:114,G38,115:115)-SUMIF(114:114,C38,115:115)+100</f>
        <v>98</v>
      </c>
      <c r="I38" s="1759" t="s">
        <v>3479</v>
      </c>
      <c r="J38" s="374">
        <f>SUMIF(114:114,I38,115:115)-SUMIF(114:114,C38,115:115)+100</f>
        <v>100</v>
      </c>
      <c r="K38" s="538">
        <v>2</v>
      </c>
      <c r="L38" s="2492"/>
      <c r="M38" s="2487"/>
      <c r="N38" s="2487"/>
      <c r="O38" s="2487"/>
      <c r="P38" s="3386" t="s">
        <v>1696</v>
      </c>
      <c r="Q38" s="1262" t="str">
        <f t="shared" si="11"/>
        <v>业态</v>
      </c>
      <c r="R38" s="666" t="s">
        <v>14</v>
      </c>
      <c r="S38" s="667">
        <f t="shared" si="12"/>
        <v>98</v>
      </c>
      <c r="T38" s="666" t="s">
        <v>14</v>
      </c>
      <c r="U38" s="667">
        <f t="shared" si="13"/>
        <v>98</v>
      </c>
      <c r="V38" s="666" t="s">
        <v>14</v>
      </c>
      <c r="W38" s="667">
        <f t="shared" si="14"/>
        <v>100</v>
      </c>
      <c r="X38" s="1264"/>
      <c r="Y38" s="3388" t="s">
        <v>1696</v>
      </c>
      <c r="Z38" s="1263" t="str">
        <f t="shared" si="15"/>
        <v>业态</v>
      </c>
      <c r="AA38" s="1263">
        <f t="shared" si="3"/>
        <v>1.0204081632653061</v>
      </c>
      <c r="AB38" s="1263">
        <f t="shared" si="4"/>
        <v>1.0204081632653061</v>
      </c>
      <c r="AC38" s="1263">
        <f t="shared" si="5"/>
        <v>1</v>
      </c>
    </row>
    <row r="39" spans="1:29" ht="15">
      <c r="A39" s="409"/>
      <c r="B39" s="364" t="s">
        <v>1789</v>
      </c>
      <c r="C39" s="1759" t="s">
        <v>3502</v>
      </c>
      <c r="D39" s="374">
        <v>100</v>
      </c>
      <c r="E39" s="1759" t="s">
        <v>3502</v>
      </c>
      <c r="F39" s="400">
        <f>SUMIF(116:116,E39,117:117)-SUMIF(116:116,C39,117:117)+100</f>
        <v>100</v>
      </c>
      <c r="G39" s="1759" t="s">
        <v>3502</v>
      </c>
      <c r="H39" s="374">
        <f>SUMIF(116:116,G39,117:117)-SUMIF(116:116,C39,117:117)+100</f>
        <v>100</v>
      </c>
      <c r="I39" s="1759" t="s">
        <v>3502</v>
      </c>
      <c r="J39" s="374">
        <f>SUMIF(116:116,I39,117:117)-SUMIF(116:116,C39,117:117)+100</f>
        <v>100</v>
      </c>
      <c r="K39" s="538">
        <v>1</v>
      </c>
      <c r="L39" s="2492"/>
      <c r="M39" s="2487"/>
      <c r="N39" s="2487"/>
      <c r="O39" s="2487"/>
      <c r="P39" s="3386"/>
      <c r="Q39" s="1262" t="str">
        <f t="shared" si="11"/>
        <v>层高</v>
      </c>
      <c r="R39" s="666" t="s">
        <v>14</v>
      </c>
      <c r="S39" s="667">
        <f t="shared" si="12"/>
        <v>100</v>
      </c>
      <c r="T39" s="666" t="s">
        <v>14</v>
      </c>
      <c r="U39" s="667">
        <f t="shared" si="13"/>
        <v>100</v>
      </c>
      <c r="V39" s="666" t="s">
        <v>14</v>
      </c>
      <c r="W39" s="667">
        <f t="shared" si="14"/>
        <v>100</v>
      </c>
      <c r="X39" s="1264"/>
      <c r="Y39" s="3388"/>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2" t="str">
        <f t="shared" si="11"/>
        <v>单套建筑面积</v>
      </c>
      <c r="R40" s="666" t="s">
        <v>14</v>
      </c>
      <c r="S40" s="667">
        <f t="shared" si="12"/>
        <v>100</v>
      </c>
      <c r="T40" s="666" t="s">
        <v>14</v>
      </c>
      <c r="U40" s="667">
        <f t="shared" si="13"/>
        <v>100</v>
      </c>
      <c r="V40" s="666" t="s">
        <v>14</v>
      </c>
      <c r="W40" s="667">
        <f t="shared" si="14"/>
        <v>100</v>
      </c>
      <c r="X40" s="1264"/>
      <c r="Y40" s="3388"/>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8" t="s">
        <v>14</v>
      </c>
      <c r="S41" s="669">
        <f t="shared" si="12"/>
        <v>100</v>
      </c>
      <c r="T41" s="668" t="s">
        <v>14</v>
      </c>
      <c r="U41" s="669">
        <f t="shared" si="13"/>
        <v>100</v>
      </c>
      <c r="V41" s="668" t="s">
        <v>14</v>
      </c>
      <c r="W41" s="669">
        <f t="shared" si="14"/>
        <v>100</v>
      </c>
      <c r="X41" s="670"/>
      <c r="Y41" s="3388"/>
      <c r="Z41" s="671" t="str">
        <f t="shared" si="15"/>
        <v>进深比</v>
      </c>
      <c r="AA41" s="1263">
        <f t="shared" si="3"/>
        <v>1</v>
      </c>
      <c r="AB41" s="1263">
        <f t="shared" si="4"/>
        <v>1</v>
      </c>
      <c r="AC41" s="1263">
        <f t="shared" si="5"/>
        <v>1</v>
      </c>
    </row>
    <row r="42" spans="1:29" ht="15">
      <c r="A42" s="409"/>
      <c r="B42" s="364" t="s">
        <v>1792</v>
      </c>
      <c r="C42" s="1759" t="s">
        <v>3475</v>
      </c>
      <c r="D42" s="374">
        <v>100</v>
      </c>
      <c r="E42" s="1759" t="s">
        <v>3485</v>
      </c>
      <c r="F42" s="400">
        <f>SUMIF(122:122,E42,123:123)-SUMIF(122:122,C42,123:123)+100</f>
        <v>96</v>
      </c>
      <c r="G42" s="1759" t="s">
        <v>3475</v>
      </c>
      <c r="H42" s="374">
        <f>SUMIF(122:122,G42,123:123)-SUMIF(122:122,C42,123:123)+100</f>
        <v>100</v>
      </c>
      <c r="I42" s="1759" t="s">
        <v>3475</v>
      </c>
      <c r="J42" s="374">
        <f>SUMIF(122:122,I42,123:123)-SUMIF(122:122,C42,123:123)+100</f>
        <v>100</v>
      </c>
      <c r="K42" s="538">
        <v>2</v>
      </c>
      <c r="L42" s="2492"/>
      <c r="M42" s="2487"/>
      <c r="N42" s="2487"/>
      <c r="O42" s="2487"/>
      <c r="P42" s="3386"/>
      <c r="Q42" s="1262" t="str">
        <f t="shared" si="11"/>
        <v>内部装修</v>
      </c>
      <c r="R42" s="666" t="s">
        <v>14</v>
      </c>
      <c r="S42" s="667">
        <f t="shared" si="12"/>
        <v>96</v>
      </c>
      <c r="T42" s="666" t="s">
        <v>14</v>
      </c>
      <c r="U42" s="667">
        <f t="shared" si="13"/>
        <v>100</v>
      </c>
      <c r="V42" s="666" t="s">
        <v>14</v>
      </c>
      <c r="W42" s="667">
        <f t="shared" si="14"/>
        <v>100</v>
      </c>
      <c r="X42" s="1264"/>
      <c r="Y42" s="3388"/>
      <c r="Z42" s="1263" t="str">
        <f t="shared" si="15"/>
        <v>内部装修</v>
      </c>
      <c r="AA42" s="1263">
        <f t="shared" si="3"/>
        <v>1.0416666666666667</v>
      </c>
      <c r="AB42" s="1263">
        <f t="shared" si="4"/>
        <v>1</v>
      </c>
      <c r="AC42" s="1263">
        <f t="shared" si="5"/>
        <v>1</v>
      </c>
    </row>
    <row r="43" spans="1:29" ht="15" hidden="1">
      <c r="A43" s="409"/>
      <c r="B43" s="364" t="s">
        <v>1707</v>
      </c>
      <c r="C43" s="1759" t="s">
        <v>3488</v>
      </c>
      <c r="D43" s="374">
        <v>100</v>
      </c>
      <c r="E43" s="1759" t="s">
        <v>3488</v>
      </c>
      <c r="F43" s="400">
        <f>SUMIF(124:124,E43,125:125)-SUMIF(124:124,C43,125:125)+100</f>
        <v>100</v>
      </c>
      <c r="G43" s="1759" t="s">
        <v>3488</v>
      </c>
      <c r="H43" s="374">
        <f>SUMIF(124:124,G43,125:125)-SUMIF(124:124,C43,125:125)+100</f>
        <v>100</v>
      </c>
      <c r="I43" s="1759" t="s">
        <v>3488</v>
      </c>
      <c r="J43" s="374">
        <f>SUMIF(124:124,I43,125:125)-SUMIF(124:124,C43,125:125)+100</f>
        <v>100</v>
      </c>
      <c r="K43" s="538">
        <v>1</v>
      </c>
      <c r="L43" s="2492"/>
      <c r="M43" s="2487"/>
      <c r="N43" s="2487"/>
      <c r="O43" s="2487"/>
      <c r="P43" s="3386"/>
      <c r="Q43" s="1262" t="str">
        <f t="shared" si="11"/>
        <v>内部装修维护情况</v>
      </c>
      <c r="R43" s="666" t="s">
        <v>14</v>
      </c>
      <c r="S43" s="667">
        <f t="shared" si="12"/>
        <v>100</v>
      </c>
      <c r="T43" s="666" t="s">
        <v>14</v>
      </c>
      <c r="U43" s="667">
        <f t="shared" si="13"/>
        <v>100</v>
      </c>
      <c r="V43" s="666" t="s">
        <v>14</v>
      </c>
      <c r="W43" s="667">
        <f t="shared" si="14"/>
        <v>100</v>
      </c>
      <c r="X43" s="1264"/>
      <c r="Y43" s="3388"/>
      <c r="Z43" s="1263" t="str">
        <f t="shared" si="15"/>
        <v>内部装修维护情况</v>
      </c>
      <c r="AA43" s="1263">
        <f t="shared" si="3"/>
        <v>1</v>
      </c>
      <c r="AB43" s="1263">
        <f t="shared" si="4"/>
        <v>1</v>
      </c>
      <c r="AC43" s="1263">
        <f t="shared" si="5"/>
        <v>1</v>
      </c>
    </row>
    <row r="44" spans="1:29" s="102" customFormat="1" ht="15">
      <c r="A44" s="410"/>
      <c r="B44" s="3184" t="s">
        <v>3492</v>
      </c>
      <c r="C44" s="407">
        <v>2012</v>
      </c>
      <c r="D44" s="119">
        <v>100</v>
      </c>
      <c r="E44" s="373">
        <v>2005</v>
      </c>
      <c r="F44" s="364">
        <f>SUMIF(126:126,E44,127:127)-SUMIF(126:126,C44,127:127)+100</f>
        <v>100</v>
      </c>
      <c r="G44" s="373">
        <v>2008</v>
      </c>
      <c r="H44" s="119">
        <f>SUMIF(126:126,G44,127:127)-SUMIF(126:126,C44,127:127)+100</f>
        <v>100</v>
      </c>
      <c r="I44" s="373">
        <v>2016</v>
      </c>
      <c r="J44" s="119">
        <f>SUMIF(126:126,I44,127:127)-SUMIF(126:126,C44,127:127)+100</f>
        <v>100</v>
      </c>
      <c r="K44" s="539"/>
      <c r="L44" s="2488"/>
      <c r="M44" s="2439"/>
      <c r="N44" s="2439"/>
      <c r="O44" s="2439"/>
      <c r="P44" s="3386"/>
      <c r="Q44" s="530" t="str">
        <f t="shared" si="11"/>
        <v>建成年代</v>
      </c>
      <c r="R44" s="663" t="s">
        <v>14</v>
      </c>
      <c r="S44" s="664">
        <f t="shared" si="12"/>
        <v>100</v>
      </c>
      <c r="T44" s="663" t="s">
        <v>14</v>
      </c>
      <c r="U44" s="664">
        <f t="shared" si="13"/>
        <v>100</v>
      </c>
      <c r="V44" s="663" t="s">
        <v>14</v>
      </c>
      <c r="W44" s="664">
        <f t="shared" si="14"/>
        <v>100</v>
      </c>
      <c r="X44" s="665"/>
      <c r="Y44" s="3388"/>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2">
        <f t="shared" si="11"/>
        <v>111</v>
      </c>
      <c r="R45" s="666" t="s">
        <v>14</v>
      </c>
      <c r="S45" s="667">
        <f t="shared" si="12"/>
        <v>100</v>
      </c>
      <c r="T45" s="666" t="s">
        <v>14</v>
      </c>
      <c r="U45" s="667">
        <f t="shared" si="13"/>
        <v>100</v>
      </c>
      <c r="V45" s="666" t="s">
        <v>14</v>
      </c>
      <c r="W45" s="667">
        <f t="shared" si="14"/>
        <v>100</v>
      </c>
      <c r="X45" s="1264"/>
      <c r="Y45" s="338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2">
        <f t="shared" si="11"/>
        <v>111</v>
      </c>
      <c r="R46" s="666" t="s">
        <v>14</v>
      </c>
      <c r="S46" s="667">
        <f t="shared" si="12"/>
        <v>100</v>
      </c>
      <c r="T46" s="666" t="s">
        <v>14</v>
      </c>
      <c r="U46" s="667">
        <f t="shared" si="13"/>
        <v>100</v>
      </c>
      <c r="V46" s="666" t="s">
        <v>14</v>
      </c>
      <c r="W46" s="667">
        <f t="shared" si="14"/>
        <v>100</v>
      </c>
      <c r="X46" s="1264"/>
      <c r="Y46" s="3389"/>
      <c r="Z46" s="1263">
        <f t="shared" si="15"/>
        <v>111</v>
      </c>
      <c r="AA46" s="1263">
        <f t="shared" si="3"/>
        <v>1</v>
      </c>
      <c r="AB46" s="1263">
        <f t="shared" si="4"/>
        <v>1</v>
      </c>
      <c r="AC46" s="1263">
        <f t="shared" si="5"/>
        <v>1</v>
      </c>
    </row>
    <row r="47" spans="1:29" ht="15">
      <c r="A47" s="416" t="s">
        <v>1708</v>
      </c>
      <c r="B47" s="417"/>
      <c r="C47" s="1080" t="s">
        <v>0</v>
      </c>
      <c r="D47" s="418"/>
      <c r="E47" s="419">
        <v>42151</v>
      </c>
      <c r="F47" s="420"/>
      <c r="G47" s="421">
        <v>39803</v>
      </c>
      <c r="H47" s="422"/>
      <c r="I47" s="419">
        <v>35176</v>
      </c>
      <c r="J47" s="422"/>
      <c r="K47" s="673"/>
      <c r="L47" s="2494"/>
      <c r="M47" s="2487"/>
      <c r="N47" s="2487"/>
      <c r="O47" s="2487"/>
      <c r="P47" s="3376" t="str">
        <f>A47</f>
        <v>成交单价（元/平方米）</v>
      </c>
      <c r="Q47" s="3376"/>
      <c r="R47" s="3377">
        <f>E47</f>
        <v>42151</v>
      </c>
      <c r="S47" s="3377"/>
      <c r="T47" s="3377">
        <f>G47</f>
        <v>39803</v>
      </c>
      <c r="U47" s="3377"/>
      <c r="V47" s="3377">
        <f>I47</f>
        <v>35176</v>
      </c>
      <c r="W47" s="3377"/>
      <c r="X47" s="385"/>
      <c r="Y47" s="672"/>
      <c r="Z47" s="385"/>
      <c r="AA47" s="385"/>
      <c r="AB47" s="385"/>
      <c r="AC47" s="385"/>
    </row>
    <row r="48" spans="1:29" ht="15.75" thickBot="1">
      <c r="A48" s="423" t="s">
        <v>1793</v>
      </c>
      <c r="B48" s="424"/>
      <c r="C48" s="1081">
        <f>R49</f>
        <v>39752</v>
      </c>
      <c r="D48" s="2140" t="s">
        <v>2137</v>
      </c>
      <c r="E48" s="1082">
        <f>R48</f>
        <v>43118</v>
      </c>
      <c r="F48" s="2141"/>
      <c r="G48" s="1081">
        <f>T48</f>
        <v>35095</v>
      </c>
      <c r="H48" s="2141"/>
      <c r="I48" s="1082">
        <f>V48</f>
        <v>41044</v>
      </c>
      <c r="J48" s="2141"/>
      <c r="K48" s="2143">
        <f>F48+H48+J48</f>
        <v>0</v>
      </c>
      <c r="L48" s="2494"/>
      <c r="M48" s="2487"/>
      <c r="N48" s="2487"/>
      <c r="O48" s="2487"/>
      <c r="P48" s="3376" t="str">
        <f>A48</f>
        <v>比较价值（元/平方米）</v>
      </c>
      <c r="Q48" s="3376"/>
      <c r="R48" s="3377">
        <f>IF(F1="售价",ROUND(PRODUCT(R47,AA7:AA46),0),ROUND(PRODUCT(R47,AA7:AA46),1))</f>
        <v>43118</v>
      </c>
      <c r="S48" s="3377"/>
      <c r="T48" s="3377">
        <f>IF(F1="售价",ROUND(PRODUCT(T47,AB7:AB46),0),ROUND(PRODUCT(T47,AB7:AB46),1))</f>
        <v>35095</v>
      </c>
      <c r="U48" s="3377"/>
      <c r="V48" s="3377">
        <f>IF(F1="售价",ROUND(PRODUCT(V47,AC7:AC46),0),ROUND(PRODUCT(V47,AC7:AC46),1))</f>
        <v>41044</v>
      </c>
      <c r="W48" s="3377"/>
      <c r="X48" s="385"/>
      <c r="Y48" s="385"/>
      <c r="Z48" s="385"/>
      <c r="AA48" s="385"/>
      <c r="AB48" s="385"/>
      <c r="AC48" s="385"/>
    </row>
    <row r="49" spans="1:29" ht="15.75" thickBot="1">
      <c r="A49" s="427" t="s">
        <v>1794</v>
      </c>
      <c r="B49" s="428"/>
      <c r="C49" s="351">
        <f>R49</f>
        <v>39752</v>
      </c>
      <c r="D49" s="351"/>
      <c r="E49" s="351"/>
      <c r="F49" s="351"/>
      <c r="G49" s="351"/>
      <c r="H49" s="351"/>
      <c r="I49" s="351"/>
      <c r="J49" s="351"/>
      <c r="K49" s="674"/>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39752</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2.2941329980308955E-2</v>
      </c>
      <c r="F52" s="435" t="str">
        <f>IF(OR(E52&gt;=0.3,E52&lt;=-0.3),"超过30%","")</f>
        <v/>
      </c>
      <c r="G52" s="434">
        <f>IF(G47&lt;G48,G48/G47-1,G47/G48-1)</f>
        <v>0.13415016384100298</v>
      </c>
      <c r="H52" s="435" t="str">
        <f>IF(OR(G52&gt;=0.3,G52&lt;=-0.3),"超过30%","")</f>
        <v/>
      </c>
      <c r="I52" s="434">
        <f>IF(I47&lt;I48,I48/I47-1,I47/I48-1)</f>
        <v>0.16681828519445085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0.22860806382675602</v>
      </c>
      <c r="F53" s="435" t="str">
        <f>IF(OR(E53&gt;=0.2,E53&lt;=-0.2),"超过20%","")</f>
        <v>超过20%</v>
      </c>
      <c r="G53" s="434">
        <f>IF(G48&lt;I48,I48/G48-1,G48/I48-1)</f>
        <v>0.16951132639977207</v>
      </c>
      <c r="H53" s="435" t="str">
        <f>IF(OR(G53&gt;=0.2,G53&lt;=-0.2),"超过20%","")</f>
        <v/>
      </c>
      <c r="I53" s="434">
        <f>IF(I48&lt;E48,E48/I48-1,I48/E48-1)</f>
        <v>5.0531137316051078E-2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5.8990528352134364E-2</v>
      </c>
      <c r="F54" s="435" t="str">
        <f>IF(OR(E54&gt;=0.3,E54&lt;=-0.3),"超过30%","")</f>
        <v/>
      </c>
      <c r="G54" s="434">
        <f>IF(G47&lt;I47,I47/G47-1,G47/I47-1)</f>
        <v>0.13153854901068907</v>
      </c>
      <c r="H54" s="435" t="str">
        <f>IF(OR(G54&gt;=0.3,G54&lt;=-0.3),"超过30%","")</f>
        <v/>
      </c>
      <c r="I54" s="434">
        <f>IF(I47&lt;E47,E47/I47-1,I47/E47-1)</f>
        <v>0.19828860586763697</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3451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3509</v>
      </c>
      <c r="D65" s="513" t="s">
        <v>3510</v>
      </c>
      <c r="E65" s="513" t="s">
        <v>3511</v>
      </c>
      <c r="F65" s="513" t="s">
        <v>3512</v>
      </c>
      <c r="G65" s="513" t="s">
        <v>3513</v>
      </c>
      <c r="H65" s="513" t="s">
        <v>3514</v>
      </c>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f>C66-5</f>
        <v>95</v>
      </c>
      <c r="E66" s="467">
        <f t="shared" ref="E66:H66" si="17">D66-5</f>
        <v>90</v>
      </c>
      <c r="F66" s="467">
        <f t="shared" si="17"/>
        <v>85</v>
      </c>
      <c r="G66" s="467">
        <f t="shared" si="17"/>
        <v>80</v>
      </c>
      <c r="H66" s="467">
        <f t="shared" si="17"/>
        <v>75</v>
      </c>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73" t="s">
        <v>3455</v>
      </c>
      <c r="D86" s="3173" t="s">
        <v>3456</v>
      </c>
      <c r="E86" s="3173" t="s">
        <v>3457</v>
      </c>
      <c r="F86" s="3173" t="s">
        <v>3458</v>
      </c>
      <c r="G86" s="3173" t="s">
        <v>3459</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4" t="s">
        <v>3496</v>
      </c>
      <c r="D88" s="3174" t="s">
        <v>3460</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76">
        <v>100</v>
      </c>
      <c r="D89" s="3177">
        <v>95</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74" t="s">
        <v>3461</v>
      </c>
      <c r="D90" s="3174" t="s">
        <v>3462</v>
      </c>
      <c r="E90" s="3174" t="s">
        <v>3463</v>
      </c>
      <c r="F90" s="3174" t="s">
        <v>3464</v>
      </c>
      <c r="G90" s="3174" t="s">
        <v>3465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74" t="s">
        <v>3466</v>
      </c>
      <c r="D92" s="3174" t="s">
        <v>3467</v>
      </c>
      <c r="E92" s="3180" t="s">
        <v>3490</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77">
        <v>100</v>
      </c>
      <c r="D93" s="3177">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78" t="s">
        <v>3468</v>
      </c>
      <c r="D100" s="3178" t="s">
        <v>3469</v>
      </c>
      <c r="E100" s="3178" t="s">
        <v>3470</v>
      </c>
      <c r="F100" s="3178" t="s">
        <v>3471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3472</v>
      </c>
      <c r="D105" s="3180" t="s">
        <v>3473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3474</v>
      </c>
      <c r="D107" s="3174" t="s">
        <v>3475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3476</v>
      </c>
      <c r="D112" s="3174" t="s">
        <v>3477</v>
      </c>
      <c r="E112" s="3174" t="s">
        <v>3478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3479</v>
      </c>
      <c r="D114" s="3174" t="s">
        <v>3480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3481</v>
      </c>
      <c r="D116" s="3173" t="s">
        <v>3482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3475</v>
      </c>
      <c r="D122" s="3174" t="s">
        <v>3484</v>
      </c>
      <c r="E122" s="3174" t="s">
        <v>3485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disablePrompts="1"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85" zoomScaleNormal="70" zoomScaleSheetLayoutView="85" workbookViewId="0">
      <selection activeCell="I39" sqref="I39: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3425</v>
      </c>
      <c r="D1" s="1270" t="s">
        <v>43</v>
      </c>
      <c r="E1" s="1271" t="s">
        <v>678</v>
      </c>
      <c r="F1" s="998">
        <f ca="1">J53</f>
        <v>24.02</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322.09879999999998</v>
      </c>
      <c r="C2" s="1288" t="s">
        <v>879</v>
      </c>
      <c r="D2" s="1374">
        <f ca="1">C40+J29+L46</f>
        <v>3220988</v>
      </c>
      <c r="E2" s="1294" t="s">
        <v>880</v>
      </c>
      <c r="F2" s="1295"/>
      <c r="G2" s="2478"/>
      <c r="H2" s="2468"/>
      <c r="I2" s="2468"/>
      <c r="J2" s="2468"/>
      <c r="K2" s="2469"/>
      <c r="L2" s="2468"/>
      <c r="M2" s="2468"/>
    </row>
    <row r="3" spans="1:37" ht="18" customHeight="1" thickBot="1">
      <c r="A3" s="1296" t="s">
        <v>881</v>
      </c>
      <c r="B3" s="1297">
        <f ca="1">IF(ISERROR(D2/F43),0,ROUND(D2/F43,0))</f>
        <v>23208</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228248</v>
      </c>
      <c r="D5" s="1272" t="s">
        <v>889</v>
      </c>
      <c r="E5" s="1007"/>
      <c r="F5" s="1008"/>
      <c r="G5" s="1291"/>
      <c r="H5" s="291">
        <v>1</v>
      </c>
      <c r="I5" s="292" t="s">
        <v>888</v>
      </c>
      <c r="J5" s="1006">
        <f ca="1">J6+J10+J12</f>
        <v>0</v>
      </c>
      <c r="K5" s="1272" t="s">
        <v>889</v>
      </c>
      <c r="L5" s="1007"/>
      <c r="M5" s="1008"/>
    </row>
    <row r="6" spans="1:37" ht="18" customHeight="1">
      <c r="A6" s="1005" t="s">
        <v>398</v>
      </c>
      <c r="B6" s="3373" t="s">
        <v>694</v>
      </c>
      <c r="C6" s="1010">
        <f ca="1">ROUND(F6*F8*F7*(1-F9),0)</f>
        <v>227963</v>
      </c>
      <c r="D6" s="147" t="s">
        <v>2105</v>
      </c>
      <c r="E6" s="294" t="s">
        <v>696</v>
      </c>
      <c r="F6" s="295">
        <f ca="1">INDIRECT("'数据-取费表'!u"&amp;$G$1)</f>
        <v>5</v>
      </c>
      <c r="G6" s="1291"/>
      <c r="H6" s="1005" t="s">
        <v>398</v>
      </c>
      <c r="I6" s="3373" t="s">
        <v>694</v>
      </c>
      <c r="J6" s="293">
        <f ca="1">ROUND(M6*M8*M7*(1-M9),0)</f>
        <v>0</v>
      </c>
      <c r="K6" s="1283" t="s">
        <v>2106</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138.79</v>
      </c>
      <c r="G7" s="1291"/>
      <c r="H7" s="296"/>
      <c r="I7" s="3374"/>
      <c r="J7" s="298"/>
      <c r="K7" s="299"/>
      <c r="L7" s="294" t="s">
        <v>697</v>
      </c>
      <c r="M7" s="295">
        <f ca="1">F7</f>
        <v>138.79</v>
      </c>
    </row>
    <row r="8" spans="1:37" ht="18" customHeight="1">
      <c r="A8" s="296"/>
      <c r="B8" s="3374"/>
      <c r="C8" s="298"/>
      <c r="D8" s="299"/>
      <c r="E8" s="294" t="s">
        <v>698</v>
      </c>
      <c r="F8" s="295">
        <f ca="1">INDIRECT("'数据-取费表'!ai"&amp;$G$1)</f>
        <v>365</v>
      </c>
      <c r="G8" s="1291"/>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285</v>
      </c>
      <c r="D10" s="150" t="s">
        <v>2115</v>
      </c>
      <c r="E10" s="305" t="s">
        <v>701</v>
      </c>
      <c r="F10" s="1052" t="s">
        <v>3497</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796333</v>
      </c>
      <c r="D13" s="1017" t="s">
        <v>705</v>
      </c>
      <c r="E13" s="1017" t="s">
        <v>706</v>
      </c>
      <c r="F13" s="1018">
        <f ca="1">INDIRECT("'数据-取费表'!y"&amp;$G$1)</f>
        <v>0.84</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624555</v>
      </c>
      <c r="D14" s="1256" t="s">
        <v>708</v>
      </c>
      <c r="E14" s="1254"/>
      <c r="F14" s="311"/>
      <c r="G14" s="1291"/>
      <c r="H14" s="927" t="s">
        <v>398</v>
      </c>
      <c r="I14" s="294" t="s">
        <v>709</v>
      </c>
      <c r="J14" s="21">
        <f ca="1">C29</f>
        <v>948016</v>
      </c>
      <c r="K14" s="12"/>
      <c r="L14" s="758"/>
      <c r="M14" s="759"/>
    </row>
    <row r="15" spans="1:37" s="1303" customFormat="1" ht="18" customHeight="1" thickBot="1">
      <c r="A15" s="927" t="s">
        <v>399</v>
      </c>
      <c r="B15" s="294" t="s">
        <v>710</v>
      </c>
      <c r="C15" s="21">
        <f ca="1">ROUND(C14*F15,0)</f>
        <v>31228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1896</v>
      </c>
      <c r="K16" s="1023" t="s">
        <v>715</v>
      </c>
      <c r="L16" s="1024"/>
      <c r="M16" s="1008"/>
    </row>
    <row r="17" spans="1:37" s="1303" customFormat="1" ht="18" customHeight="1">
      <c r="A17" s="927" t="s">
        <v>681</v>
      </c>
      <c r="B17" s="294" t="s">
        <v>716</v>
      </c>
      <c r="C17" s="21">
        <f ca="1">ROUND(F17*(F43+INDIRECT("'数据-取费表'!S"&amp;$G$1)),0)</f>
        <v>27758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12491</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696032</v>
      </c>
      <c r="D19" s="123" t="s">
        <v>726</v>
      </c>
      <c r="E19" s="1268"/>
      <c r="F19" s="23"/>
      <c r="G19" s="1291"/>
      <c r="H19" s="927"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7" t="s">
        <v>402</v>
      </c>
      <c r="B20" s="294" t="s">
        <v>728</v>
      </c>
      <c r="C20" s="21">
        <f ca="1">ROUND(C19*F20,0)</f>
        <v>13921</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1896</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22222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-1896</v>
      </c>
      <c r="K25" s="1031" t="s">
        <v>753</v>
      </c>
      <c r="L25" s="1032"/>
      <c r="M25" s="1033"/>
    </row>
    <row r="26" spans="1:37" ht="18" customHeight="1">
      <c r="A26" s="927" t="s">
        <v>397</v>
      </c>
      <c r="B26" s="294" t="s">
        <v>754</v>
      </c>
      <c r="C26" s="21">
        <f ca="1">ROUND((C19+C20)*F26,0)</f>
        <v>141991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948016</v>
      </c>
      <c r="D29" s="1028"/>
      <c r="E29" s="1026"/>
      <c r="F29" s="1029"/>
      <c r="G29" s="1302"/>
      <c r="H29" s="325" t="s">
        <v>396</v>
      </c>
      <c r="I29" s="326" t="s">
        <v>768</v>
      </c>
      <c r="J29" s="327">
        <f ca="1">ROUND(J26/(1+F40)^F41,0)</f>
        <v>0</v>
      </c>
      <c r="K29" s="328" t="s">
        <v>769</v>
      </c>
      <c r="L29" s="329"/>
      <c r="M29" s="330">
        <f ca="1">INDIRECT("'数据-取费表'!k"&amp;$G$1)</f>
        <v>138.79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19031</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15198</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1896</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796</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1141</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209217</v>
      </c>
      <c r="D39" s="1031" t="s">
        <v>773</v>
      </c>
      <c r="E39" s="1032"/>
      <c r="F39" s="1033"/>
      <c r="G39" s="1291"/>
      <c r="H39" s="2473"/>
      <c r="I39" s="1304"/>
      <c r="J39" s="1305"/>
      <c r="K39" s="2471"/>
      <c r="L39" s="2473"/>
      <c r="M39" s="2473"/>
    </row>
    <row r="40" spans="1:18" ht="18" customHeight="1">
      <c r="A40" s="291" t="s">
        <v>395</v>
      </c>
      <c r="B40" s="292" t="s">
        <v>774</v>
      </c>
      <c r="C40" s="293">
        <f ca="1">ROUND(C39*(1-((1+F42)/(1+F40))^F41)/(F40-F42),0)</f>
        <v>3154239</v>
      </c>
      <c r="D40" s="316" t="s">
        <v>758</v>
      </c>
      <c r="E40" s="294" t="s">
        <v>759</v>
      </c>
      <c r="F40" s="304">
        <f ca="1">INDIRECT("'数据-取费表'!I"&amp;$G$1)</f>
        <v>0.06</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24.02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22727</v>
      </c>
      <c r="D43" s="328" t="s">
        <v>777</v>
      </c>
      <c r="E43" s="329" t="s">
        <v>778</v>
      </c>
      <c r="F43" s="330">
        <f ca="1">INDIRECT("'数据-取费表'!k"&amp;$G$1)</f>
        <v>138.79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-318.80369999999999</v>
      </c>
      <c r="D45" s="3130" t="s">
        <v>3341</v>
      </c>
      <c r="E45" s="1306"/>
      <c r="F45" s="1306"/>
      <c r="O45" s="1309" t="s">
        <v>808</v>
      </c>
      <c r="P45" s="1365"/>
      <c r="Q45" s="1365"/>
      <c r="R45" s="1365"/>
    </row>
    <row r="46" spans="1:18" s="1291" customFormat="1" ht="13.5" thickBot="1">
      <c r="A46" s="1310" t="s">
        <v>809</v>
      </c>
      <c r="C46" s="1311">
        <f ca="1">ROUND(C45,0)</f>
        <v>-319</v>
      </c>
      <c r="D46" s="1312" t="str">
        <f>C2</f>
        <v>万元</v>
      </c>
      <c r="I46" s="1313" t="s">
        <v>810</v>
      </c>
      <c r="J46" s="1314"/>
      <c r="K46" s="1315"/>
      <c r="L46" s="1316">
        <f ca="1">IF(M47="住宅",0,IF(L48&gt;J51,L60,J60))</f>
        <v>66749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3472</v>
      </c>
      <c r="K47" s="1322" t="s">
        <v>816</v>
      </c>
      <c r="L47" s="1323">
        <f ca="1">INDIRECT("'数据-取费表'!d"&amp;$G$1)</f>
        <v>40</v>
      </c>
      <c r="M47" s="1287" t="str">
        <f>IF(ISNUMBER(FIND("住宅",C1)),"住宅","非住宅")</f>
        <v>非住宅</v>
      </c>
      <c r="O47" s="1324" t="s">
        <v>403</v>
      </c>
      <c r="P47" s="1325" t="s">
        <v>817</v>
      </c>
      <c r="Q47" s="1326">
        <f ca="1">C40+J29</f>
        <v>3154239</v>
      </c>
      <c r="R47" s="1326" t="s">
        <v>818</v>
      </c>
    </row>
    <row r="48" spans="1:18" s="1291" customFormat="1" ht="28.5" thickBot="1">
      <c r="A48" s="1046" t="s">
        <v>438</v>
      </c>
      <c r="B48" s="292" t="s">
        <v>692</v>
      </c>
      <c r="C48" s="1267">
        <f ca="1">C49+C53+C55</f>
        <v>0</v>
      </c>
      <c r="D48" s="1048"/>
      <c r="E48" s="1049"/>
      <c r="F48" s="907"/>
      <c r="G48" s="680"/>
      <c r="H48" s="681"/>
      <c r="I48" s="1327" t="s">
        <v>819</v>
      </c>
      <c r="J48" s="1328" t="s">
        <v>3498</v>
      </c>
      <c r="K48" s="1329" t="s">
        <v>820</v>
      </c>
      <c r="L48" s="1330">
        <f ca="1">INDIRECT("'数据-取费表'!f"&amp;$G$1)</f>
        <v>24.02</v>
      </c>
      <c r="O48" s="1324" t="s">
        <v>404</v>
      </c>
      <c r="P48" s="1325" t="s">
        <v>821</v>
      </c>
      <c r="Q48" s="1326">
        <f ca="1">J60</f>
        <v>66749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2011</v>
      </c>
      <c r="K49" s="1329" t="s">
        <v>824</v>
      </c>
      <c r="L49" s="1332"/>
      <c r="O49" s="1333" t="s">
        <v>405</v>
      </c>
      <c r="P49" s="1325" t="s">
        <v>825</v>
      </c>
      <c r="Q49" s="1326">
        <f ca="1">C29</f>
        <v>948016</v>
      </c>
      <c r="R49" s="1326" t="s">
        <v>818</v>
      </c>
    </row>
    <row r="50" spans="1:18" s="1291" customFormat="1" ht="13.5" thickBot="1">
      <c r="A50" s="921"/>
      <c r="B50" s="924"/>
      <c r="C50" s="925"/>
      <c r="D50" s="898"/>
      <c r="E50" s="992" t="s">
        <v>697</v>
      </c>
      <c r="F50" s="993">
        <f ca="1">F7</f>
        <v>138.79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46</v>
      </c>
      <c r="K51" s="1338" t="s">
        <v>830</v>
      </c>
      <c r="L51" s="1339">
        <f ca="1">ROUND(-PV(INDIRECT("'数据-取费表'!h"&amp;$G$1),J51,(C39-C13*C76),0),0)</f>
        <v>2744120</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24.02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24.02</v>
      </c>
      <c r="K53" s="3371" t="s">
        <v>837</v>
      </c>
      <c r="L53" s="3372"/>
      <c r="O53" s="1324" t="s">
        <v>409</v>
      </c>
      <c r="P53" s="1325" t="s">
        <v>838</v>
      </c>
      <c r="Q53" s="1326">
        <f ca="1">Q47+Q48</f>
        <v>3220988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0.36599999999999999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796333</v>
      </c>
      <c r="D56" s="1351"/>
      <c r="E56" s="1352"/>
      <c r="F56" s="1344"/>
      <c r="I56" s="1353" t="s">
        <v>842</v>
      </c>
      <c r="J56" s="1354" t="s">
        <v>3423</v>
      </c>
      <c r="K56" s="1327" t="s">
        <v>843</v>
      </c>
      <c r="L56" s="1330" t="str">
        <f ca="1">IF(L48&lt;J51,"——",L48-J51)</f>
        <v>——</v>
      </c>
      <c r="O56" s="1324" t="s">
        <v>403</v>
      </c>
      <c r="P56" s="1325" t="s">
        <v>817</v>
      </c>
      <c r="Q56" s="1326">
        <f ca="1">C40+J29</f>
        <v>3154239</v>
      </c>
      <c r="R56" s="1326" t="s">
        <v>818</v>
      </c>
    </row>
    <row r="57" spans="1:18" s="1291" customFormat="1" ht="24.75" thickBot="1">
      <c r="A57" s="1355"/>
      <c r="B57" s="895" t="s">
        <v>767</v>
      </c>
      <c r="C57" s="230">
        <f ca="1">C29</f>
        <v>948016</v>
      </c>
      <c r="D57" s="1356"/>
      <c r="E57" s="1357"/>
      <c r="F57" s="1358"/>
      <c r="I57" s="1359" t="s">
        <v>844</v>
      </c>
      <c r="J57" s="1360">
        <f ca="1">IF(OR(M47="住宅",J51&lt;L48,J56="是"),"——",J51-L48)</f>
        <v>21.98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2692</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379206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66749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3154239</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1896</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796</v>
      </c>
      <c r="D65" s="909" t="s">
        <v>743</v>
      </c>
      <c r="E65" s="895" t="s">
        <v>744</v>
      </c>
      <c r="F65" s="321">
        <f t="shared" ca="1" si="0"/>
        <v>1E-3</v>
      </c>
      <c r="I65" s="1366" t="s">
        <v>867</v>
      </c>
      <c r="J65" s="610">
        <v>40</v>
      </c>
      <c r="K65" s="610">
        <v>30</v>
      </c>
      <c r="L65" s="610">
        <v>50</v>
      </c>
      <c r="M65" s="1368">
        <v>0.02</v>
      </c>
      <c r="O65" s="1324" t="s">
        <v>403</v>
      </c>
      <c r="P65" s="1325" t="s">
        <v>868</v>
      </c>
      <c r="Q65" s="1326">
        <f ca="1">C40+J29</f>
        <v>3154239</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-2692</v>
      </c>
      <c r="D67" s="908" t="s">
        <v>753</v>
      </c>
      <c r="E67" s="913"/>
      <c r="F67" s="914"/>
      <c r="O67" s="1333" t="s">
        <v>405</v>
      </c>
      <c r="P67" s="1325" t="s">
        <v>850</v>
      </c>
      <c r="Q67" s="1369">
        <f ca="1">L51</f>
        <v>2744120</v>
      </c>
      <c r="R67" s="1326" t="s">
        <v>870</v>
      </c>
    </row>
    <row r="68" spans="1:18" s="1291" customFormat="1" ht="16.5" thickBot="1">
      <c r="A68" s="892" t="s">
        <v>395</v>
      </c>
      <c r="B68" s="893" t="s">
        <v>774</v>
      </c>
      <c r="C68" s="293">
        <f ca="1">ROUND(C67*(1-((1+F70)/(1+F68))^F69)/(F68-F70),0)</f>
        <v>-33798</v>
      </c>
      <c r="D68" s="910" t="s">
        <v>758</v>
      </c>
      <c r="E68" s="895" t="s">
        <v>759</v>
      </c>
      <c r="F68" s="304">
        <f ca="1">F40</f>
        <v>0.06</v>
      </c>
      <c r="O68" s="1333" t="s">
        <v>406</v>
      </c>
      <c r="P68" s="1370" t="s">
        <v>871</v>
      </c>
      <c r="Q68" s="1326">
        <f ca="1">ROUND(Q69-Q70*Q71,0)</f>
        <v>153474</v>
      </c>
      <c r="R68" s="1326" t="s">
        <v>414</v>
      </c>
    </row>
    <row r="69" spans="1:18" s="1291" customFormat="1" ht="13.5" thickBot="1">
      <c r="A69" s="896"/>
      <c r="B69" s="897"/>
      <c r="C69" s="298"/>
      <c r="D69" s="915" t="s">
        <v>762</v>
      </c>
      <c r="E69" s="895" t="s">
        <v>763</v>
      </c>
      <c r="F69" s="324">
        <f ca="1">F41</f>
        <v>24.02</v>
      </c>
      <c r="O69" s="1333" t="s">
        <v>411</v>
      </c>
      <c r="P69" s="1370" t="s">
        <v>872</v>
      </c>
      <c r="Q69" s="1326">
        <f ca="1">C39</f>
        <v>209217</v>
      </c>
      <c r="R69" s="1326" t="s">
        <v>818</v>
      </c>
    </row>
    <row r="70" spans="1:18" s="1291" customFormat="1" ht="13.5" thickBot="1">
      <c r="A70" s="899"/>
      <c r="B70" s="900"/>
      <c r="C70" s="302"/>
      <c r="D70" s="911"/>
      <c r="E70" s="895" t="s">
        <v>766</v>
      </c>
      <c r="F70" s="990"/>
      <c r="O70" s="1333" t="s">
        <v>412</v>
      </c>
      <c r="P70" s="1370" t="s">
        <v>873</v>
      </c>
      <c r="Q70" s="1326">
        <f ca="1">C13</f>
        <v>796333</v>
      </c>
      <c r="R70" s="1326" t="s">
        <v>818</v>
      </c>
    </row>
    <row r="71" spans="1:18" s="1291" customFormat="1" ht="13.5" thickBot="1">
      <c r="A71" s="916" t="s">
        <v>396</v>
      </c>
      <c r="B71" s="917" t="s">
        <v>776</v>
      </c>
      <c r="C71" s="327">
        <f ca="1">ROUND(C68/F71,0)</f>
        <v>-244</v>
      </c>
      <c r="D71" s="918" t="s">
        <v>777</v>
      </c>
      <c r="E71" s="919" t="s">
        <v>778</v>
      </c>
      <c r="F71" s="330">
        <f ca="1">F43</f>
        <v>138.79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55743</v>
      </c>
      <c r="D75" s="1291"/>
      <c r="E75" s="1291"/>
      <c r="F75" s="1291"/>
      <c r="K75" s="1308"/>
      <c r="L75" s="1291"/>
      <c r="O75" s="1324" t="s">
        <v>409</v>
      </c>
      <c r="P75" s="1325" t="s">
        <v>838</v>
      </c>
      <c r="Q75" s="1326">
        <f ca="1">Q65+Q66</f>
        <v>3154239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0.73399999999999999</v>
      </c>
    </row>
    <row r="80" spans="1:18">
      <c r="B80" s="331" t="s">
        <v>800</v>
      </c>
      <c r="C80" s="266">
        <f ca="1">ROUND(C75/C39,3)</f>
        <v>0.26600000000000001</v>
      </c>
    </row>
    <row r="81" spans="2:3">
      <c r="B81" s="262" t="s">
        <v>801</v>
      </c>
      <c r="C81" s="230"/>
    </row>
    <row r="82" spans="2:3">
      <c r="B82" s="265" t="s">
        <v>802</v>
      </c>
      <c r="C82" s="267">
        <f ca="1">1-C83</f>
        <v>0.748</v>
      </c>
    </row>
    <row r="83" spans="2:3">
      <c r="B83" s="265" t="s">
        <v>803</v>
      </c>
      <c r="C83" s="266">
        <f ca="1">ROUND(C13/C40,3)</f>
        <v>0.252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3347</v>
      </c>
      <c r="E2" s="3139"/>
      <c r="F2" s="2597"/>
      <c r="G2" s="2598"/>
      <c r="H2" s="2599"/>
      <c r="I2" s="2600"/>
      <c r="J2" s="3428" t="s">
        <v>2307</v>
      </c>
      <c r="K2" s="3429"/>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430" t="s">
        <v>2317</v>
      </c>
      <c r="K3" s="3431"/>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430" t="s">
        <v>2319</v>
      </c>
      <c r="K4" s="3431"/>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436" t="s">
        <v>2323</v>
      </c>
      <c r="B6" s="3437"/>
      <c r="C6" s="3438"/>
      <c r="D6" s="2621"/>
      <c r="E6" s="2622"/>
      <c r="F6" s="2623"/>
      <c r="G6" s="2624"/>
      <c r="H6" s="2599"/>
      <c r="I6" s="2600"/>
      <c r="J6" s="3422">
        <v>1</v>
      </c>
      <c r="K6" s="3423"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422"/>
      <c r="K7" s="3424"/>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439" t="s">
        <v>2337</v>
      </c>
      <c r="C8" s="3440"/>
      <c r="D8" s="2640" t="s">
        <v>2338</v>
      </c>
      <c r="E8" s="2641" t="s">
        <v>2339</v>
      </c>
      <c r="F8" s="2642" t="s">
        <v>2340</v>
      </c>
      <c r="G8" s="2643"/>
      <c r="H8" s="2599"/>
      <c r="I8" s="2600"/>
      <c r="J8" s="3422"/>
      <c r="K8" s="3424"/>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439" t="s">
        <v>2343</v>
      </c>
      <c r="C9" s="3440"/>
      <c r="D9" s="2640">
        <f>ROUND(D6*E9,0)</f>
        <v>0</v>
      </c>
      <c r="E9" s="2644"/>
      <c r="F9" s="2645" t="s">
        <v>2344</v>
      </c>
      <c r="G9" s="2624"/>
      <c r="H9" s="2599"/>
      <c r="I9" s="2600"/>
      <c r="J9" s="3422"/>
      <c r="K9" s="3424"/>
      <c r="L9" s="2634" t="s">
        <v>2345</v>
      </c>
      <c r="M9" s="2635"/>
      <c r="N9" s="2611"/>
      <c r="O9" s="2636"/>
      <c r="P9" s="2636"/>
      <c r="Q9" s="2637">
        <v>365</v>
      </c>
      <c r="R9" s="2638">
        <f t="shared" si="0"/>
        <v>0</v>
      </c>
      <c r="S9" s="2592"/>
      <c r="T9" s="2592"/>
      <c r="U9" s="2592"/>
      <c r="V9" s="2600"/>
    </row>
    <row r="10" spans="1:22" s="2604" customFormat="1" ht="13.15" customHeight="1">
      <c r="A10" s="2639">
        <v>2</v>
      </c>
      <c r="B10" s="3439" t="s">
        <v>2346</v>
      </c>
      <c r="C10" s="3440"/>
      <c r="D10" s="2640">
        <f>ROUND(D6*E10,0)</f>
        <v>0</v>
      </c>
      <c r="E10" s="2644"/>
      <c r="F10" s="2645" t="s">
        <v>2347</v>
      </c>
      <c r="G10" s="2624"/>
      <c r="H10" s="2599"/>
      <c r="I10" s="2600"/>
      <c r="J10" s="3422"/>
      <c r="K10" s="3424"/>
      <c r="L10" s="2634" t="s">
        <v>2348</v>
      </c>
      <c r="M10" s="2635"/>
      <c r="N10" s="2611"/>
      <c r="O10" s="2636"/>
      <c r="P10" s="2636"/>
      <c r="Q10" s="2637">
        <v>365</v>
      </c>
      <c r="R10" s="2638">
        <f t="shared" si="0"/>
        <v>0</v>
      </c>
      <c r="S10" s="2592"/>
      <c r="T10" s="2592"/>
      <c r="U10" s="2592"/>
      <c r="V10" s="2600"/>
    </row>
    <row r="11" spans="1:22" s="2604" customFormat="1" ht="13.15" customHeight="1">
      <c r="A11" s="2639">
        <v>3</v>
      </c>
      <c r="B11" s="3439" t="s">
        <v>2349</v>
      </c>
      <c r="C11" s="3440"/>
      <c r="D11" s="2640">
        <f>D12+D14+D15+D16</f>
        <v>0</v>
      </c>
      <c r="E11" s="2646" t="e">
        <f>D11/D6</f>
        <v>#DIV/0!</v>
      </c>
      <c r="F11" s="2642"/>
      <c r="G11" s="2643"/>
      <c r="H11" s="2599"/>
      <c r="I11" s="2600"/>
      <c r="J11" s="3422"/>
      <c r="K11" s="3424"/>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432" t="s">
        <v>2352</v>
      </c>
      <c r="C12" s="3433"/>
      <c r="D12" s="2648">
        <f>ROUND(D13*1.2%*(1-30%),0)</f>
        <v>0</v>
      </c>
      <c r="E12" s="2649">
        <v>1.2E-2</v>
      </c>
      <c r="F12" s="2642" t="s">
        <v>2353</v>
      </c>
      <c r="G12" s="2643"/>
      <c r="H12" s="2599"/>
      <c r="I12" s="2600"/>
      <c r="J12" s="3422"/>
      <c r="K12" s="3424"/>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422"/>
      <c r="K13" s="3424"/>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432" t="s">
        <v>2358</v>
      </c>
      <c r="C14" s="3433"/>
      <c r="D14" s="2648">
        <f>ROUND(E14*B5/10000,0)</f>
        <v>0</v>
      </c>
      <c r="E14" s="2637"/>
      <c r="F14" s="2642" t="s">
        <v>2359</v>
      </c>
      <c r="G14" s="2643"/>
      <c r="H14" s="2599"/>
      <c r="I14" s="2600"/>
      <c r="J14" s="3422"/>
      <c r="K14" s="3425"/>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432" t="s">
        <v>2362</v>
      </c>
      <c r="C15" s="3433"/>
      <c r="D15" s="2648">
        <f>ROUND(D6*E15,0)</f>
        <v>0</v>
      </c>
      <c r="E15" s="2649">
        <v>5.5E-2</v>
      </c>
      <c r="F15" s="2642" t="s">
        <v>2363</v>
      </c>
      <c r="G15" s="2624"/>
      <c r="H15" s="2599"/>
      <c r="I15" s="2600"/>
      <c r="J15" s="3422">
        <v>2</v>
      </c>
      <c r="K15" s="3423"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432" t="s">
        <v>2371</v>
      </c>
      <c r="C16" s="3433"/>
      <c r="D16" s="2659">
        <f>D6*E16</f>
        <v>0</v>
      </c>
      <c r="E16" s="2660"/>
      <c r="F16" s="2645" t="s">
        <v>2372</v>
      </c>
      <c r="G16" s="2624"/>
      <c r="H16" s="2599"/>
      <c r="I16" s="2600"/>
      <c r="J16" s="3422"/>
      <c r="K16" s="3424"/>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434" t="s">
        <v>2374</v>
      </c>
      <c r="C17" s="3435"/>
      <c r="D17" s="2662">
        <f>ROUND(D6*E17,0)</f>
        <v>0</v>
      </c>
      <c r="E17" s="2663"/>
      <c r="F17" s="2664" t="s">
        <v>2375</v>
      </c>
      <c r="G17" s="2624"/>
      <c r="H17" s="2599"/>
      <c r="I17" s="2600"/>
      <c r="J17" s="3422"/>
      <c r="K17" s="3424"/>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422"/>
      <c r="K18" s="3424"/>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422"/>
      <c r="K19" s="3425"/>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2">
        <v>3</v>
      </c>
      <c r="K20" s="3423"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422"/>
      <c r="K21" s="3424"/>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422"/>
      <c r="K22" s="3424"/>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422"/>
      <c r="K23" s="3424"/>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422"/>
      <c r="K24" s="3425"/>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426">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42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428" t="s">
        <v>2307</v>
      </c>
      <c r="K32" s="3429"/>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430" t="s">
        <v>2317</v>
      </c>
      <c r="K33" s="3431"/>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430" t="s">
        <v>2319</v>
      </c>
      <c r="K34" s="343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422">
        <v>1</v>
      </c>
      <c r="K36" s="3423"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422"/>
      <c r="K37" s="3424"/>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2"/>
      <c r="K38" s="3424"/>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422"/>
      <c r="K39" s="3424"/>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422"/>
      <c r="K40" s="3425"/>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6">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42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322.09879999999998</v>
      </c>
      <c r="C2" s="1728" t="s">
        <v>1651</v>
      </c>
      <c r="D2" s="1729" t="s">
        <v>1652</v>
      </c>
      <c r="E2" s="2392">
        <f>SUM(E6:E13)</f>
        <v>138.79</v>
      </c>
      <c r="F2" s="2479"/>
      <c r="G2" s="459"/>
      <c r="H2" s="459"/>
      <c r="I2" s="459"/>
      <c r="J2" s="459"/>
      <c r="K2" s="459"/>
      <c r="L2" s="459"/>
      <c r="M2" s="459"/>
      <c r="N2" s="459"/>
      <c r="O2" s="459"/>
      <c r="P2" s="459"/>
      <c r="Q2" s="459"/>
      <c r="R2" s="459"/>
      <c r="S2" s="459"/>
    </row>
    <row r="3" spans="1:22" ht="15.75">
      <c r="A3" s="1727" t="s">
        <v>686</v>
      </c>
      <c r="B3" s="2386">
        <f ca="1">ROUND(B2*10000/E2,0)</f>
        <v>23208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1" t="s">
        <v>1654</v>
      </c>
      <c r="C5" s="3442"/>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322.09879999999998</v>
      </c>
      <c r="C6" s="1728" t="s">
        <v>1651</v>
      </c>
      <c r="D6" s="2479"/>
      <c r="E6" s="2391">
        <f>IF(OR(A6=0,F6="否"),0,'数据-取费表'!K6+'数据-取费表'!S6)</f>
        <v>138.79</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138.79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94" t="s">
        <v>1667</v>
      </c>
      <c r="D4" s="3395"/>
      <c r="E4" s="3396" t="s">
        <v>1668</v>
      </c>
      <c r="F4" s="3397"/>
      <c r="G4" s="3394" t="s">
        <v>1669</v>
      </c>
      <c r="H4" s="3395"/>
      <c r="I4" s="3394" t="s">
        <v>1670</v>
      </c>
      <c r="J4" s="3395"/>
      <c r="K4" s="1743" t="s">
        <v>1671</v>
      </c>
      <c r="L4" s="2486"/>
      <c r="M4" s="2487"/>
      <c r="N4" s="2487"/>
      <c r="O4" s="2487"/>
      <c r="P4" s="3398" t="s">
        <v>1672</v>
      </c>
      <c r="Q4" s="3399"/>
      <c r="R4" s="3404" t="s">
        <v>1668</v>
      </c>
      <c r="S4" s="3405"/>
      <c r="T4" s="3404" t="s">
        <v>1669</v>
      </c>
      <c r="U4" s="3405"/>
      <c r="V4" s="3377" t="s">
        <v>1670</v>
      </c>
      <c r="W4" s="3377"/>
      <c r="X4" s="1264"/>
      <c r="Y4" s="3404" t="s">
        <v>1672</v>
      </c>
      <c r="Z4" s="3405"/>
      <c r="AA4" s="3391" t="s">
        <v>1668</v>
      </c>
      <c r="AB4" s="3391" t="s">
        <v>1669</v>
      </c>
      <c r="AC4" s="3391" t="s">
        <v>1670</v>
      </c>
    </row>
    <row r="5" spans="1:29" ht="15">
      <c r="A5" s="348"/>
      <c r="B5" s="349"/>
      <c r="C5" s="3417" t="s">
        <v>1673</v>
      </c>
      <c r="D5" s="3413"/>
      <c r="E5" s="3443" t="s">
        <v>1674</v>
      </c>
      <c r="F5" s="3421"/>
      <c r="G5" s="3417" t="s">
        <v>1675</v>
      </c>
      <c r="H5" s="3413"/>
      <c r="I5" s="3417" t="s">
        <v>1676</v>
      </c>
      <c r="J5" s="3413"/>
      <c r="K5" s="1744"/>
      <c r="L5" s="2486"/>
      <c r="M5" s="2487"/>
      <c r="N5" s="2487"/>
      <c r="O5" s="2487"/>
      <c r="P5" s="3400"/>
      <c r="Q5" s="3401"/>
      <c r="R5" s="3406"/>
      <c r="S5" s="3407"/>
      <c r="T5" s="3406"/>
      <c r="U5" s="3407"/>
      <c r="V5" s="3377"/>
      <c r="W5" s="3377"/>
      <c r="X5" s="1264"/>
      <c r="Y5" s="3406"/>
      <c r="Z5" s="3407"/>
      <c r="AA5" s="3392"/>
      <c r="AB5" s="3392"/>
      <c r="AC5" s="3392"/>
    </row>
    <row r="6" spans="1:29" ht="15.75" thickBot="1">
      <c r="A6" s="350"/>
      <c r="B6" s="351"/>
      <c r="C6" s="3410" t="s">
        <v>1677</v>
      </c>
      <c r="D6" s="3411"/>
      <c r="E6" s="3418" t="s">
        <v>1677</v>
      </c>
      <c r="F6" s="3419"/>
      <c r="G6" s="3410" t="s">
        <v>1677</v>
      </c>
      <c r="H6" s="3411"/>
      <c r="I6" s="3410" t="s">
        <v>1677</v>
      </c>
      <c r="J6" s="3411"/>
      <c r="K6" s="1744" t="s">
        <v>1678</v>
      </c>
      <c r="L6" s="2486"/>
      <c r="M6" s="2487"/>
      <c r="N6" s="2487"/>
      <c r="O6" s="2487"/>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4" t="s">
        <v>1680</v>
      </c>
      <c r="Q7" s="3416"/>
      <c r="R7" s="663" t="s">
        <v>20</v>
      </c>
      <c r="S7" s="664">
        <f t="shared" ref="S7:S15" si="0">F7</f>
        <v>0</v>
      </c>
      <c r="T7" s="663" t="s">
        <v>20</v>
      </c>
      <c r="U7" s="664">
        <f t="shared" ref="U7:U15" si="1">H7</f>
        <v>0</v>
      </c>
      <c r="V7" s="663" t="s">
        <v>20</v>
      </c>
      <c r="W7" s="664">
        <f t="shared" ref="W7:W15" si="2">J7</f>
        <v>0</v>
      </c>
      <c r="X7" s="665"/>
      <c r="Y7" s="3414" t="s">
        <v>1680</v>
      </c>
      <c r="Z7" s="3415"/>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4" t="s">
        <v>1683</v>
      </c>
      <c r="Q8" s="3415"/>
      <c r="R8" s="663" t="s">
        <v>20</v>
      </c>
      <c r="S8" s="664">
        <f t="shared" si="0"/>
        <v>100</v>
      </c>
      <c r="T8" s="663" t="s">
        <v>20</v>
      </c>
      <c r="U8" s="664">
        <f t="shared" si="1"/>
        <v>100</v>
      </c>
      <c r="V8" s="663" t="s">
        <v>20</v>
      </c>
      <c r="W8" s="664">
        <f t="shared" si="2"/>
        <v>100</v>
      </c>
      <c r="X8" s="665"/>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0"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0"/>
      <c r="Q11" s="530" t="str">
        <f t="shared" si="6"/>
        <v>容积率</v>
      </c>
      <c r="R11" s="663" t="s">
        <v>18</v>
      </c>
      <c r="S11" s="664" t="e">
        <f t="shared" si="0"/>
        <v>#N/A</v>
      </c>
      <c r="T11" s="663" t="s">
        <v>18</v>
      </c>
      <c r="U11" s="664" t="e">
        <f t="shared" si="1"/>
        <v>#N/A</v>
      </c>
      <c r="V11" s="663" t="s">
        <v>18</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0"/>
      <c r="Q12" s="530">
        <f t="shared" si="6"/>
        <v>111</v>
      </c>
      <c r="R12" s="663" t="s">
        <v>18</v>
      </c>
      <c r="S12" s="664">
        <f t="shared" si="0"/>
        <v>100</v>
      </c>
      <c r="T12" s="663" t="s">
        <v>18</v>
      </c>
      <c r="U12" s="664">
        <f t="shared" si="1"/>
        <v>100</v>
      </c>
      <c r="V12" s="663" t="s">
        <v>18</v>
      </c>
      <c r="W12" s="664">
        <f t="shared" si="2"/>
        <v>100</v>
      </c>
      <c r="X12" s="665"/>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0"/>
      <c r="Q13" s="530">
        <f t="shared" si="6"/>
        <v>111</v>
      </c>
      <c r="R13" s="663" t="s">
        <v>18</v>
      </c>
      <c r="S13" s="664">
        <f t="shared" si="0"/>
        <v>100</v>
      </c>
      <c r="T13" s="663" t="s">
        <v>18</v>
      </c>
      <c r="U13" s="664">
        <f t="shared" si="1"/>
        <v>100</v>
      </c>
      <c r="V13" s="663" t="s">
        <v>18</v>
      </c>
      <c r="W13" s="664">
        <f t="shared" si="2"/>
        <v>100</v>
      </c>
      <c r="X13" s="665"/>
      <c r="Y13" s="327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0"/>
      <c r="Q14" s="530">
        <f t="shared" si="6"/>
        <v>111</v>
      </c>
      <c r="R14" s="663" t="s">
        <v>18</v>
      </c>
      <c r="S14" s="664">
        <f t="shared" si="0"/>
        <v>100</v>
      </c>
      <c r="T14" s="663" t="s">
        <v>18</v>
      </c>
      <c r="U14" s="664">
        <f t="shared" si="1"/>
        <v>100</v>
      </c>
      <c r="V14" s="663" t="s">
        <v>18</v>
      </c>
      <c r="W14" s="664">
        <f t="shared" si="2"/>
        <v>100</v>
      </c>
      <c r="X14" s="665"/>
      <c r="Y14" s="3275"/>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1" t="s">
        <v>1691</v>
      </c>
      <c r="Q15" s="1262" t="str">
        <f t="shared" si="6"/>
        <v>居住社区成熟度</v>
      </c>
      <c r="R15" s="666" t="s">
        <v>18</v>
      </c>
      <c r="S15" s="667">
        <f t="shared" si="0"/>
        <v>100</v>
      </c>
      <c r="T15" s="666" t="s">
        <v>18</v>
      </c>
      <c r="U15" s="667">
        <f t="shared" si="1"/>
        <v>100</v>
      </c>
      <c r="V15" s="666" t="s">
        <v>18</v>
      </c>
      <c r="W15" s="667">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2"/>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2"/>
      <c r="Q17" s="1262" t="str">
        <f>B17</f>
        <v>交通便捷度</v>
      </c>
      <c r="R17" s="666" t="s">
        <v>18</v>
      </c>
      <c r="S17" s="667">
        <f>F17</f>
        <v>100</v>
      </c>
      <c r="T17" s="666" t="s">
        <v>18</v>
      </c>
      <c r="U17" s="667">
        <f>H17</f>
        <v>100</v>
      </c>
      <c r="V17" s="666" t="s">
        <v>18</v>
      </c>
      <c r="W17" s="667">
        <f>J17</f>
        <v>100</v>
      </c>
      <c r="X17" s="1264"/>
      <c r="Y17" s="338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2"/>
      <c r="Q18" s="1262"/>
      <c r="R18" s="666"/>
      <c r="S18" s="667"/>
      <c r="T18" s="666"/>
      <c r="U18" s="667"/>
      <c r="V18" s="666"/>
      <c r="W18" s="667"/>
      <c r="X18" s="1264"/>
      <c r="Y18" s="3384"/>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2"/>
      <c r="Q19" s="1262" t="str">
        <f>B19</f>
        <v>公共配套设施</v>
      </c>
      <c r="R19" s="666" t="s">
        <v>18</v>
      </c>
      <c r="S19" s="667">
        <f>F19</f>
        <v>100</v>
      </c>
      <c r="T19" s="666" t="s">
        <v>18</v>
      </c>
      <c r="U19" s="667">
        <f>H19</f>
        <v>100</v>
      </c>
      <c r="V19" s="666" t="s">
        <v>18</v>
      </c>
      <c r="W19" s="667">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2"/>
      <c r="Q20" s="1262"/>
      <c r="R20" s="666"/>
      <c r="S20" s="667"/>
      <c r="T20" s="666"/>
      <c r="U20" s="667"/>
      <c r="V20" s="666"/>
      <c r="W20" s="667"/>
      <c r="X20" s="1264"/>
      <c r="Y20" s="3384"/>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82"/>
      <c r="Q22" s="1262"/>
      <c r="R22" s="666"/>
      <c r="S22" s="667"/>
      <c r="T22" s="666"/>
      <c r="U22" s="667"/>
      <c r="V22" s="666"/>
      <c r="W22" s="667"/>
      <c r="X22" s="1264"/>
      <c r="Y22" s="3384"/>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2"/>
      <c r="Q23" s="1262" t="str">
        <f>B23</f>
        <v>自然及人文环境</v>
      </c>
      <c r="R23" s="666" t="s">
        <v>18</v>
      </c>
      <c r="S23" s="667">
        <f>F23</f>
        <v>100</v>
      </c>
      <c r="T23" s="666" t="s">
        <v>18</v>
      </c>
      <c r="U23" s="667">
        <f>H23</f>
        <v>100</v>
      </c>
      <c r="V23" s="666" t="s">
        <v>18</v>
      </c>
      <c r="W23" s="667">
        <f>J23</f>
        <v>100</v>
      </c>
      <c r="X23" s="1264"/>
      <c r="Y23" s="338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2"/>
      <c r="Q24" s="1262"/>
      <c r="R24" s="666"/>
      <c r="S24" s="667"/>
      <c r="T24" s="666"/>
      <c r="U24" s="667"/>
      <c r="V24" s="666"/>
      <c r="W24" s="667"/>
      <c r="X24" s="1264"/>
      <c r="Y24" s="338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2"/>
      <c r="Q26" s="1262" t="str">
        <f t="shared" si="11"/>
        <v>朝向</v>
      </c>
      <c r="R26" s="666" t="s">
        <v>18</v>
      </c>
      <c r="S26" s="667">
        <f t="shared" si="12"/>
        <v>100</v>
      </c>
      <c r="T26" s="666" t="s">
        <v>18</v>
      </c>
      <c r="U26" s="667">
        <f t="shared" si="13"/>
        <v>100</v>
      </c>
      <c r="V26" s="666" t="s">
        <v>18</v>
      </c>
      <c r="W26" s="667">
        <f t="shared" si="14"/>
        <v>100</v>
      </c>
      <c r="X26" s="1264"/>
      <c r="Y26" s="338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2"/>
      <c r="Q27" s="530">
        <f t="shared" si="11"/>
        <v>111</v>
      </c>
      <c r="R27" s="663" t="s">
        <v>18</v>
      </c>
      <c r="S27" s="664">
        <f t="shared" si="12"/>
        <v>100</v>
      </c>
      <c r="T27" s="663" t="s">
        <v>18</v>
      </c>
      <c r="U27" s="664">
        <f t="shared" si="13"/>
        <v>100</v>
      </c>
      <c r="V27" s="663" t="s">
        <v>18</v>
      </c>
      <c r="W27" s="664">
        <f t="shared" si="14"/>
        <v>100</v>
      </c>
      <c r="X27" s="665"/>
      <c r="Y27" s="338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2"/>
      <c r="Q28" s="1262">
        <f t="shared" si="11"/>
        <v>111</v>
      </c>
      <c r="R28" s="666" t="s">
        <v>18</v>
      </c>
      <c r="S28" s="667">
        <f t="shared" si="12"/>
        <v>100</v>
      </c>
      <c r="T28" s="666" t="s">
        <v>18</v>
      </c>
      <c r="U28" s="667">
        <f t="shared" si="13"/>
        <v>100</v>
      </c>
      <c r="V28" s="666" t="s">
        <v>18</v>
      </c>
      <c r="W28" s="667">
        <f t="shared" si="14"/>
        <v>100</v>
      </c>
      <c r="X28" s="1264"/>
      <c r="Y28" s="338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2"/>
      <c r="Q29" s="1262">
        <f t="shared" si="11"/>
        <v>111</v>
      </c>
      <c r="R29" s="666" t="s">
        <v>18</v>
      </c>
      <c r="S29" s="667">
        <f t="shared" si="12"/>
        <v>100</v>
      </c>
      <c r="T29" s="666" t="s">
        <v>18</v>
      </c>
      <c r="U29" s="667">
        <f t="shared" si="13"/>
        <v>100</v>
      </c>
      <c r="V29" s="666" t="s">
        <v>18</v>
      </c>
      <c r="W29" s="667">
        <f t="shared" si="14"/>
        <v>100</v>
      </c>
      <c r="X29" s="1264"/>
      <c r="Y29" s="338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2"/>
      <c r="Q30" s="1262">
        <f t="shared" si="11"/>
        <v>111</v>
      </c>
      <c r="R30" s="666" t="s">
        <v>18</v>
      </c>
      <c r="S30" s="667">
        <f t="shared" si="12"/>
        <v>100</v>
      </c>
      <c r="T30" s="666" t="s">
        <v>18</v>
      </c>
      <c r="U30" s="667">
        <f t="shared" si="13"/>
        <v>100</v>
      </c>
      <c r="V30" s="666" t="s">
        <v>18</v>
      </c>
      <c r="W30" s="667">
        <f t="shared" si="14"/>
        <v>100</v>
      </c>
      <c r="X30" s="1264"/>
      <c r="Y30" s="338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2"/>
      <c r="Q31" s="1262">
        <f t="shared" si="11"/>
        <v>111</v>
      </c>
      <c r="R31" s="666" t="s">
        <v>18</v>
      </c>
      <c r="S31" s="667">
        <f t="shared" si="12"/>
        <v>100</v>
      </c>
      <c r="T31" s="666" t="s">
        <v>18</v>
      </c>
      <c r="U31" s="667">
        <f t="shared" si="13"/>
        <v>100</v>
      </c>
      <c r="V31" s="666" t="s">
        <v>18</v>
      </c>
      <c r="W31" s="667">
        <f t="shared" si="14"/>
        <v>100</v>
      </c>
      <c r="X31" s="1264"/>
      <c r="Y31" s="338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5" t="s">
        <v>1696</v>
      </c>
      <c r="Q32" s="1262" t="str">
        <f t="shared" si="11"/>
        <v>建筑类型</v>
      </c>
      <c r="R32" s="666" t="s">
        <v>18</v>
      </c>
      <c r="S32" s="667">
        <f t="shared" si="12"/>
        <v>100</v>
      </c>
      <c r="T32" s="666" t="s">
        <v>18</v>
      </c>
      <c r="U32" s="667">
        <f t="shared" si="13"/>
        <v>100</v>
      </c>
      <c r="V32" s="666" t="s">
        <v>18</v>
      </c>
      <c r="W32" s="667">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6"/>
      <c r="Q33" s="531" t="str">
        <f t="shared" si="11"/>
        <v>项目建筑规模</v>
      </c>
      <c r="R33" s="668" t="s">
        <v>18</v>
      </c>
      <c r="S33" s="669" t="e">
        <f t="shared" si="12"/>
        <v>#N/A</v>
      </c>
      <c r="T33" s="668" t="s">
        <v>18</v>
      </c>
      <c r="U33" s="669" t="e">
        <f t="shared" si="13"/>
        <v>#N/A</v>
      </c>
      <c r="V33" s="668" t="s">
        <v>18</v>
      </c>
      <c r="W33" s="669" t="e">
        <f t="shared" si="14"/>
        <v>#N/A</v>
      </c>
      <c r="X33" s="670"/>
      <c r="Y33" s="3388"/>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6"/>
      <c r="Q34" s="1262" t="str">
        <f t="shared" si="11"/>
        <v>建筑结构</v>
      </c>
      <c r="R34" s="666" t="s">
        <v>18</v>
      </c>
      <c r="S34" s="667">
        <f t="shared" si="12"/>
        <v>100</v>
      </c>
      <c r="T34" s="666" t="s">
        <v>18</v>
      </c>
      <c r="U34" s="667">
        <f t="shared" si="13"/>
        <v>100</v>
      </c>
      <c r="V34" s="666" t="s">
        <v>18</v>
      </c>
      <c r="W34" s="667">
        <f t="shared" si="14"/>
        <v>100</v>
      </c>
      <c r="X34" s="1264"/>
      <c r="Y34" s="338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6"/>
      <c r="Q35" s="1262" t="str">
        <f t="shared" si="11"/>
        <v>建筑品质</v>
      </c>
      <c r="R35" s="666" t="s">
        <v>18</v>
      </c>
      <c r="S35" s="667">
        <f t="shared" si="12"/>
        <v>100</v>
      </c>
      <c r="T35" s="666" t="s">
        <v>18</v>
      </c>
      <c r="U35" s="667">
        <f t="shared" si="13"/>
        <v>100</v>
      </c>
      <c r="V35" s="666" t="s">
        <v>18</v>
      </c>
      <c r="W35" s="667">
        <f t="shared" si="14"/>
        <v>100</v>
      </c>
      <c r="X35" s="1264"/>
      <c r="Y35" s="338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6"/>
      <c r="Q36" s="1262" t="str">
        <f t="shared" si="11"/>
        <v>公共部分装修</v>
      </c>
      <c r="R36" s="666" t="s">
        <v>18</v>
      </c>
      <c r="S36" s="667">
        <f t="shared" si="12"/>
        <v>100</v>
      </c>
      <c r="T36" s="666" t="s">
        <v>18</v>
      </c>
      <c r="U36" s="667">
        <f t="shared" si="13"/>
        <v>100</v>
      </c>
      <c r="V36" s="666" t="s">
        <v>18</v>
      </c>
      <c r="W36" s="667">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3" t="s">
        <v>18</v>
      </c>
      <c r="S37" s="664" t="e">
        <f t="shared" si="12"/>
        <v>#N/A</v>
      </c>
      <c r="T37" s="663" t="s">
        <v>18</v>
      </c>
      <c r="U37" s="664" t="e">
        <f t="shared" si="13"/>
        <v>#N/A</v>
      </c>
      <c r="V37" s="663" t="s">
        <v>18</v>
      </c>
      <c r="W37" s="664" t="e">
        <f t="shared" si="14"/>
        <v>#N/A</v>
      </c>
      <c r="X37" s="665"/>
      <c r="Y37" s="338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6" t="s">
        <v>1696</v>
      </c>
      <c r="Q38" s="1262" t="str">
        <f t="shared" si="11"/>
        <v>物业管理</v>
      </c>
      <c r="R38" s="666" t="s">
        <v>18</v>
      </c>
      <c r="S38" s="667">
        <f t="shared" si="12"/>
        <v>100</v>
      </c>
      <c r="T38" s="666" t="s">
        <v>18</v>
      </c>
      <c r="U38" s="667">
        <f t="shared" si="13"/>
        <v>100</v>
      </c>
      <c r="V38" s="666" t="s">
        <v>18</v>
      </c>
      <c r="W38" s="667">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6"/>
      <c r="Q39" s="1262" t="str">
        <f t="shared" si="11"/>
        <v>市政基础设施</v>
      </c>
      <c r="R39" s="666" t="s">
        <v>18</v>
      </c>
      <c r="S39" s="667">
        <f t="shared" si="12"/>
        <v>100</v>
      </c>
      <c r="T39" s="666" t="s">
        <v>18</v>
      </c>
      <c r="U39" s="667">
        <f t="shared" si="13"/>
        <v>100</v>
      </c>
      <c r="V39" s="666" t="s">
        <v>18</v>
      </c>
      <c r="W39" s="667">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6"/>
      <c r="Q40" s="1262" t="str">
        <f t="shared" si="11"/>
        <v>房型</v>
      </c>
      <c r="R40" s="666" t="s">
        <v>18</v>
      </c>
      <c r="S40" s="667">
        <f t="shared" si="12"/>
        <v>100</v>
      </c>
      <c r="T40" s="666" t="s">
        <v>18</v>
      </c>
      <c r="U40" s="667">
        <f t="shared" si="13"/>
        <v>100</v>
      </c>
      <c r="V40" s="666" t="s">
        <v>18</v>
      </c>
      <c r="W40" s="667">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6"/>
      <c r="Q41" s="531" t="str">
        <f t="shared" si="11"/>
        <v>单套/主力户型建筑面积</v>
      </c>
      <c r="R41" s="668" t="s">
        <v>18</v>
      </c>
      <c r="S41" s="669">
        <f t="shared" si="12"/>
        <v>100</v>
      </c>
      <c r="T41" s="668" t="s">
        <v>18</v>
      </c>
      <c r="U41" s="669">
        <f t="shared" si="13"/>
        <v>100</v>
      </c>
      <c r="V41" s="668" t="s">
        <v>18</v>
      </c>
      <c r="W41" s="669">
        <f t="shared" si="14"/>
        <v>100</v>
      </c>
      <c r="X41" s="670"/>
      <c r="Y41" s="3388"/>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6"/>
      <c r="Q42" s="1262" t="str">
        <f t="shared" si="11"/>
        <v>内部装修</v>
      </c>
      <c r="R42" s="666" t="s">
        <v>18</v>
      </c>
      <c r="S42" s="667">
        <f t="shared" si="12"/>
        <v>100</v>
      </c>
      <c r="T42" s="666" t="s">
        <v>18</v>
      </c>
      <c r="U42" s="667">
        <f t="shared" si="13"/>
        <v>100</v>
      </c>
      <c r="V42" s="666" t="s">
        <v>18</v>
      </c>
      <c r="W42" s="667">
        <f t="shared" si="14"/>
        <v>100</v>
      </c>
      <c r="X42" s="1264"/>
      <c r="Y42" s="338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6"/>
      <c r="Q43" s="1262" t="str">
        <f t="shared" si="11"/>
        <v>内部装修维护情况</v>
      </c>
      <c r="R43" s="666" t="s">
        <v>18</v>
      </c>
      <c r="S43" s="667">
        <f t="shared" si="12"/>
        <v>100</v>
      </c>
      <c r="T43" s="666" t="s">
        <v>18</v>
      </c>
      <c r="U43" s="667">
        <f t="shared" si="13"/>
        <v>100</v>
      </c>
      <c r="V43" s="666" t="s">
        <v>18</v>
      </c>
      <c r="W43" s="667">
        <f t="shared" si="14"/>
        <v>100</v>
      </c>
      <c r="X43" s="1264"/>
      <c r="Y43" s="338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6"/>
      <c r="Q44" s="530">
        <f t="shared" si="11"/>
        <v>111</v>
      </c>
      <c r="R44" s="663" t="s">
        <v>18</v>
      </c>
      <c r="S44" s="664">
        <f t="shared" si="12"/>
        <v>100</v>
      </c>
      <c r="T44" s="663" t="s">
        <v>18</v>
      </c>
      <c r="U44" s="664">
        <f t="shared" si="13"/>
        <v>100</v>
      </c>
      <c r="V44" s="663" t="s">
        <v>18</v>
      </c>
      <c r="W44" s="664">
        <f t="shared" si="14"/>
        <v>100</v>
      </c>
      <c r="X44" s="665"/>
      <c r="Y44" s="338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6"/>
      <c r="Q45" s="1262">
        <f t="shared" si="11"/>
        <v>111</v>
      </c>
      <c r="R45" s="666" t="s">
        <v>18</v>
      </c>
      <c r="S45" s="667">
        <f t="shared" si="12"/>
        <v>100</v>
      </c>
      <c r="T45" s="666" t="s">
        <v>18</v>
      </c>
      <c r="U45" s="667">
        <f t="shared" si="13"/>
        <v>100</v>
      </c>
      <c r="V45" s="666" t="s">
        <v>18</v>
      </c>
      <c r="W45" s="667">
        <f t="shared" si="14"/>
        <v>100</v>
      </c>
      <c r="X45" s="1264"/>
      <c r="Y45" s="338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7"/>
      <c r="Q46" s="1262">
        <f t="shared" si="11"/>
        <v>111</v>
      </c>
      <c r="R46" s="666" t="s">
        <v>17</v>
      </c>
      <c r="S46" s="667">
        <f t="shared" si="12"/>
        <v>100</v>
      </c>
      <c r="T46" s="666" t="s">
        <v>17</v>
      </c>
      <c r="U46" s="667">
        <f t="shared" si="13"/>
        <v>100</v>
      </c>
      <c r="V46" s="666" t="s">
        <v>17</v>
      </c>
      <c r="W46" s="667">
        <f t="shared" si="14"/>
        <v>100</v>
      </c>
      <c r="X46" s="1264"/>
      <c r="Y46" s="3389"/>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76" t="str">
        <f>A47</f>
        <v>成交单价（元/平方米）</v>
      </c>
      <c r="Q47" s="3376"/>
      <c r="R47" s="3377">
        <f>E47</f>
        <v>0</v>
      </c>
      <c r="S47" s="3377"/>
      <c r="T47" s="3377">
        <f>G47</f>
        <v>0</v>
      </c>
      <c r="U47" s="3377"/>
      <c r="V47" s="3377">
        <f>I47</f>
        <v>0</v>
      </c>
      <c r="W47" s="3377"/>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138.79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450" t="s">
        <v>1775</v>
      </c>
      <c r="Q4" s="3451"/>
      <c r="R4" s="3454" t="s">
        <v>1771</v>
      </c>
      <c r="S4" s="3455"/>
      <c r="T4" s="3454" t="s">
        <v>1772</v>
      </c>
      <c r="U4" s="3455"/>
      <c r="V4" s="3456" t="s">
        <v>1773</v>
      </c>
      <c r="W4" s="3456"/>
      <c r="X4" s="1808"/>
      <c r="Y4" s="3454" t="s">
        <v>1775</v>
      </c>
      <c r="Z4" s="3455"/>
      <c r="AA4" s="3458" t="s">
        <v>1771</v>
      </c>
      <c r="AB4" s="3458" t="s">
        <v>1772</v>
      </c>
      <c r="AC4" s="3447" t="s">
        <v>1773</v>
      </c>
    </row>
    <row r="5" spans="1:29" ht="15">
      <c r="A5" s="348"/>
      <c r="B5" s="349"/>
      <c r="C5" s="3417" t="s">
        <v>1673</v>
      </c>
      <c r="D5" s="3413"/>
      <c r="E5" s="3443" t="s">
        <v>1674</v>
      </c>
      <c r="F5" s="3421"/>
      <c r="G5" s="3417" t="s">
        <v>1675</v>
      </c>
      <c r="H5" s="3413"/>
      <c r="I5" s="3417" t="s">
        <v>1676</v>
      </c>
      <c r="J5" s="3413"/>
      <c r="K5" s="537"/>
      <c r="L5" s="2486"/>
      <c r="M5" s="2487"/>
      <c r="N5" s="2487"/>
      <c r="O5" s="2487"/>
      <c r="P5" s="3452"/>
      <c r="Q5" s="3401"/>
      <c r="R5" s="3406"/>
      <c r="S5" s="3407"/>
      <c r="T5" s="3406"/>
      <c r="U5" s="3407"/>
      <c r="V5" s="3377"/>
      <c r="W5" s="3377"/>
      <c r="X5" s="1264"/>
      <c r="Y5" s="3406"/>
      <c r="Z5" s="3407"/>
      <c r="AA5" s="3392"/>
      <c r="AB5" s="3392"/>
      <c r="AC5" s="3448"/>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53"/>
      <c r="Q6" s="3403"/>
      <c r="R6" s="3406"/>
      <c r="S6" s="3407"/>
      <c r="T6" s="3408"/>
      <c r="U6" s="3409"/>
      <c r="V6" s="3377"/>
      <c r="W6" s="3377"/>
      <c r="X6" s="1264"/>
      <c r="Y6" s="3408"/>
      <c r="Z6" s="3409"/>
      <c r="AA6" s="3393"/>
      <c r="AB6" s="3393"/>
      <c r="AC6" s="3449"/>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7" t="s">
        <v>1680</v>
      </c>
      <c r="Q7" s="3416"/>
      <c r="R7" s="663" t="s">
        <v>14</v>
      </c>
      <c r="S7" s="664">
        <f t="shared" ref="S7:S15" si="0">F7</f>
        <v>0</v>
      </c>
      <c r="T7" s="663" t="s">
        <v>14</v>
      </c>
      <c r="U7" s="664">
        <f t="shared" ref="U7:U15" si="1">H7</f>
        <v>0</v>
      </c>
      <c r="V7" s="663" t="s">
        <v>14</v>
      </c>
      <c r="W7" s="664">
        <f t="shared" ref="W7:W15" si="2">J7</f>
        <v>0</v>
      </c>
      <c r="X7" s="665"/>
      <c r="Y7" s="3414" t="s">
        <v>1680</v>
      </c>
      <c r="Z7" s="3415"/>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7" t="s">
        <v>1683</v>
      </c>
      <c r="Q8" s="3415"/>
      <c r="R8" s="663" t="s">
        <v>14</v>
      </c>
      <c r="S8" s="664">
        <f t="shared" si="0"/>
        <v>100</v>
      </c>
      <c r="T8" s="663" t="s">
        <v>14</v>
      </c>
      <c r="U8" s="664">
        <f t="shared" si="1"/>
        <v>100</v>
      </c>
      <c r="V8" s="663" t="s">
        <v>14</v>
      </c>
      <c r="W8" s="664">
        <f t="shared" si="2"/>
        <v>100</v>
      </c>
      <c r="X8" s="665"/>
      <c r="Y8" s="3414" t="s">
        <v>1683</v>
      </c>
      <c r="Z8" s="3415"/>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0"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0"/>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0"/>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1" t="s">
        <v>1691</v>
      </c>
      <c r="Q15" s="1262" t="str">
        <f t="shared" si="6"/>
        <v>办公集聚程度</v>
      </c>
      <c r="R15" s="666" t="s">
        <v>14</v>
      </c>
      <c r="S15" s="667">
        <f t="shared" si="0"/>
        <v>100</v>
      </c>
      <c r="T15" s="666" t="s">
        <v>14</v>
      </c>
      <c r="U15" s="667">
        <f t="shared" si="1"/>
        <v>100</v>
      </c>
      <c r="V15" s="666" t="s">
        <v>14</v>
      </c>
      <c r="W15" s="667">
        <f t="shared" si="2"/>
        <v>100</v>
      </c>
      <c r="X15" s="1264"/>
      <c r="Y15" s="338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82"/>
      <c r="Q16" s="1262"/>
      <c r="R16" s="666"/>
      <c r="S16" s="667"/>
      <c r="T16" s="666"/>
      <c r="U16" s="667"/>
      <c r="V16" s="666"/>
      <c r="W16" s="667"/>
      <c r="X16" s="1264"/>
      <c r="Y16" s="3384"/>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2"/>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2"/>
      <c r="Q18" s="1262"/>
      <c r="R18" s="666"/>
      <c r="S18" s="667"/>
      <c r="T18" s="666"/>
      <c r="U18" s="667"/>
      <c r="V18" s="666"/>
      <c r="W18" s="667"/>
      <c r="X18" s="1264"/>
      <c r="Y18" s="3384"/>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2"/>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2"/>
      <c r="Q20" s="1262"/>
      <c r="R20" s="666"/>
      <c r="S20" s="667"/>
      <c r="T20" s="666"/>
      <c r="U20" s="667"/>
      <c r="V20" s="666"/>
      <c r="W20" s="667"/>
      <c r="X20" s="1264"/>
      <c r="Y20" s="3384"/>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382"/>
      <c r="Q22" s="1262"/>
      <c r="R22" s="666"/>
      <c r="S22" s="667"/>
      <c r="T22" s="666"/>
      <c r="U22" s="667"/>
      <c r="V22" s="666"/>
      <c r="W22" s="667"/>
      <c r="X22" s="1264"/>
      <c r="Y22" s="3384"/>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2"/>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2"/>
      <c r="Q24" s="1262"/>
      <c r="R24" s="666"/>
      <c r="S24" s="667"/>
      <c r="T24" s="666"/>
      <c r="U24" s="667"/>
      <c r="V24" s="666"/>
      <c r="W24" s="667"/>
      <c r="X24" s="1264"/>
      <c r="Y24" s="338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2"/>
      <c r="Q25" s="1262" t="str">
        <f>B25</f>
        <v>毗邻道路的类型与等级</v>
      </c>
      <c r="R25" s="666" t="s">
        <v>14</v>
      </c>
      <c r="S25" s="667">
        <f>F25</f>
        <v>100</v>
      </c>
      <c r="T25" s="666" t="s">
        <v>14</v>
      </c>
      <c r="U25" s="667">
        <f>H25</f>
        <v>100</v>
      </c>
      <c r="V25" s="666" t="s">
        <v>14</v>
      </c>
      <c r="W25" s="667">
        <f>J25</f>
        <v>100</v>
      </c>
      <c r="X25" s="1264"/>
      <c r="Y25" s="338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82"/>
      <c r="Q26" s="1262"/>
      <c r="R26" s="666"/>
      <c r="S26" s="667"/>
      <c r="T26" s="666"/>
      <c r="U26" s="667"/>
      <c r="V26" s="666"/>
      <c r="W26" s="667"/>
      <c r="X26" s="1264"/>
      <c r="Y26" s="338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2"/>
      <c r="Q27" s="1262" t="str">
        <f t="shared" ref="Q27:Q47" si="11">B27</f>
        <v>楼层</v>
      </c>
      <c r="R27" s="666" t="s">
        <v>14</v>
      </c>
      <c r="S27" s="667">
        <f>F27</f>
        <v>100</v>
      </c>
      <c r="T27" s="666" t="s">
        <v>14</v>
      </c>
      <c r="U27" s="667">
        <f>H27</f>
        <v>100</v>
      </c>
      <c r="V27" s="666" t="s">
        <v>14</v>
      </c>
      <c r="W27" s="667">
        <f>J27</f>
        <v>100</v>
      </c>
      <c r="X27" s="1264"/>
      <c r="Y27" s="338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2"/>
      <c r="Q28" s="530" t="str">
        <f t="shared" si="11"/>
        <v>朝向</v>
      </c>
      <c r="R28" s="663" t="s">
        <v>14</v>
      </c>
      <c r="S28" s="664">
        <f>F28</f>
        <v>100</v>
      </c>
      <c r="T28" s="663" t="s">
        <v>14</v>
      </c>
      <c r="U28" s="664">
        <f>H28</f>
        <v>100</v>
      </c>
      <c r="V28" s="663" t="s">
        <v>14</v>
      </c>
      <c r="W28" s="664">
        <f>J28</f>
        <v>100</v>
      </c>
      <c r="X28" s="665"/>
      <c r="Y28" s="338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2"/>
      <c r="Q29" s="1262">
        <f t="shared" si="11"/>
        <v>111</v>
      </c>
      <c r="R29" s="666" t="s">
        <v>14</v>
      </c>
      <c r="S29" s="667">
        <f t="shared" ref="S29:S47" si="12">F29</f>
        <v>100</v>
      </c>
      <c r="T29" s="666" t="s">
        <v>14</v>
      </c>
      <c r="U29" s="667">
        <f t="shared" ref="U29:U47" si="13">H29</f>
        <v>100</v>
      </c>
      <c r="V29" s="666" t="s">
        <v>14</v>
      </c>
      <c r="W29" s="667">
        <f t="shared" ref="W29:W47" si="14">J29</f>
        <v>100</v>
      </c>
      <c r="X29" s="1264"/>
      <c r="Y29" s="338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2"/>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2"/>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2"/>
      <c r="Q32" s="1262">
        <f t="shared" si="11"/>
        <v>111</v>
      </c>
      <c r="R32" s="666" t="s">
        <v>14</v>
      </c>
      <c r="S32" s="667">
        <f t="shared" si="12"/>
        <v>100</v>
      </c>
      <c r="T32" s="666" t="s">
        <v>14</v>
      </c>
      <c r="U32" s="667">
        <f t="shared" si="13"/>
        <v>100</v>
      </c>
      <c r="V32" s="666" t="s">
        <v>14</v>
      </c>
      <c r="W32" s="667">
        <f t="shared" si="14"/>
        <v>100</v>
      </c>
      <c r="X32" s="1264"/>
      <c r="Y32" s="338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5" t="s">
        <v>1696</v>
      </c>
      <c r="Q33" s="1262" t="str">
        <f t="shared" si="11"/>
        <v>建筑类型</v>
      </c>
      <c r="R33" s="666" t="s">
        <v>14</v>
      </c>
      <c r="S33" s="667">
        <f t="shared" si="12"/>
        <v>100</v>
      </c>
      <c r="T33" s="666" t="s">
        <v>14</v>
      </c>
      <c r="U33" s="667">
        <f t="shared" si="13"/>
        <v>100</v>
      </c>
      <c r="V33" s="666" t="s">
        <v>14</v>
      </c>
      <c r="W33" s="667">
        <f t="shared" si="14"/>
        <v>100</v>
      </c>
      <c r="X33" s="1264"/>
      <c r="Y33" s="338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8" t="s">
        <v>14</v>
      </c>
      <c r="S34" s="669" t="e">
        <f t="shared" si="12"/>
        <v>#N/A</v>
      </c>
      <c r="T34" s="668" t="s">
        <v>14</v>
      </c>
      <c r="U34" s="669" t="e">
        <f t="shared" si="13"/>
        <v>#N/A</v>
      </c>
      <c r="V34" s="668" t="s">
        <v>14</v>
      </c>
      <c r="W34" s="669" t="e">
        <f t="shared" si="14"/>
        <v>#N/A</v>
      </c>
      <c r="X34" s="670"/>
      <c r="Y34" s="3388"/>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2" t="str">
        <f t="shared" si="11"/>
        <v>建筑结构</v>
      </c>
      <c r="R35" s="666" t="s">
        <v>14</v>
      </c>
      <c r="S35" s="667">
        <f t="shared" si="12"/>
        <v>100</v>
      </c>
      <c r="T35" s="666" t="s">
        <v>14</v>
      </c>
      <c r="U35" s="667">
        <f t="shared" si="13"/>
        <v>100</v>
      </c>
      <c r="V35" s="666" t="s">
        <v>14</v>
      </c>
      <c r="W35" s="667">
        <f t="shared" si="14"/>
        <v>100</v>
      </c>
      <c r="X35" s="1264"/>
      <c r="Y35" s="338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2" t="str">
        <f t="shared" si="11"/>
        <v>公共部分装修</v>
      </c>
      <c r="R36" s="666" t="s">
        <v>14</v>
      </c>
      <c r="S36" s="667">
        <f t="shared" si="12"/>
        <v>100</v>
      </c>
      <c r="T36" s="666" t="s">
        <v>14</v>
      </c>
      <c r="U36" s="667">
        <f t="shared" si="13"/>
        <v>100</v>
      </c>
      <c r="V36" s="666" t="s">
        <v>14</v>
      </c>
      <c r="W36" s="667">
        <f t="shared" si="14"/>
        <v>100</v>
      </c>
      <c r="X36" s="1264"/>
      <c r="Y36" s="338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2" t="str">
        <f t="shared" si="11"/>
        <v>成新度</v>
      </c>
      <c r="R37" s="666" t="s">
        <v>14</v>
      </c>
      <c r="S37" s="667" t="e">
        <f t="shared" si="12"/>
        <v>#N/A</v>
      </c>
      <c r="T37" s="666" t="s">
        <v>14</v>
      </c>
      <c r="U37" s="667" t="e">
        <f t="shared" si="13"/>
        <v>#N/A</v>
      </c>
      <c r="V37" s="666" t="s">
        <v>14</v>
      </c>
      <c r="W37" s="667" t="e">
        <f t="shared" si="14"/>
        <v>#N/A</v>
      </c>
      <c r="X37" s="1264"/>
      <c r="Y37" s="338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3" t="s">
        <v>14</v>
      </c>
      <c r="S38" s="664">
        <f t="shared" si="12"/>
        <v>100</v>
      </c>
      <c r="T38" s="663" t="s">
        <v>14</v>
      </c>
      <c r="U38" s="664">
        <f t="shared" si="13"/>
        <v>100</v>
      </c>
      <c r="V38" s="663" t="s">
        <v>14</v>
      </c>
      <c r="W38" s="664">
        <f t="shared" si="14"/>
        <v>100</v>
      </c>
      <c r="X38" s="665"/>
      <c r="Y38" s="338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2" t="str">
        <f t="shared" si="11"/>
        <v>物业管理</v>
      </c>
      <c r="R39" s="666" t="s">
        <v>14</v>
      </c>
      <c r="S39" s="667">
        <f t="shared" si="12"/>
        <v>100</v>
      </c>
      <c r="T39" s="666" t="s">
        <v>14</v>
      </c>
      <c r="U39" s="667">
        <f t="shared" si="13"/>
        <v>100</v>
      </c>
      <c r="V39" s="666" t="s">
        <v>14</v>
      </c>
      <c r="W39" s="667">
        <f t="shared" si="14"/>
        <v>100</v>
      </c>
      <c r="X39" s="1264"/>
      <c r="Y39" s="338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2" t="str">
        <f t="shared" si="11"/>
        <v>市政基础设施</v>
      </c>
      <c r="R40" s="666" t="s">
        <v>14</v>
      </c>
      <c r="S40" s="667">
        <f t="shared" si="12"/>
        <v>100</v>
      </c>
      <c r="T40" s="666" t="s">
        <v>14</v>
      </c>
      <c r="U40" s="667">
        <f t="shared" si="13"/>
        <v>100</v>
      </c>
      <c r="V40" s="666" t="s">
        <v>14</v>
      </c>
      <c r="W40" s="667">
        <f t="shared" si="14"/>
        <v>100</v>
      </c>
      <c r="X40" s="1264"/>
      <c r="Y40" s="338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2" t="str">
        <f t="shared" si="11"/>
        <v>层高</v>
      </c>
      <c r="R41" s="666" t="s">
        <v>14</v>
      </c>
      <c r="S41" s="667">
        <f t="shared" si="12"/>
        <v>100</v>
      </c>
      <c r="T41" s="666" t="s">
        <v>14</v>
      </c>
      <c r="U41" s="667">
        <f t="shared" si="13"/>
        <v>100</v>
      </c>
      <c r="V41" s="666" t="s">
        <v>14</v>
      </c>
      <c r="W41" s="667">
        <f t="shared" si="14"/>
        <v>100</v>
      </c>
      <c r="X41" s="1264"/>
      <c r="Y41" s="338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8" t="s">
        <v>14</v>
      </c>
      <c r="S42" s="669">
        <f t="shared" si="12"/>
        <v>100</v>
      </c>
      <c r="T42" s="668" t="s">
        <v>14</v>
      </c>
      <c r="U42" s="669">
        <f t="shared" si="13"/>
        <v>100</v>
      </c>
      <c r="V42" s="668" t="s">
        <v>14</v>
      </c>
      <c r="W42" s="669">
        <f t="shared" si="14"/>
        <v>100</v>
      </c>
      <c r="X42" s="670"/>
      <c r="Y42" s="3388"/>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2" t="str">
        <f t="shared" si="11"/>
        <v>内部装修</v>
      </c>
      <c r="R43" s="666" t="s">
        <v>14</v>
      </c>
      <c r="S43" s="667">
        <f t="shared" si="12"/>
        <v>100</v>
      </c>
      <c r="T43" s="666" t="s">
        <v>14</v>
      </c>
      <c r="U43" s="667">
        <f t="shared" si="13"/>
        <v>100</v>
      </c>
      <c r="V43" s="666" t="s">
        <v>14</v>
      </c>
      <c r="W43" s="667">
        <f t="shared" si="14"/>
        <v>100</v>
      </c>
      <c r="X43" s="1264"/>
      <c r="Y43" s="338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6"/>
      <c r="Q44" s="1262" t="str">
        <f t="shared" si="11"/>
        <v>内部装修维护情况</v>
      </c>
      <c r="R44" s="666" t="s">
        <v>14</v>
      </c>
      <c r="S44" s="667">
        <f t="shared" si="12"/>
        <v>100</v>
      </c>
      <c r="T44" s="666" t="s">
        <v>14</v>
      </c>
      <c r="U44" s="667">
        <f t="shared" si="13"/>
        <v>100</v>
      </c>
      <c r="V44" s="666" t="s">
        <v>14</v>
      </c>
      <c r="W44" s="667">
        <f t="shared" si="14"/>
        <v>100</v>
      </c>
      <c r="X44" s="1264"/>
      <c r="Y44" s="338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3" t="s">
        <v>14</v>
      </c>
      <c r="S45" s="664">
        <f t="shared" si="12"/>
        <v>100</v>
      </c>
      <c r="T45" s="663" t="s">
        <v>14</v>
      </c>
      <c r="U45" s="664">
        <f t="shared" si="13"/>
        <v>100</v>
      </c>
      <c r="V45" s="663" t="s">
        <v>14</v>
      </c>
      <c r="W45" s="664">
        <f t="shared" si="14"/>
        <v>100</v>
      </c>
      <c r="X45" s="665"/>
      <c r="Y45" s="338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2">
        <f t="shared" si="11"/>
        <v>111</v>
      </c>
      <c r="R46" s="666" t="s">
        <v>14</v>
      </c>
      <c r="S46" s="667">
        <f t="shared" si="12"/>
        <v>100</v>
      </c>
      <c r="T46" s="666" t="s">
        <v>14</v>
      </c>
      <c r="U46" s="667">
        <f t="shared" si="13"/>
        <v>100</v>
      </c>
      <c r="V46" s="666" t="s">
        <v>14</v>
      </c>
      <c r="W46" s="667">
        <f t="shared" si="14"/>
        <v>100</v>
      </c>
      <c r="X46" s="1264"/>
      <c r="Y46" s="338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2">
        <f t="shared" si="11"/>
        <v>111</v>
      </c>
      <c r="R47" s="666" t="s">
        <v>14</v>
      </c>
      <c r="S47" s="667">
        <f t="shared" si="12"/>
        <v>100</v>
      </c>
      <c r="T47" s="666" t="s">
        <v>14</v>
      </c>
      <c r="U47" s="667">
        <f t="shared" si="13"/>
        <v>100</v>
      </c>
      <c r="V47" s="666" t="s">
        <v>14</v>
      </c>
      <c r="W47" s="667">
        <f t="shared" si="14"/>
        <v>100</v>
      </c>
      <c r="X47" s="1264"/>
      <c r="Y47" s="3389"/>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90" t="str">
        <f>A48</f>
        <v>成交单价（元/平方米）</v>
      </c>
      <c r="Q48" s="3376"/>
      <c r="R48" s="3377">
        <f>E48</f>
        <v>0</v>
      </c>
      <c r="S48" s="3377"/>
      <c r="T48" s="3377">
        <f>G48</f>
        <v>0</v>
      </c>
      <c r="U48" s="3377"/>
      <c r="V48" s="3377">
        <f>I48</f>
        <v>0</v>
      </c>
      <c r="W48" s="3377"/>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0"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138.79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4" t="s">
        <v>1770</v>
      </c>
      <c r="D4" s="3395"/>
      <c r="E4" s="3396" t="s">
        <v>1771</v>
      </c>
      <c r="F4" s="3397"/>
      <c r="G4" s="3394" t="s">
        <v>1772</v>
      </c>
      <c r="H4" s="3395"/>
      <c r="I4" s="3394" t="s">
        <v>1773</v>
      </c>
      <c r="J4" s="3395"/>
      <c r="K4" s="537" t="s">
        <v>1774</v>
      </c>
      <c r="L4" s="859"/>
      <c r="M4" s="860"/>
      <c r="N4" s="860"/>
      <c r="O4" s="860"/>
      <c r="P4" s="3398" t="s">
        <v>1775</v>
      </c>
      <c r="Q4" s="3399"/>
      <c r="R4" s="3404" t="s">
        <v>1771</v>
      </c>
      <c r="S4" s="3405"/>
      <c r="T4" s="3404" t="s">
        <v>1772</v>
      </c>
      <c r="U4" s="3405"/>
      <c r="V4" s="3377" t="s">
        <v>1773</v>
      </c>
      <c r="W4" s="3377"/>
      <c r="X4" s="1264"/>
      <c r="Y4" s="3404" t="s">
        <v>1775</v>
      </c>
      <c r="Z4" s="3405"/>
      <c r="AA4" s="3391" t="s">
        <v>1771</v>
      </c>
      <c r="AB4" s="3392" t="s">
        <v>1772</v>
      </c>
      <c r="AC4" s="3391" t="s">
        <v>1773</v>
      </c>
    </row>
    <row r="5" spans="1:29" ht="15">
      <c r="A5" s="348"/>
      <c r="B5" s="349"/>
      <c r="C5" s="3417" t="s">
        <v>1673</v>
      </c>
      <c r="D5" s="3413"/>
      <c r="E5" s="3443" t="s">
        <v>1674</v>
      </c>
      <c r="F5" s="3421"/>
      <c r="G5" s="3417" t="s">
        <v>1675</v>
      </c>
      <c r="H5" s="3413"/>
      <c r="I5" s="3417" t="s">
        <v>1676</v>
      </c>
      <c r="J5" s="3413"/>
      <c r="K5" s="537"/>
      <c r="L5" s="859"/>
      <c r="M5" s="860"/>
      <c r="N5" s="860"/>
      <c r="O5" s="860"/>
      <c r="P5" s="3400"/>
      <c r="Q5" s="3401"/>
      <c r="R5" s="3406"/>
      <c r="S5" s="3407"/>
      <c r="T5" s="3406"/>
      <c r="U5" s="3407"/>
      <c r="V5" s="3377"/>
      <c r="W5" s="3377"/>
      <c r="X5" s="1264"/>
      <c r="Y5" s="3406"/>
      <c r="Z5" s="3407"/>
      <c r="AA5" s="3392"/>
      <c r="AB5" s="3392"/>
      <c r="AC5" s="3392"/>
    </row>
    <row r="6" spans="1:29" ht="15.75" thickBot="1">
      <c r="A6" s="350"/>
      <c r="B6" s="351"/>
      <c r="C6" s="3410" t="s">
        <v>1677</v>
      </c>
      <c r="D6" s="3411"/>
      <c r="E6" s="3418" t="s">
        <v>1677</v>
      </c>
      <c r="F6" s="3419"/>
      <c r="G6" s="3410" t="s">
        <v>1677</v>
      </c>
      <c r="H6" s="3411"/>
      <c r="I6" s="3410" t="s">
        <v>1677</v>
      </c>
      <c r="J6" s="3411"/>
      <c r="K6" s="537" t="s">
        <v>1678</v>
      </c>
      <c r="L6" s="859"/>
      <c r="M6" s="860"/>
      <c r="N6" s="860"/>
      <c r="O6" s="860"/>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1"/>
      <c r="M7" s="862"/>
      <c r="N7" s="862"/>
      <c r="O7" s="862"/>
      <c r="P7" s="3414" t="s">
        <v>1680</v>
      </c>
      <c r="Q7" s="3416"/>
      <c r="R7" s="663" t="s">
        <v>14</v>
      </c>
      <c r="S7" s="664">
        <f t="shared" ref="S7:S15" si="0">F7</f>
        <v>0</v>
      </c>
      <c r="T7" s="663" t="s">
        <v>14</v>
      </c>
      <c r="U7" s="664">
        <f t="shared" ref="U7:U15" si="1">H7</f>
        <v>0</v>
      </c>
      <c r="V7" s="663" t="s">
        <v>14</v>
      </c>
      <c r="W7" s="664">
        <f t="shared" ref="W7:W15" si="2">J7</f>
        <v>0</v>
      </c>
      <c r="X7" s="665"/>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4" t="s">
        <v>1683</v>
      </c>
      <c r="Q8" s="3415"/>
      <c r="R8" s="663" t="s">
        <v>14</v>
      </c>
      <c r="S8" s="664">
        <f t="shared" si="0"/>
        <v>100</v>
      </c>
      <c r="T8" s="663" t="s">
        <v>14</v>
      </c>
      <c r="U8" s="664">
        <f t="shared" si="1"/>
        <v>100</v>
      </c>
      <c r="V8" s="663" t="s">
        <v>14</v>
      </c>
      <c r="W8" s="664">
        <f t="shared" si="2"/>
        <v>100</v>
      </c>
      <c r="X8" s="665"/>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6"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6"/>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6"/>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6"/>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6"/>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6"/>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4"/>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4"/>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4"/>
      <c r="Q18" s="1262"/>
      <c r="R18" s="666"/>
      <c r="S18" s="667"/>
      <c r="T18" s="666"/>
      <c r="U18" s="667"/>
      <c r="V18" s="666"/>
      <c r="W18" s="667"/>
      <c r="X18" s="1264"/>
      <c r="Y18" s="3384"/>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4"/>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4"/>
      <c r="Q20" s="1262"/>
      <c r="R20" s="666"/>
      <c r="S20" s="667"/>
      <c r="T20" s="666"/>
      <c r="U20" s="667"/>
      <c r="V20" s="666"/>
      <c r="W20" s="667"/>
      <c r="X20" s="1264"/>
      <c r="Y20" s="3384"/>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4"/>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4"/>
      <c r="Q22" s="1262"/>
      <c r="R22" s="666"/>
      <c r="S22" s="667"/>
      <c r="T22" s="666"/>
      <c r="U22" s="667"/>
      <c r="V22" s="666"/>
      <c r="W22" s="667"/>
      <c r="X22" s="1264"/>
      <c r="Y22" s="3384"/>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4"/>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4"/>
      <c r="Q24" s="1262"/>
      <c r="R24" s="666"/>
      <c r="S24" s="667"/>
      <c r="T24" s="666"/>
      <c r="U24" s="667"/>
      <c r="V24" s="666"/>
      <c r="W24" s="667"/>
      <c r="X24" s="1264"/>
      <c r="Y24" s="338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4"/>
      <c r="Q25" s="1262">
        <f>B25</f>
        <v>111</v>
      </c>
      <c r="R25" s="666" t="s">
        <v>14</v>
      </c>
      <c r="S25" s="667">
        <f>F25</f>
        <v>100</v>
      </c>
      <c r="T25" s="666" t="s">
        <v>14</v>
      </c>
      <c r="U25" s="667">
        <f>H25</f>
        <v>100</v>
      </c>
      <c r="V25" s="666" t="s">
        <v>14</v>
      </c>
      <c r="W25" s="667">
        <f>J25</f>
        <v>100</v>
      </c>
      <c r="X25" s="1264"/>
      <c r="Y25" s="338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4"/>
      <c r="Q26" s="1262">
        <f t="shared" ref="Q26:Q40" si="11">B26</f>
        <v>111</v>
      </c>
      <c r="R26" s="666" t="s">
        <v>14</v>
      </c>
      <c r="S26" s="667">
        <f>F26</f>
        <v>100</v>
      </c>
      <c r="T26" s="666" t="s">
        <v>14</v>
      </c>
      <c r="U26" s="667">
        <f>H26</f>
        <v>100</v>
      </c>
      <c r="V26" s="666" t="s">
        <v>14</v>
      </c>
      <c r="W26" s="667">
        <f>J26</f>
        <v>100</v>
      </c>
      <c r="X26" s="1264"/>
      <c r="Y26" s="338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4"/>
      <c r="Q27" s="530">
        <f t="shared" si="11"/>
        <v>111</v>
      </c>
      <c r="R27" s="663" t="s">
        <v>14</v>
      </c>
      <c r="S27" s="664">
        <f>F27</f>
        <v>100</v>
      </c>
      <c r="T27" s="663" t="s">
        <v>14</v>
      </c>
      <c r="U27" s="664">
        <f>H27</f>
        <v>100</v>
      </c>
      <c r="V27" s="663" t="s">
        <v>14</v>
      </c>
      <c r="W27" s="664">
        <f>J27</f>
        <v>100</v>
      </c>
      <c r="X27" s="665"/>
      <c r="Y27" s="338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4"/>
      <c r="Q28" s="1262">
        <f t="shared" si="11"/>
        <v>111</v>
      </c>
      <c r="R28" s="666" t="s">
        <v>14</v>
      </c>
      <c r="S28" s="667">
        <f t="shared" ref="S28:S40" si="12">F28</f>
        <v>100</v>
      </c>
      <c r="T28" s="666" t="s">
        <v>14</v>
      </c>
      <c r="U28" s="667">
        <f t="shared" ref="U28:U40" si="13">H28</f>
        <v>100</v>
      </c>
      <c r="V28" s="666" t="s">
        <v>14</v>
      </c>
      <c r="W28" s="667">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9" t="s">
        <v>1696</v>
      </c>
      <c r="Q29" s="1262" t="str">
        <f t="shared" si="11"/>
        <v>建筑类型</v>
      </c>
      <c r="R29" s="666" t="s">
        <v>14</v>
      </c>
      <c r="S29" s="667">
        <f t="shared" si="12"/>
        <v>100</v>
      </c>
      <c r="T29" s="666" t="s">
        <v>14</v>
      </c>
      <c r="U29" s="667">
        <f t="shared" si="13"/>
        <v>100</v>
      </c>
      <c r="V29" s="666" t="s">
        <v>14</v>
      </c>
      <c r="W29" s="667">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8"/>
      <c r="Q30" s="531" t="str">
        <f t="shared" si="11"/>
        <v>项目建筑规模</v>
      </c>
      <c r="R30" s="668" t="s">
        <v>14</v>
      </c>
      <c r="S30" s="669" t="e">
        <f t="shared" si="12"/>
        <v>#N/A</v>
      </c>
      <c r="T30" s="668" t="s">
        <v>14</v>
      </c>
      <c r="U30" s="669" t="e">
        <f t="shared" si="13"/>
        <v>#N/A</v>
      </c>
      <c r="V30" s="668" t="s">
        <v>14</v>
      </c>
      <c r="W30" s="669" t="e">
        <f t="shared" si="14"/>
        <v>#N/A</v>
      </c>
      <c r="X30" s="670"/>
      <c r="Y30" s="3388"/>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8"/>
      <c r="Q31" s="1262" t="str">
        <f t="shared" si="11"/>
        <v>建筑结构</v>
      </c>
      <c r="R31" s="666" t="s">
        <v>14</v>
      </c>
      <c r="S31" s="667">
        <f t="shared" si="12"/>
        <v>100</v>
      </c>
      <c r="T31" s="666" t="s">
        <v>14</v>
      </c>
      <c r="U31" s="667">
        <f t="shared" si="13"/>
        <v>100</v>
      </c>
      <c r="V31" s="666" t="s">
        <v>14</v>
      </c>
      <c r="W31" s="667">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8"/>
      <c r="Q32" s="1262" t="str">
        <f t="shared" si="11"/>
        <v>公共部分装修</v>
      </c>
      <c r="R32" s="666" t="s">
        <v>14</v>
      </c>
      <c r="S32" s="667">
        <f t="shared" si="12"/>
        <v>100</v>
      </c>
      <c r="T32" s="666" t="s">
        <v>14</v>
      </c>
      <c r="U32" s="667">
        <f t="shared" si="13"/>
        <v>100</v>
      </c>
      <c r="V32" s="666" t="s">
        <v>14</v>
      </c>
      <c r="W32" s="667">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8"/>
      <c r="Q33" s="1262" t="str">
        <f t="shared" si="11"/>
        <v>成新度</v>
      </c>
      <c r="R33" s="666" t="s">
        <v>14</v>
      </c>
      <c r="S33" s="667" t="e">
        <f t="shared" si="12"/>
        <v>#N/A</v>
      </c>
      <c r="T33" s="666" t="s">
        <v>14</v>
      </c>
      <c r="U33" s="667" t="e">
        <f t="shared" si="13"/>
        <v>#N/A</v>
      </c>
      <c r="V33" s="666" t="s">
        <v>14</v>
      </c>
      <c r="W33" s="667"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8"/>
      <c r="Q34" s="530" t="str">
        <f t="shared" si="11"/>
        <v>物业管理</v>
      </c>
      <c r="R34" s="663" t="s">
        <v>14</v>
      </c>
      <c r="S34" s="664">
        <f t="shared" si="12"/>
        <v>100</v>
      </c>
      <c r="T34" s="663" t="s">
        <v>14</v>
      </c>
      <c r="U34" s="664">
        <f t="shared" si="13"/>
        <v>100</v>
      </c>
      <c r="V34" s="663" t="s">
        <v>14</v>
      </c>
      <c r="W34" s="664">
        <f t="shared" si="14"/>
        <v>100</v>
      </c>
      <c r="X34" s="665"/>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8" t="s">
        <v>1696</v>
      </c>
      <c r="Q35" s="1262" t="str">
        <f t="shared" si="11"/>
        <v>市政基础设施</v>
      </c>
      <c r="R35" s="666" t="s">
        <v>14</v>
      </c>
      <c r="S35" s="667">
        <f t="shared" si="12"/>
        <v>100</v>
      </c>
      <c r="T35" s="666" t="s">
        <v>14</v>
      </c>
      <c r="U35" s="667">
        <f t="shared" si="13"/>
        <v>100</v>
      </c>
      <c r="V35" s="666" t="s">
        <v>14</v>
      </c>
      <c r="W35" s="667">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8"/>
      <c r="Q36" s="1262" t="str">
        <f t="shared" si="11"/>
        <v>内部装修</v>
      </c>
      <c r="R36" s="666" t="s">
        <v>14</v>
      </c>
      <c r="S36" s="667">
        <f t="shared" si="12"/>
        <v>100</v>
      </c>
      <c r="T36" s="666" t="s">
        <v>14</v>
      </c>
      <c r="U36" s="667">
        <f t="shared" si="13"/>
        <v>100</v>
      </c>
      <c r="V36" s="666" t="s">
        <v>14</v>
      </c>
      <c r="W36" s="667">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8"/>
      <c r="Q37" s="1262" t="str">
        <f t="shared" si="11"/>
        <v>内部装修状况</v>
      </c>
      <c r="R37" s="666" t="s">
        <v>14</v>
      </c>
      <c r="S37" s="667">
        <f t="shared" si="12"/>
        <v>100</v>
      </c>
      <c r="T37" s="666" t="s">
        <v>14</v>
      </c>
      <c r="U37" s="667">
        <f t="shared" si="13"/>
        <v>100</v>
      </c>
      <c r="V37" s="666" t="s">
        <v>14</v>
      </c>
      <c r="W37" s="667">
        <f t="shared" si="14"/>
        <v>100</v>
      </c>
      <c r="X37" s="1264"/>
      <c r="Y37" s="338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8"/>
      <c r="Q38" s="531">
        <f t="shared" si="11"/>
        <v>111</v>
      </c>
      <c r="R38" s="668" t="s">
        <v>14</v>
      </c>
      <c r="S38" s="669">
        <f t="shared" si="12"/>
        <v>100</v>
      </c>
      <c r="T38" s="668" t="s">
        <v>14</v>
      </c>
      <c r="U38" s="669">
        <f t="shared" si="13"/>
        <v>100</v>
      </c>
      <c r="V38" s="668" t="s">
        <v>14</v>
      </c>
      <c r="W38" s="669">
        <f t="shared" si="14"/>
        <v>100</v>
      </c>
      <c r="X38" s="670"/>
      <c r="Y38" s="3388"/>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8"/>
      <c r="Q39" s="1262">
        <f t="shared" si="11"/>
        <v>111</v>
      </c>
      <c r="R39" s="666" t="s">
        <v>14</v>
      </c>
      <c r="S39" s="667">
        <f t="shared" si="12"/>
        <v>100</v>
      </c>
      <c r="T39" s="666" t="s">
        <v>14</v>
      </c>
      <c r="U39" s="667">
        <f t="shared" si="13"/>
        <v>100</v>
      </c>
      <c r="V39" s="666" t="s">
        <v>14</v>
      </c>
      <c r="W39" s="667">
        <f t="shared" si="14"/>
        <v>100</v>
      </c>
      <c r="X39" s="1264"/>
      <c r="Y39" s="338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9"/>
      <c r="Q40" s="1262">
        <f t="shared" si="11"/>
        <v>111</v>
      </c>
      <c r="R40" s="666" t="s">
        <v>14</v>
      </c>
      <c r="S40" s="667">
        <f t="shared" si="12"/>
        <v>100</v>
      </c>
      <c r="T40" s="666" t="s">
        <v>14</v>
      </c>
      <c r="U40" s="667">
        <f t="shared" si="13"/>
        <v>100</v>
      </c>
      <c r="V40" s="666" t="s">
        <v>14</v>
      </c>
      <c r="W40" s="667">
        <f t="shared" si="14"/>
        <v>100</v>
      </c>
      <c r="X40" s="1264"/>
      <c r="Y40" s="338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76" t="str">
        <f>A41</f>
        <v>成交单价（元/平方米）</v>
      </c>
      <c r="Q41" s="3376"/>
      <c r="R41" s="3377">
        <f>E41</f>
        <v>0</v>
      </c>
      <c r="S41" s="3377"/>
      <c r="T41" s="3377">
        <f>G41</f>
        <v>0</v>
      </c>
      <c r="U41" s="3377"/>
      <c r="V41" s="3377">
        <f>I41</f>
        <v>0</v>
      </c>
      <c r="W41" s="3377"/>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2025年8月29日（评估专业人员实地查勘之日）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77" t="s">
        <v>1773</v>
      </c>
      <c r="W4" s="3377"/>
      <c r="X4" s="1264"/>
      <c r="Y4" s="3404" t="s">
        <v>1775</v>
      </c>
      <c r="Z4" s="3405"/>
      <c r="AA4" s="3391" t="s">
        <v>1771</v>
      </c>
      <c r="AB4" s="3392" t="s">
        <v>1772</v>
      </c>
      <c r="AC4" s="3391" t="s">
        <v>1773</v>
      </c>
    </row>
    <row r="5" spans="1:29" ht="15">
      <c r="A5" s="348"/>
      <c r="B5" s="349"/>
      <c r="C5" s="3417" t="s">
        <v>1673</v>
      </c>
      <c r="D5" s="3413"/>
      <c r="E5" s="3443" t="s">
        <v>1674</v>
      </c>
      <c r="F5" s="3421"/>
      <c r="G5" s="3417" t="s">
        <v>1675</v>
      </c>
      <c r="H5" s="3413"/>
      <c r="I5" s="3417" t="s">
        <v>1676</v>
      </c>
      <c r="J5" s="3413"/>
      <c r="K5" s="537"/>
      <c r="L5" s="2486"/>
      <c r="M5" s="2487"/>
      <c r="N5" s="2487"/>
      <c r="O5" s="2487"/>
      <c r="P5" s="3400"/>
      <c r="Q5" s="3401"/>
      <c r="R5" s="3406"/>
      <c r="S5" s="3407"/>
      <c r="T5" s="3406"/>
      <c r="U5" s="3407"/>
      <c r="V5" s="3377"/>
      <c r="W5" s="3377"/>
      <c r="X5" s="1264"/>
      <c r="Y5" s="3406"/>
      <c r="Z5" s="3407"/>
      <c r="AA5" s="3392"/>
      <c r="AB5" s="3392"/>
      <c r="AC5" s="3392"/>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4" t="s">
        <v>1680</v>
      </c>
      <c r="Q7" s="3416"/>
      <c r="R7" s="663" t="s">
        <v>14</v>
      </c>
      <c r="S7" s="664">
        <f t="shared" ref="S7:S14" si="0">F7</f>
        <v>0</v>
      </c>
      <c r="T7" s="663" t="s">
        <v>14</v>
      </c>
      <c r="U7" s="664">
        <f t="shared" ref="U7:U14" si="1">H7</f>
        <v>0</v>
      </c>
      <c r="V7" s="663" t="s">
        <v>14</v>
      </c>
      <c r="W7" s="664">
        <f t="shared" ref="W7:W14" si="2">J7</f>
        <v>0</v>
      </c>
      <c r="X7" s="665"/>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4" t="s">
        <v>1683</v>
      </c>
      <c r="Q8" s="3415"/>
      <c r="R8" s="663" t="s">
        <v>14</v>
      </c>
      <c r="S8" s="664">
        <f t="shared" si="0"/>
        <v>100</v>
      </c>
      <c r="T8" s="663" t="s">
        <v>14</v>
      </c>
      <c r="U8" s="664">
        <f t="shared" si="1"/>
        <v>100</v>
      </c>
      <c r="V8" s="663" t="s">
        <v>14</v>
      </c>
      <c r="W8" s="664">
        <f t="shared" si="2"/>
        <v>100</v>
      </c>
      <c r="X8" s="665"/>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6" t="s">
        <v>1686</v>
      </c>
      <c r="Q9" s="530" t="str">
        <f t="shared" ref="Q9:Q14" si="6">B9</f>
        <v>用途</v>
      </c>
      <c r="R9" s="663" t="s">
        <v>14</v>
      </c>
      <c r="S9" s="664">
        <f t="shared" si="0"/>
        <v>100</v>
      </c>
      <c r="T9" s="663" t="s">
        <v>14</v>
      </c>
      <c r="U9" s="664">
        <f t="shared" si="1"/>
        <v>100</v>
      </c>
      <c r="V9" s="663" t="s">
        <v>14</v>
      </c>
      <c r="W9" s="664">
        <f t="shared" si="2"/>
        <v>100</v>
      </c>
      <c r="X9" s="665"/>
      <c r="Y9" s="327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3" t="s">
        <v>14</v>
      </c>
      <c r="S11" s="664">
        <f t="shared" si="0"/>
        <v>100</v>
      </c>
      <c r="T11" s="663" t="s">
        <v>14</v>
      </c>
      <c r="U11" s="664">
        <f t="shared" si="1"/>
        <v>100</v>
      </c>
      <c r="V11" s="663" t="s">
        <v>14</v>
      </c>
      <c r="W11" s="664">
        <f t="shared" si="2"/>
        <v>100</v>
      </c>
      <c r="X11" s="665"/>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6"/>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84"/>
      <c r="Q15" s="1262"/>
      <c r="R15" s="666"/>
      <c r="S15" s="667"/>
      <c r="T15" s="666"/>
      <c r="U15" s="667"/>
      <c r="V15" s="666"/>
      <c r="W15" s="667"/>
      <c r="X15" s="1264"/>
      <c r="Y15" s="3384"/>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4"/>
      <c r="Q17" s="1262"/>
      <c r="R17" s="666"/>
      <c r="S17" s="667"/>
      <c r="T17" s="666"/>
      <c r="U17" s="667"/>
      <c r="V17" s="666"/>
      <c r="W17" s="667"/>
      <c r="X17" s="1264"/>
      <c r="Y17" s="3384"/>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84"/>
      <c r="Q19" s="1262"/>
      <c r="R19" s="666"/>
      <c r="S19" s="667"/>
      <c r="T19" s="666"/>
      <c r="U19" s="667"/>
      <c r="V19" s="666"/>
      <c r="W19" s="667"/>
      <c r="X19" s="1264"/>
      <c r="Y19" s="3384"/>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4"/>
      <c r="Q21" s="1262"/>
      <c r="R21" s="666"/>
      <c r="S21" s="667"/>
      <c r="T21" s="666"/>
      <c r="U21" s="667"/>
      <c r="V21" s="666"/>
      <c r="W21" s="667"/>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2">
        <f t="shared" ref="Q24:Q36"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8" t="s">
        <v>14</v>
      </c>
      <c r="S27" s="669">
        <f t="shared" si="12"/>
        <v>100</v>
      </c>
      <c r="T27" s="668" t="s">
        <v>14</v>
      </c>
      <c r="U27" s="669">
        <f t="shared" si="13"/>
        <v>100</v>
      </c>
      <c r="V27" s="668" t="s">
        <v>14</v>
      </c>
      <c r="W27" s="669">
        <f t="shared" si="14"/>
        <v>100</v>
      </c>
      <c r="X27" s="670"/>
      <c r="Y27" s="3388"/>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2" t="str">
        <f t="shared" si="11"/>
        <v>公共部分装修</v>
      </c>
      <c r="R28" s="666" t="s">
        <v>14</v>
      </c>
      <c r="S28" s="667">
        <f t="shared" si="12"/>
        <v>100</v>
      </c>
      <c r="T28" s="666" t="s">
        <v>14</v>
      </c>
      <c r="U28" s="667">
        <f t="shared" si="13"/>
        <v>100</v>
      </c>
      <c r="V28" s="666" t="s">
        <v>14</v>
      </c>
      <c r="W28" s="667">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2" t="str">
        <f t="shared" si="11"/>
        <v>成新率</v>
      </c>
      <c r="R29" s="666" t="s">
        <v>14</v>
      </c>
      <c r="S29" s="667" t="e">
        <f t="shared" si="12"/>
        <v>#N/A</v>
      </c>
      <c r="T29" s="666" t="s">
        <v>14</v>
      </c>
      <c r="U29" s="667" t="e">
        <f t="shared" si="13"/>
        <v>#N/A</v>
      </c>
      <c r="V29" s="666" t="s">
        <v>14</v>
      </c>
      <c r="W29" s="667"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2" t="str">
        <f t="shared" si="11"/>
        <v>物业等级</v>
      </c>
      <c r="R30" s="666" t="s">
        <v>14</v>
      </c>
      <c r="S30" s="667">
        <f t="shared" si="12"/>
        <v>100</v>
      </c>
      <c r="T30" s="666" t="s">
        <v>14</v>
      </c>
      <c r="U30" s="667">
        <f t="shared" si="13"/>
        <v>100</v>
      </c>
      <c r="V30" s="666" t="s">
        <v>14</v>
      </c>
      <c r="W30" s="667">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3" t="s">
        <v>14</v>
      </c>
      <c r="S31" s="664" t="e">
        <f t="shared" si="12"/>
        <v>#N/A</v>
      </c>
      <c r="T31" s="663" t="s">
        <v>14</v>
      </c>
      <c r="U31" s="664" t="e">
        <f t="shared" si="13"/>
        <v>#N/A</v>
      </c>
      <c r="V31" s="663" t="s">
        <v>14</v>
      </c>
      <c r="W31" s="664" t="e">
        <f t="shared" si="14"/>
        <v>#N/A</v>
      </c>
      <c r="X31" s="665"/>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2" t="str">
        <f t="shared" si="11"/>
        <v>车位类型</v>
      </c>
      <c r="R32" s="666" t="s">
        <v>14</v>
      </c>
      <c r="S32" s="667">
        <f t="shared" si="12"/>
        <v>100</v>
      </c>
      <c r="T32" s="666" t="s">
        <v>14</v>
      </c>
      <c r="U32" s="667">
        <f t="shared" si="13"/>
        <v>100</v>
      </c>
      <c r="V32" s="666" t="s">
        <v>14</v>
      </c>
      <c r="W32" s="667">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2" t="str">
        <f t="shared" si="11"/>
        <v>是否直接入户</v>
      </c>
      <c r="R33" s="666" t="s">
        <v>14</v>
      </c>
      <c r="S33" s="667">
        <f t="shared" si="12"/>
        <v>100</v>
      </c>
      <c r="T33" s="666" t="s">
        <v>14</v>
      </c>
      <c r="U33" s="667">
        <f t="shared" si="13"/>
        <v>100</v>
      </c>
      <c r="V33" s="666" t="s">
        <v>14</v>
      </c>
      <c r="W33" s="667">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2">
        <f t="shared" si="11"/>
        <v>111</v>
      </c>
      <c r="R34" s="666" t="s">
        <v>14</v>
      </c>
      <c r="S34" s="667">
        <f t="shared" si="12"/>
        <v>100</v>
      </c>
      <c r="T34" s="666" t="s">
        <v>14</v>
      </c>
      <c r="U34" s="667">
        <f t="shared" si="13"/>
        <v>100</v>
      </c>
      <c r="V34" s="666" t="s">
        <v>14</v>
      </c>
      <c r="W34" s="667">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8" t="s">
        <v>14</v>
      </c>
      <c r="S35" s="669">
        <f t="shared" si="12"/>
        <v>100</v>
      </c>
      <c r="T35" s="668" t="s">
        <v>14</v>
      </c>
      <c r="U35" s="669">
        <f t="shared" si="13"/>
        <v>100</v>
      </c>
      <c r="V35" s="668" t="s">
        <v>14</v>
      </c>
      <c r="W35" s="669">
        <f t="shared" si="14"/>
        <v>100</v>
      </c>
      <c r="X35" s="670"/>
      <c r="Y35" s="3388"/>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2">
        <f t="shared" si="11"/>
        <v>111</v>
      </c>
      <c r="R36" s="666" t="s">
        <v>14</v>
      </c>
      <c r="S36" s="667">
        <f t="shared" si="12"/>
        <v>100</v>
      </c>
      <c r="T36" s="666" t="s">
        <v>14</v>
      </c>
      <c r="U36" s="667">
        <f t="shared" si="13"/>
        <v>100</v>
      </c>
      <c r="V36" s="666" t="s">
        <v>14</v>
      </c>
      <c r="W36" s="667">
        <f t="shared" si="14"/>
        <v>100</v>
      </c>
      <c r="X36" s="1264"/>
      <c r="Y36" s="3388"/>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77" t="s">
        <v>1773</v>
      </c>
      <c r="W4" s="3377"/>
      <c r="X4" s="1264"/>
      <c r="Y4" s="3404" t="s">
        <v>1775</v>
      </c>
      <c r="Z4" s="3405"/>
      <c r="AA4" s="3391" t="s">
        <v>1771</v>
      </c>
      <c r="AB4" s="3392" t="s">
        <v>1772</v>
      </c>
      <c r="AC4" s="3391" t="s">
        <v>1773</v>
      </c>
    </row>
    <row r="5" spans="1:29" ht="15">
      <c r="A5" s="348"/>
      <c r="B5" s="349"/>
      <c r="C5" s="3417" t="s">
        <v>1673</v>
      </c>
      <c r="D5" s="3413"/>
      <c r="E5" s="3443" t="s">
        <v>1674</v>
      </c>
      <c r="F5" s="3421"/>
      <c r="G5" s="3417" t="s">
        <v>1675</v>
      </c>
      <c r="H5" s="3413"/>
      <c r="I5" s="3417" t="s">
        <v>1676</v>
      </c>
      <c r="J5" s="3413"/>
      <c r="K5" s="537"/>
      <c r="L5" s="2486"/>
      <c r="M5" s="2487"/>
      <c r="N5" s="2487"/>
      <c r="O5" s="2487"/>
      <c r="P5" s="3400"/>
      <c r="Q5" s="3401"/>
      <c r="R5" s="3406"/>
      <c r="S5" s="3407"/>
      <c r="T5" s="3406"/>
      <c r="U5" s="3407"/>
      <c r="V5" s="3377"/>
      <c r="W5" s="3377"/>
      <c r="X5" s="1264"/>
      <c r="Y5" s="3406"/>
      <c r="Z5" s="3407"/>
      <c r="AA5" s="3392"/>
      <c r="AB5" s="3392"/>
      <c r="AC5" s="3392"/>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4" t="s">
        <v>1680</v>
      </c>
      <c r="Q7" s="3416"/>
      <c r="R7" s="663" t="s">
        <v>14</v>
      </c>
      <c r="S7" s="664">
        <f t="shared" ref="S7:S14" si="0">F7</f>
        <v>0</v>
      </c>
      <c r="T7" s="663" t="s">
        <v>14</v>
      </c>
      <c r="U7" s="664">
        <f t="shared" ref="U7:U14" si="1">H7</f>
        <v>0</v>
      </c>
      <c r="V7" s="663" t="s">
        <v>14</v>
      </c>
      <c r="W7" s="664">
        <f t="shared" ref="W7:W14" si="2">J7</f>
        <v>0</v>
      </c>
      <c r="X7" s="665"/>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4" t="s">
        <v>1683</v>
      </c>
      <c r="Q8" s="3415"/>
      <c r="R8" s="663" t="s">
        <v>14</v>
      </c>
      <c r="S8" s="664">
        <f t="shared" si="0"/>
        <v>100</v>
      </c>
      <c r="T8" s="663" t="s">
        <v>14</v>
      </c>
      <c r="U8" s="664">
        <f t="shared" si="1"/>
        <v>100</v>
      </c>
      <c r="V8" s="663" t="s">
        <v>14</v>
      </c>
      <c r="W8" s="664">
        <f t="shared" si="2"/>
        <v>100</v>
      </c>
      <c r="X8" s="665"/>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6" t="s">
        <v>1686</v>
      </c>
      <c r="Q9" s="530" t="str">
        <f t="shared" ref="Q9:Q14" si="6">B9</f>
        <v>用途</v>
      </c>
      <c r="R9" s="663" t="s">
        <v>14</v>
      </c>
      <c r="S9" s="664">
        <f t="shared" si="0"/>
        <v>100</v>
      </c>
      <c r="T9" s="663" t="s">
        <v>14</v>
      </c>
      <c r="U9" s="664">
        <f t="shared" si="1"/>
        <v>100</v>
      </c>
      <c r="V9" s="663" t="s">
        <v>14</v>
      </c>
      <c r="W9" s="664">
        <f t="shared" si="2"/>
        <v>100</v>
      </c>
      <c r="X9" s="665"/>
      <c r="Y9" s="327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3" t="s">
        <v>14</v>
      </c>
      <c r="S11" s="664">
        <f t="shared" si="0"/>
        <v>100</v>
      </c>
      <c r="T11" s="663" t="s">
        <v>14</v>
      </c>
      <c r="U11" s="664">
        <f t="shared" si="1"/>
        <v>100</v>
      </c>
      <c r="V11" s="663" t="s">
        <v>14</v>
      </c>
      <c r="W11" s="664">
        <f t="shared" si="2"/>
        <v>100</v>
      </c>
      <c r="X11" s="665"/>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6"/>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6"/>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4"/>
      <c r="Q15" s="1262"/>
      <c r="R15" s="666"/>
      <c r="S15" s="667"/>
      <c r="T15" s="666"/>
      <c r="U15" s="667"/>
      <c r="V15" s="666"/>
      <c r="W15" s="667"/>
      <c r="X15" s="1264"/>
      <c r="Y15" s="3384"/>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4"/>
      <c r="Q17" s="1262"/>
      <c r="R17" s="666"/>
      <c r="S17" s="667"/>
      <c r="T17" s="666"/>
      <c r="U17" s="667"/>
      <c r="V17" s="666"/>
      <c r="W17" s="667"/>
      <c r="X17" s="1264"/>
      <c r="Y17" s="3384"/>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84"/>
      <c r="Q19" s="1262"/>
      <c r="R19" s="666"/>
      <c r="S19" s="667"/>
      <c r="T19" s="666"/>
      <c r="U19" s="667"/>
      <c r="V19" s="666"/>
      <c r="W19" s="667"/>
      <c r="X19" s="1264"/>
      <c r="Y19" s="3384"/>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4"/>
      <c r="Q21" s="1262"/>
      <c r="R21" s="666"/>
      <c r="S21" s="667"/>
      <c r="T21" s="666"/>
      <c r="U21" s="667"/>
      <c r="V21" s="666"/>
      <c r="W21" s="667"/>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2">
        <f t="shared" ref="Q24:Q34"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4"/>
      <c r="Q25" s="530">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8" t="s">
        <v>14</v>
      </c>
      <c r="S27" s="669" t="e">
        <f t="shared" si="12"/>
        <v>#N/A</v>
      </c>
      <c r="T27" s="668" t="s">
        <v>14</v>
      </c>
      <c r="U27" s="669" t="e">
        <f t="shared" si="13"/>
        <v>#N/A</v>
      </c>
      <c r="V27" s="668" t="s">
        <v>14</v>
      </c>
      <c r="W27" s="669" t="e">
        <f t="shared" si="14"/>
        <v>#N/A</v>
      </c>
      <c r="X27" s="670"/>
      <c r="Y27" s="3388"/>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2" t="str">
        <f t="shared" si="11"/>
        <v>物业等级</v>
      </c>
      <c r="R28" s="666" t="s">
        <v>14</v>
      </c>
      <c r="S28" s="667">
        <f t="shared" si="12"/>
        <v>100</v>
      </c>
      <c r="T28" s="666" t="s">
        <v>14</v>
      </c>
      <c r="U28" s="667">
        <f t="shared" si="13"/>
        <v>100</v>
      </c>
      <c r="V28" s="666" t="s">
        <v>14</v>
      </c>
      <c r="W28" s="667">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2" t="str">
        <f t="shared" si="11"/>
        <v>有无电梯</v>
      </c>
      <c r="R29" s="666" t="s">
        <v>14</v>
      </c>
      <c r="S29" s="667">
        <f t="shared" si="12"/>
        <v>100</v>
      </c>
      <c r="T29" s="666" t="s">
        <v>14</v>
      </c>
      <c r="U29" s="667">
        <f t="shared" si="13"/>
        <v>100</v>
      </c>
      <c r="V29" s="666" t="s">
        <v>14</v>
      </c>
      <c r="W29" s="667">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2" t="str">
        <f t="shared" si="11"/>
        <v>建筑面积</v>
      </c>
      <c r="R30" s="666" t="s">
        <v>14</v>
      </c>
      <c r="S30" s="667" t="e">
        <f t="shared" si="12"/>
        <v>#N/A</v>
      </c>
      <c r="T30" s="666" t="s">
        <v>14</v>
      </c>
      <c r="U30" s="667" t="e">
        <f t="shared" si="13"/>
        <v>#N/A</v>
      </c>
      <c r="V30" s="666" t="s">
        <v>14</v>
      </c>
      <c r="W30" s="667"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3" t="s">
        <v>14</v>
      </c>
      <c r="S31" s="664">
        <f t="shared" si="12"/>
        <v>100</v>
      </c>
      <c r="T31" s="663" t="s">
        <v>14</v>
      </c>
      <c r="U31" s="664">
        <f t="shared" si="13"/>
        <v>100</v>
      </c>
      <c r="V31" s="663" t="s">
        <v>14</v>
      </c>
      <c r="W31" s="664">
        <f t="shared" si="14"/>
        <v>100</v>
      </c>
      <c r="X31" s="665"/>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2">
        <f t="shared" si="11"/>
        <v>111</v>
      </c>
      <c r="R32" s="666" t="s">
        <v>14</v>
      </c>
      <c r="S32" s="667">
        <f t="shared" si="12"/>
        <v>100</v>
      </c>
      <c r="T32" s="666" t="s">
        <v>14</v>
      </c>
      <c r="U32" s="667">
        <f t="shared" si="13"/>
        <v>100</v>
      </c>
      <c r="V32" s="666" t="s">
        <v>14</v>
      </c>
      <c r="W32" s="667">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2">
        <f t="shared" si="11"/>
        <v>111</v>
      </c>
      <c r="R33" s="666" t="s">
        <v>14</v>
      </c>
      <c r="S33" s="667">
        <f t="shared" si="12"/>
        <v>100</v>
      </c>
      <c r="T33" s="666" t="s">
        <v>14</v>
      </c>
      <c r="U33" s="667">
        <f t="shared" si="13"/>
        <v>100</v>
      </c>
      <c r="V33" s="666" t="s">
        <v>14</v>
      </c>
      <c r="W33" s="667">
        <f t="shared" si="14"/>
        <v>100</v>
      </c>
      <c r="X33" s="1264"/>
      <c r="Y33" s="338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8"/>
      <c r="Q34" s="1262">
        <f t="shared" si="11"/>
        <v>111</v>
      </c>
      <c r="R34" s="666" t="s">
        <v>14</v>
      </c>
      <c r="S34" s="667">
        <f t="shared" si="12"/>
        <v>100</v>
      </c>
      <c r="T34" s="666" t="s">
        <v>14</v>
      </c>
      <c r="U34" s="667">
        <f t="shared" si="13"/>
        <v>100</v>
      </c>
      <c r="V34" s="666" t="s">
        <v>14</v>
      </c>
      <c r="W34" s="667">
        <f t="shared" si="14"/>
        <v>100</v>
      </c>
      <c r="X34" s="1264"/>
      <c r="Y34" s="338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76" t="str">
        <f>A35</f>
        <v>成交单价（元/平方米）</v>
      </c>
      <c r="Q35" s="3376"/>
      <c r="R35" s="3377">
        <f>E35</f>
        <v>0</v>
      </c>
      <c r="S35" s="3377"/>
      <c r="T35" s="3377">
        <f>G35</f>
        <v>0</v>
      </c>
      <c r="U35" s="3377"/>
      <c r="V35" s="3377">
        <f>I35</f>
        <v>0</v>
      </c>
      <c r="W35" s="3377"/>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78" t="str">
        <f>A37</f>
        <v>估价对象XX用房的比较价值（楼面单价，元/平方米）</v>
      </c>
      <c r="Q37" s="3379"/>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77" t="s">
        <v>1773</v>
      </c>
      <c r="W4" s="3377"/>
      <c r="X4" s="1264"/>
      <c r="Y4" s="3404" t="s">
        <v>1775</v>
      </c>
      <c r="Z4" s="3405"/>
      <c r="AA4" s="3391" t="s">
        <v>1771</v>
      </c>
      <c r="AB4" s="3392" t="s">
        <v>1772</v>
      </c>
      <c r="AC4" s="3391" t="s">
        <v>1773</v>
      </c>
    </row>
    <row r="5" spans="1:29" ht="15">
      <c r="A5" s="348"/>
      <c r="B5" s="349"/>
      <c r="C5" s="3417" t="s">
        <v>1673</v>
      </c>
      <c r="D5" s="3413"/>
      <c r="E5" s="3443" t="s">
        <v>1674</v>
      </c>
      <c r="F5" s="3421"/>
      <c r="G5" s="3417" t="s">
        <v>1675</v>
      </c>
      <c r="H5" s="3413"/>
      <c r="I5" s="3417" t="s">
        <v>1676</v>
      </c>
      <c r="J5" s="3413"/>
      <c r="K5" s="537"/>
      <c r="L5" s="2486"/>
      <c r="M5" s="2487"/>
      <c r="N5" s="2487"/>
      <c r="O5" s="2487"/>
      <c r="P5" s="3400"/>
      <c r="Q5" s="3401"/>
      <c r="R5" s="3406"/>
      <c r="S5" s="3407"/>
      <c r="T5" s="3406"/>
      <c r="U5" s="3407"/>
      <c r="V5" s="3377"/>
      <c r="W5" s="3377"/>
      <c r="X5" s="1264"/>
      <c r="Y5" s="3406"/>
      <c r="Z5" s="3407"/>
      <c r="AA5" s="3392"/>
      <c r="AB5" s="3392"/>
      <c r="AC5" s="3392"/>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4" t="s">
        <v>1680</v>
      </c>
      <c r="Q7" s="3416"/>
      <c r="R7" s="663" t="s">
        <v>14</v>
      </c>
      <c r="S7" s="664">
        <f t="shared" ref="S7:S15" si="0">F7</f>
        <v>0</v>
      </c>
      <c r="T7" s="663" t="s">
        <v>14</v>
      </c>
      <c r="U7" s="664">
        <f t="shared" ref="U7:U15" si="1">H7</f>
        <v>0</v>
      </c>
      <c r="V7" s="663" t="s">
        <v>14</v>
      </c>
      <c r="W7" s="664">
        <f t="shared" ref="W7:W15" si="2">J7</f>
        <v>0</v>
      </c>
      <c r="X7" s="665"/>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4" t="s">
        <v>1683</v>
      </c>
      <c r="Q8" s="3415"/>
      <c r="R8" s="663" t="s">
        <v>14</v>
      </c>
      <c r="S8" s="664">
        <f t="shared" si="0"/>
        <v>0</v>
      </c>
      <c r="T8" s="663" t="s">
        <v>14</v>
      </c>
      <c r="U8" s="664">
        <f t="shared" si="1"/>
        <v>0</v>
      </c>
      <c r="V8" s="663" t="s">
        <v>14</v>
      </c>
      <c r="W8" s="664">
        <f t="shared" si="2"/>
        <v>0</v>
      </c>
      <c r="X8" s="665"/>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6"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376"/>
      <c r="Q10" s="530" t="str">
        <f t="shared" si="6"/>
        <v>土地使用年限（年）</v>
      </c>
      <c r="R10" s="663" t="s">
        <v>14</v>
      </c>
      <c r="S10" s="664">
        <f t="shared" si="0"/>
        <v>124</v>
      </c>
      <c r="T10" s="663" t="s">
        <v>14</v>
      </c>
      <c r="U10" s="664">
        <f t="shared" si="1"/>
        <v>124</v>
      </c>
      <c r="V10" s="663" t="s">
        <v>14</v>
      </c>
      <c r="W10" s="664">
        <f t="shared" si="2"/>
        <v>124</v>
      </c>
      <c r="X10" s="665"/>
      <c r="Y10" s="327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3" t="s">
        <v>14</v>
      </c>
      <c r="S11" s="664" t="e">
        <f t="shared" si="0"/>
        <v>#N/A</v>
      </c>
      <c r="T11" s="663" t="s">
        <v>14</v>
      </c>
      <c r="U11" s="664" t="e">
        <f t="shared" si="1"/>
        <v>#N/A</v>
      </c>
      <c r="V11" s="663" t="s">
        <v>14</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6"/>
      <c r="Q12" s="530" t="str">
        <f t="shared" si="6"/>
        <v>配建</v>
      </c>
      <c r="R12" s="663" t="s">
        <v>14</v>
      </c>
      <c r="S12" s="664">
        <f t="shared" si="0"/>
        <v>100</v>
      </c>
      <c r="T12" s="663" t="s">
        <v>14</v>
      </c>
      <c r="U12" s="664">
        <f t="shared" si="1"/>
        <v>100</v>
      </c>
      <c r="V12" s="663" t="s">
        <v>14</v>
      </c>
      <c r="W12" s="664">
        <f t="shared" si="2"/>
        <v>100</v>
      </c>
      <c r="X12" s="665"/>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3" t="s">
        <v>14</v>
      </c>
      <c r="S13" s="664">
        <f t="shared" si="0"/>
        <v>100</v>
      </c>
      <c r="T13" s="663" t="s">
        <v>14</v>
      </c>
      <c r="U13" s="664">
        <f t="shared" si="1"/>
        <v>100</v>
      </c>
      <c r="V13" s="663" t="s">
        <v>14</v>
      </c>
      <c r="W13" s="664">
        <f t="shared" si="2"/>
        <v>100</v>
      </c>
      <c r="X13" s="665"/>
      <c r="Y13" s="327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3" t="s">
        <v>14</v>
      </c>
      <c r="S14" s="664">
        <f t="shared" si="0"/>
        <v>100</v>
      </c>
      <c r="T14" s="663" t="s">
        <v>14</v>
      </c>
      <c r="U14" s="664">
        <f t="shared" si="1"/>
        <v>100</v>
      </c>
      <c r="V14" s="663" t="s">
        <v>14</v>
      </c>
      <c r="W14" s="664">
        <f t="shared" si="2"/>
        <v>100</v>
      </c>
      <c r="X14" s="665"/>
      <c r="Y14" s="3275"/>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2" t="str">
        <f t="shared" si="6"/>
        <v>居住社区成熟度</v>
      </c>
      <c r="R15" s="666" t="s">
        <v>14</v>
      </c>
      <c r="S15" s="667">
        <f t="shared" si="0"/>
        <v>100</v>
      </c>
      <c r="T15" s="666" t="s">
        <v>14</v>
      </c>
      <c r="U15" s="667">
        <f t="shared" si="1"/>
        <v>100</v>
      </c>
      <c r="V15" s="666" t="s">
        <v>14</v>
      </c>
      <c r="W15" s="667">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84"/>
      <c r="Q16" s="1262"/>
      <c r="R16" s="666"/>
      <c r="S16" s="667"/>
      <c r="T16" s="666"/>
      <c r="U16" s="667"/>
      <c r="V16" s="666"/>
      <c r="W16" s="667"/>
      <c r="X16" s="1264"/>
      <c r="Y16" s="3384"/>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2" t="str">
        <f>B17</f>
        <v>商业繁华度</v>
      </c>
      <c r="R17" s="666" t="s">
        <v>14</v>
      </c>
      <c r="S17" s="667">
        <f>F17</f>
        <v>100</v>
      </c>
      <c r="T17" s="666" t="s">
        <v>14</v>
      </c>
      <c r="U17" s="667">
        <f>H17</f>
        <v>100</v>
      </c>
      <c r="V17" s="666" t="s">
        <v>14</v>
      </c>
      <c r="W17" s="667">
        <f>J17</f>
        <v>100</v>
      </c>
      <c r="X17" s="1264"/>
      <c r="Y17" s="338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84"/>
      <c r="Q18" s="1262"/>
      <c r="R18" s="666"/>
      <c r="S18" s="667"/>
      <c r="T18" s="666"/>
      <c r="U18" s="667"/>
      <c r="V18" s="666"/>
      <c r="W18" s="667"/>
      <c r="X18" s="1264"/>
      <c r="Y18" s="3384"/>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2" t="str">
        <f>B19</f>
        <v>办公集聚程度</v>
      </c>
      <c r="R19" s="666" t="s">
        <v>14</v>
      </c>
      <c r="S19" s="667">
        <f>F19</f>
        <v>100</v>
      </c>
      <c r="T19" s="666" t="s">
        <v>14</v>
      </c>
      <c r="U19" s="667">
        <f>H19</f>
        <v>100</v>
      </c>
      <c r="V19" s="666" t="s">
        <v>14</v>
      </c>
      <c r="W19" s="667">
        <f>J19</f>
        <v>100</v>
      </c>
      <c r="X19" s="1264"/>
      <c r="Y19" s="338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84"/>
      <c r="Q20" s="1262"/>
      <c r="R20" s="666"/>
      <c r="S20" s="667"/>
      <c r="T20" s="666"/>
      <c r="U20" s="667"/>
      <c r="V20" s="666"/>
      <c r="W20" s="667"/>
      <c r="X20" s="1264"/>
      <c r="Y20" s="3384"/>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2" t="str">
        <f>B21</f>
        <v>交通便捷度</v>
      </c>
      <c r="R21" s="666" t="s">
        <v>14</v>
      </c>
      <c r="S21" s="667">
        <f>F21</f>
        <v>100</v>
      </c>
      <c r="T21" s="666" t="s">
        <v>14</v>
      </c>
      <c r="U21" s="667">
        <f>H21</f>
        <v>100</v>
      </c>
      <c r="V21" s="666" t="s">
        <v>14</v>
      </c>
      <c r="W21" s="667">
        <f>J21</f>
        <v>100</v>
      </c>
      <c r="X21" s="1264"/>
      <c r="Y21" s="338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84"/>
      <c r="Q22" s="1262"/>
      <c r="R22" s="666"/>
      <c r="S22" s="667"/>
      <c r="T22" s="666"/>
      <c r="U22" s="667"/>
      <c r="V22" s="666"/>
      <c r="W22" s="667"/>
      <c r="X22" s="1264"/>
      <c r="Y22" s="338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2" t="str">
        <f t="shared" ref="Q23:Q37" si="8">B23</f>
        <v>区域土地利用方向</v>
      </c>
      <c r="R23" s="666" t="s">
        <v>14</v>
      </c>
      <c r="S23" s="667">
        <f>F23</f>
        <v>100</v>
      </c>
      <c r="T23" s="666" t="s">
        <v>14</v>
      </c>
      <c r="U23" s="667">
        <f>H23</f>
        <v>100</v>
      </c>
      <c r="V23" s="666" t="s">
        <v>14</v>
      </c>
      <c r="W23" s="667">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84"/>
      <c r="Q24" s="1262"/>
      <c r="R24" s="666"/>
      <c r="S24" s="667"/>
      <c r="T24" s="666"/>
      <c r="U24" s="667"/>
      <c r="V24" s="666"/>
      <c r="W24" s="667"/>
      <c r="X24" s="1264"/>
      <c r="Y24" s="3384"/>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2" t="str">
        <f t="shared" si="8"/>
        <v>自然及人文环境状况</v>
      </c>
      <c r="R25" s="666" t="s">
        <v>14</v>
      </c>
      <c r="S25" s="667">
        <f>F25</f>
        <v>100</v>
      </c>
      <c r="T25" s="666" t="s">
        <v>14</v>
      </c>
      <c r="U25" s="667">
        <f>H25</f>
        <v>100</v>
      </c>
      <c r="V25" s="666" t="s">
        <v>14</v>
      </c>
      <c r="W25" s="667">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84"/>
      <c r="Q26" s="1262"/>
      <c r="R26" s="666"/>
      <c r="S26" s="667"/>
      <c r="T26" s="666"/>
      <c r="U26" s="667"/>
      <c r="V26" s="666"/>
      <c r="W26" s="667"/>
      <c r="X26" s="1264"/>
      <c r="Y26" s="3384"/>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3" t="s">
        <v>14</v>
      </c>
      <c r="S27" s="664">
        <f>F27</f>
        <v>100</v>
      </c>
      <c r="T27" s="663" t="s">
        <v>14</v>
      </c>
      <c r="U27" s="664">
        <f>H27</f>
        <v>100</v>
      </c>
      <c r="V27" s="663" t="s">
        <v>14</v>
      </c>
      <c r="W27" s="664">
        <f>J27</f>
        <v>100</v>
      </c>
      <c r="X27" s="665"/>
      <c r="Y27" s="338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84"/>
      <c r="Q28" s="530"/>
      <c r="R28" s="663"/>
      <c r="S28" s="664"/>
      <c r="T28" s="663"/>
      <c r="U28" s="664"/>
      <c r="V28" s="663"/>
      <c r="W28" s="664"/>
      <c r="X28" s="665"/>
      <c r="Y28" s="3384"/>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3" t="s">
        <v>14</v>
      </c>
      <c r="S29" s="664">
        <f>F29</f>
        <v>100</v>
      </c>
      <c r="T29" s="663" t="s">
        <v>14</v>
      </c>
      <c r="U29" s="664">
        <f>H29</f>
        <v>100</v>
      </c>
      <c r="V29" s="663" t="s">
        <v>14</v>
      </c>
      <c r="W29" s="664">
        <f>J29</f>
        <v>100</v>
      </c>
      <c r="X29" s="665"/>
      <c r="Y29" s="338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84"/>
      <c r="Q30" s="530"/>
      <c r="R30" s="663"/>
      <c r="S30" s="664"/>
      <c r="T30" s="663"/>
      <c r="U30" s="664"/>
      <c r="V30" s="663"/>
      <c r="W30" s="664"/>
      <c r="X30" s="665"/>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2" t="str">
        <f t="shared" si="8"/>
        <v>毗邻道路的类型与等级</v>
      </c>
      <c r="R32" s="666" t="s">
        <v>14</v>
      </c>
      <c r="S32" s="667">
        <f t="shared" si="10"/>
        <v>100</v>
      </c>
      <c r="T32" s="666" t="s">
        <v>14</v>
      </c>
      <c r="U32" s="667">
        <f t="shared" si="11"/>
        <v>100</v>
      </c>
      <c r="V32" s="666" t="s">
        <v>14</v>
      </c>
      <c r="W32" s="667">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4"/>
      <c r="Q33" s="1262"/>
      <c r="R33" s="666"/>
      <c r="S33" s="667"/>
      <c r="T33" s="666"/>
      <c r="U33" s="667"/>
      <c r="V33" s="666"/>
      <c r="W33" s="667"/>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2" t="str">
        <f t="shared" si="8"/>
        <v>土地级别</v>
      </c>
      <c r="R34" s="666" t="s">
        <v>14</v>
      </c>
      <c r="S34" s="667">
        <f t="shared" si="10"/>
        <v>100</v>
      </c>
      <c r="T34" s="666" t="s">
        <v>14</v>
      </c>
      <c r="U34" s="667">
        <f t="shared" si="11"/>
        <v>100</v>
      </c>
      <c r="V34" s="666" t="s">
        <v>14</v>
      </c>
      <c r="W34" s="667">
        <f t="shared" si="12"/>
        <v>100</v>
      </c>
      <c r="X34" s="1264"/>
      <c r="Y34" s="338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2">
        <f t="shared" si="8"/>
        <v>111</v>
      </c>
      <c r="R35" s="666" t="s">
        <v>14</v>
      </c>
      <c r="S35" s="667">
        <f t="shared" si="10"/>
        <v>100</v>
      </c>
      <c r="T35" s="666" t="s">
        <v>14</v>
      </c>
      <c r="U35" s="667">
        <f t="shared" si="11"/>
        <v>100</v>
      </c>
      <c r="V35" s="666" t="s">
        <v>14</v>
      </c>
      <c r="W35" s="667">
        <f t="shared" si="12"/>
        <v>100</v>
      </c>
      <c r="X35" s="1264"/>
      <c r="Y35" s="338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9" t="s">
        <v>1696</v>
      </c>
      <c r="Q36" s="1262">
        <f t="shared" si="8"/>
        <v>111</v>
      </c>
      <c r="R36" s="666" t="s">
        <v>14</v>
      </c>
      <c r="S36" s="667">
        <f t="shared" si="10"/>
        <v>100</v>
      </c>
      <c r="T36" s="666" t="s">
        <v>14</v>
      </c>
      <c r="U36" s="667">
        <f t="shared" si="11"/>
        <v>100</v>
      </c>
      <c r="V36" s="666" t="s">
        <v>14</v>
      </c>
      <c r="W36" s="667">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2">
        <f t="shared" si="8"/>
        <v>111</v>
      </c>
      <c r="R37" s="668" t="s">
        <v>14</v>
      </c>
      <c r="S37" s="669">
        <f t="shared" si="10"/>
        <v>100</v>
      </c>
      <c r="T37" s="668" t="s">
        <v>14</v>
      </c>
      <c r="U37" s="669">
        <f t="shared" si="11"/>
        <v>100</v>
      </c>
      <c r="V37" s="668" t="s">
        <v>14</v>
      </c>
      <c r="W37" s="669">
        <f t="shared" si="12"/>
        <v>100</v>
      </c>
      <c r="X37" s="670"/>
      <c r="Y37" s="3388"/>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2" t="str">
        <f>B38</f>
        <v>宗地面积</v>
      </c>
      <c r="R38" s="666" t="s">
        <v>14</v>
      </c>
      <c r="S38" s="667" t="e">
        <f t="shared" si="10"/>
        <v>#N/A</v>
      </c>
      <c r="T38" s="666" t="s">
        <v>14</v>
      </c>
      <c r="U38" s="667" t="e">
        <f t="shared" si="11"/>
        <v>#N/A</v>
      </c>
      <c r="V38" s="666" t="s">
        <v>14</v>
      </c>
      <c r="W38" s="667"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8"/>
      <c r="Q39" s="1262" t="str">
        <f t="shared" ref="Q39:Q45" si="14">B39</f>
        <v>宗地形状</v>
      </c>
      <c r="R39" s="666" t="s">
        <v>14</v>
      </c>
      <c r="S39" s="667">
        <f t="shared" si="10"/>
        <v>100</v>
      </c>
      <c r="T39" s="666" t="s">
        <v>14</v>
      </c>
      <c r="U39" s="667">
        <f t="shared" si="11"/>
        <v>100</v>
      </c>
      <c r="V39" s="666" t="s">
        <v>14</v>
      </c>
      <c r="W39" s="667">
        <f t="shared" si="12"/>
        <v>100</v>
      </c>
      <c r="X39" s="1264"/>
      <c r="Y39" s="338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8"/>
      <c r="Q40" s="1262" t="str">
        <f t="shared" si="14"/>
        <v>临街宽度及深度</v>
      </c>
      <c r="R40" s="666" t="s">
        <v>14</v>
      </c>
      <c r="S40" s="667">
        <f t="shared" si="10"/>
        <v>100</v>
      </c>
      <c r="T40" s="666" t="s">
        <v>14</v>
      </c>
      <c r="U40" s="667">
        <f t="shared" si="11"/>
        <v>100</v>
      </c>
      <c r="V40" s="666" t="s">
        <v>14</v>
      </c>
      <c r="W40" s="667">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8"/>
      <c r="Q41" s="1262" t="str">
        <f t="shared" si="14"/>
        <v>宗地开发程度</v>
      </c>
      <c r="R41" s="663" t="s">
        <v>14</v>
      </c>
      <c r="S41" s="664">
        <f t="shared" si="10"/>
        <v>100</v>
      </c>
      <c r="T41" s="663" t="s">
        <v>14</v>
      </c>
      <c r="U41" s="664">
        <f t="shared" si="11"/>
        <v>100</v>
      </c>
      <c r="V41" s="663" t="s">
        <v>14</v>
      </c>
      <c r="W41" s="664">
        <f t="shared" si="12"/>
        <v>100</v>
      </c>
      <c r="X41" s="665"/>
      <c r="Y41" s="338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8" t="s">
        <v>1696</v>
      </c>
      <c r="Q42" s="1262" t="str">
        <f t="shared" si="14"/>
        <v>工程地质条件</v>
      </c>
      <c r="R42" s="666" t="s">
        <v>14</v>
      </c>
      <c r="S42" s="667">
        <f t="shared" si="10"/>
        <v>100</v>
      </c>
      <c r="T42" s="666" t="s">
        <v>14</v>
      </c>
      <c r="U42" s="667">
        <f t="shared" si="11"/>
        <v>100</v>
      </c>
      <c r="V42" s="666" t="s">
        <v>14</v>
      </c>
      <c r="W42" s="667">
        <f t="shared" si="12"/>
        <v>100</v>
      </c>
      <c r="X42" s="1264"/>
      <c r="Y42" s="338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2">
        <f t="shared" si="14"/>
        <v>111</v>
      </c>
      <c r="R43" s="666" t="s">
        <v>14</v>
      </c>
      <c r="S43" s="667">
        <f t="shared" si="10"/>
        <v>100</v>
      </c>
      <c r="T43" s="666" t="s">
        <v>14</v>
      </c>
      <c r="U43" s="667">
        <f t="shared" si="11"/>
        <v>100</v>
      </c>
      <c r="V43" s="666" t="s">
        <v>14</v>
      </c>
      <c r="W43" s="667">
        <f t="shared" si="12"/>
        <v>100</v>
      </c>
      <c r="X43" s="1264"/>
      <c r="Y43" s="338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2">
        <f t="shared" si="14"/>
        <v>111</v>
      </c>
      <c r="R44" s="666" t="s">
        <v>14</v>
      </c>
      <c r="S44" s="667">
        <f t="shared" si="10"/>
        <v>100</v>
      </c>
      <c r="T44" s="666" t="s">
        <v>14</v>
      </c>
      <c r="U44" s="667">
        <f t="shared" si="11"/>
        <v>100</v>
      </c>
      <c r="V44" s="666" t="s">
        <v>14</v>
      </c>
      <c r="W44" s="667">
        <f t="shared" si="12"/>
        <v>100</v>
      </c>
      <c r="X44" s="1264"/>
      <c r="Y44" s="3388"/>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2">
        <f t="shared" si="14"/>
        <v>111</v>
      </c>
      <c r="R45" s="668" t="s">
        <v>14</v>
      </c>
      <c r="S45" s="669">
        <f t="shared" si="10"/>
        <v>100</v>
      </c>
      <c r="T45" s="668" t="s">
        <v>14</v>
      </c>
      <c r="U45" s="669">
        <f t="shared" si="11"/>
        <v>100</v>
      </c>
      <c r="V45" s="668" t="s">
        <v>14</v>
      </c>
      <c r="W45" s="669">
        <f t="shared" si="12"/>
        <v>100</v>
      </c>
      <c r="X45" s="670"/>
      <c r="Y45" s="3388"/>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376" t="str">
        <f>A46</f>
        <v>成交单价</v>
      </c>
      <c r="Q46" s="3376"/>
      <c r="R46" s="3377">
        <f>E46</f>
        <v>0</v>
      </c>
      <c r="S46" s="3377"/>
      <c r="T46" s="3377">
        <f>G46</f>
        <v>0</v>
      </c>
      <c r="U46" s="3377"/>
      <c r="V46" s="3377">
        <f>I46</f>
        <v>0</v>
      </c>
      <c r="W46" s="3377"/>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76" t="str">
        <f>A47</f>
        <v>比较价值（元/平方米）</v>
      </c>
      <c r="Q47" s="3376"/>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78" t="str">
        <f>A48</f>
        <v>估价对象XX用房的比较价值（楼面单价，元/平方米）</v>
      </c>
      <c r="Q48" s="3379"/>
      <c r="R48" s="3462" t="e">
        <f>ROUND(IF(D47="简单平均",AVERAGE(R47:W47),R47*F47+T47*H47+V47*J47),0)</f>
        <v>#DIV/0!</v>
      </c>
      <c r="S48" s="3462"/>
      <c r="T48" s="3462"/>
      <c r="U48" s="3462"/>
      <c r="V48" s="3462"/>
      <c r="W48" s="346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94" t="s">
        <v>1887</v>
      </c>
      <c r="H55" s="346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0</v>
      </c>
      <c r="F56" s="832" t="e">
        <f t="shared" ref="F56:F64" si="15">ROUND(B56*E56/10000,0)</f>
        <v>#DIV/0!</v>
      </c>
      <c r="G56" s="3390"/>
      <c r="H56" s="337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0">
        <v>0.25</v>
      </c>
      <c r="E57" s="614"/>
      <c r="F57" s="832" t="e">
        <f t="shared" si="15"/>
        <v>#DIV/0!</v>
      </c>
      <c r="G57" s="2750" t="s">
        <v>1892</v>
      </c>
      <c r="H57" s="833" t="str">
        <f>项目基本情况!B37</f>
        <v>二级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0">
        <v>0.25</v>
      </c>
      <c r="E58" s="614"/>
      <c r="F58" s="832" t="e">
        <f t="shared" si="15"/>
        <v>#DIV/0!</v>
      </c>
      <c r="G58" s="2751"/>
      <c r="H58" s="833" t="str">
        <f>项目基本情况!B37</f>
        <v>二级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0">
        <v>0.25</v>
      </c>
      <c r="E59" s="614"/>
      <c r="F59" s="832" t="e">
        <f t="shared" si="15"/>
        <v>#DIV/0!</v>
      </c>
      <c r="G59" s="2751"/>
      <c r="H59" s="833" t="str">
        <f>项目基本情况!B37</f>
        <v>二级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77" t="s">
        <v>1773</v>
      </c>
      <c r="W4" s="3377"/>
      <c r="X4" s="1264"/>
      <c r="Y4" s="3404" t="s">
        <v>1775</v>
      </c>
      <c r="Z4" s="3405"/>
      <c r="AA4" s="3391" t="s">
        <v>1771</v>
      </c>
      <c r="AB4" s="3392" t="s">
        <v>1772</v>
      </c>
      <c r="AC4" s="3391" t="s">
        <v>1773</v>
      </c>
    </row>
    <row r="5" spans="1:29" ht="15">
      <c r="A5" s="348"/>
      <c r="B5" s="349"/>
      <c r="C5" s="3417" t="s">
        <v>1673</v>
      </c>
      <c r="D5" s="3413"/>
      <c r="E5" s="3443" t="s">
        <v>1674</v>
      </c>
      <c r="F5" s="3421"/>
      <c r="G5" s="3417" t="s">
        <v>1675</v>
      </c>
      <c r="H5" s="3413"/>
      <c r="I5" s="3417" t="s">
        <v>1676</v>
      </c>
      <c r="J5" s="3413"/>
      <c r="K5" s="537"/>
      <c r="L5" s="2486"/>
      <c r="M5" s="2487"/>
      <c r="N5" s="2487"/>
      <c r="O5" s="2487"/>
      <c r="P5" s="3400"/>
      <c r="Q5" s="3401"/>
      <c r="R5" s="3406"/>
      <c r="S5" s="3407"/>
      <c r="T5" s="3406"/>
      <c r="U5" s="3407"/>
      <c r="V5" s="3377"/>
      <c r="W5" s="3377"/>
      <c r="X5" s="1264"/>
      <c r="Y5" s="3406"/>
      <c r="Z5" s="3407"/>
      <c r="AA5" s="3392"/>
      <c r="AB5" s="3392"/>
      <c r="AC5" s="3392"/>
    </row>
    <row r="6" spans="1:29" ht="15.75" thickBot="1">
      <c r="A6" s="350"/>
      <c r="B6" s="351"/>
      <c r="C6" s="3464" t="s">
        <v>1919</v>
      </c>
      <c r="D6" s="3465"/>
      <c r="E6" s="3466" t="s">
        <v>1919</v>
      </c>
      <c r="F6" s="3467"/>
      <c r="G6" s="3464" t="s">
        <v>1919</v>
      </c>
      <c r="H6" s="3465"/>
      <c r="I6" s="3464" t="s">
        <v>1919</v>
      </c>
      <c r="J6" s="3465"/>
      <c r="K6" s="537" t="s">
        <v>1678</v>
      </c>
      <c r="L6" s="2486"/>
      <c r="M6" s="2487"/>
      <c r="N6" s="2487"/>
      <c r="O6" s="2487"/>
      <c r="P6" s="3402"/>
      <c r="Q6" s="3403"/>
      <c r="R6" s="3406"/>
      <c r="S6" s="3407"/>
      <c r="T6" s="3408"/>
      <c r="U6" s="3409"/>
      <c r="V6" s="3377"/>
      <c r="W6" s="3377"/>
      <c r="X6" s="1264"/>
      <c r="Y6" s="3408"/>
      <c r="Z6" s="3409"/>
      <c r="AA6" s="3393"/>
      <c r="AB6" s="3393"/>
      <c r="AC6" s="3393"/>
    </row>
    <row r="7" spans="1:29" s="102" customFormat="1" ht="15.75" thickBot="1">
      <c r="A7" s="352" t="s">
        <v>1679</v>
      </c>
      <c r="B7" s="353"/>
      <c r="C7" s="354">
        <f>'数据-取费表'!B2</f>
        <v>45898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4" t="s">
        <v>1680</v>
      </c>
      <c r="Q7" s="3416"/>
      <c r="R7" s="663" t="s">
        <v>14</v>
      </c>
      <c r="S7" s="664">
        <f t="shared" ref="S7:S15" si="0">F7</f>
        <v>0</v>
      </c>
      <c r="T7" s="663" t="s">
        <v>14</v>
      </c>
      <c r="U7" s="664">
        <f t="shared" ref="U7:U15" si="1">H7</f>
        <v>0</v>
      </c>
      <c r="V7" s="663" t="s">
        <v>14</v>
      </c>
      <c r="W7" s="664">
        <f t="shared" ref="W7:W15" si="2">J7</f>
        <v>0</v>
      </c>
      <c r="X7" s="665"/>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4" t="s">
        <v>1683</v>
      </c>
      <c r="Q8" s="3415"/>
      <c r="R8" s="663" t="s">
        <v>14</v>
      </c>
      <c r="S8" s="664">
        <f t="shared" si="0"/>
        <v>0</v>
      </c>
      <c r="T8" s="663" t="s">
        <v>14</v>
      </c>
      <c r="U8" s="664">
        <f t="shared" si="1"/>
        <v>0</v>
      </c>
      <c r="V8" s="663" t="s">
        <v>14</v>
      </c>
      <c r="W8" s="664">
        <f t="shared" si="2"/>
        <v>0</v>
      </c>
      <c r="X8" s="665"/>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6"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376"/>
      <c r="Q10" s="530" t="str">
        <f t="shared" si="6"/>
        <v>土地使用年限（年）</v>
      </c>
      <c r="R10" s="663" t="s">
        <v>14</v>
      </c>
      <c r="S10" s="664">
        <f t="shared" si="0"/>
        <v>124</v>
      </c>
      <c r="T10" s="663" t="s">
        <v>14</v>
      </c>
      <c r="U10" s="664">
        <f t="shared" si="1"/>
        <v>124</v>
      </c>
      <c r="V10" s="663" t="s">
        <v>14</v>
      </c>
      <c r="W10" s="664">
        <f t="shared" si="2"/>
        <v>124</v>
      </c>
      <c r="X10" s="665"/>
      <c r="Y10" s="327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3" t="s">
        <v>14</v>
      </c>
      <c r="S11" s="664" t="e">
        <f t="shared" si="0"/>
        <v>#N/A</v>
      </c>
      <c r="T11" s="663" t="s">
        <v>14</v>
      </c>
      <c r="U11" s="664" t="e">
        <f t="shared" si="1"/>
        <v>#N/A</v>
      </c>
      <c r="V11" s="663" t="s">
        <v>14</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6"/>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84"/>
      <c r="Q16" s="1262"/>
      <c r="R16" s="666"/>
      <c r="S16" s="667"/>
      <c r="T16" s="666"/>
      <c r="U16" s="667"/>
      <c r="V16" s="666"/>
      <c r="W16" s="667"/>
      <c r="X16" s="1264"/>
      <c r="Y16" s="3384"/>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84"/>
      <c r="Q18" s="1262"/>
      <c r="R18" s="666"/>
      <c r="S18" s="667"/>
      <c r="T18" s="666"/>
      <c r="U18" s="667"/>
      <c r="V18" s="666"/>
      <c r="W18" s="667"/>
      <c r="X18" s="1264"/>
      <c r="Y18" s="338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2" t="str">
        <f t="shared" ref="Q19:Q33" si="8">B19</f>
        <v>区域土地利用方向</v>
      </c>
      <c r="R19" s="666" t="s">
        <v>14</v>
      </c>
      <c r="S19" s="667">
        <f>F19</f>
        <v>100</v>
      </c>
      <c r="T19" s="666" t="s">
        <v>14</v>
      </c>
      <c r="U19" s="667">
        <f>H19</f>
        <v>100</v>
      </c>
      <c r="V19" s="666" t="s">
        <v>14</v>
      </c>
      <c r="W19" s="667">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84"/>
      <c r="Q20" s="1262"/>
      <c r="R20" s="666"/>
      <c r="S20" s="667"/>
      <c r="T20" s="666"/>
      <c r="U20" s="667"/>
      <c r="V20" s="666"/>
      <c r="W20" s="667"/>
      <c r="X20" s="1264"/>
      <c r="Y20" s="3384"/>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2" t="str">
        <f t="shared" si="8"/>
        <v>环境状况</v>
      </c>
      <c r="R21" s="666" t="s">
        <v>14</v>
      </c>
      <c r="S21" s="667">
        <f>F21</f>
        <v>100</v>
      </c>
      <c r="T21" s="666" t="s">
        <v>14</v>
      </c>
      <c r="U21" s="667">
        <f>H21</f>
        <v>100</v>
      </c>
      <c r="V21" s="666" t="s">
        <v>14</v>
      </c>
      <c r="W21" s="667">
        <f>J21</f>
        <v>100</v>
      </c>
      <c r="X21" s="1264"/>
      <c r="Y21" s="338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84"/>
      <c r="Q22" s="1262"/>
      <c r="R22" s="666"/>
      <c r="S22" s="667"/>
      <c r="T22" s="666"/>
      <c r="U22" s="667"/>
      <c r="V22" s="666"/>
      <c r="W22" s="667"/>
      <c r="X22" s="1264"/>
      <c r="Y22" s="3384"/>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3" t="s">
        <v>14</v>
      </c>
      <c r="S23" s="664">
        <f>F23</f>
        <v>100</v>
      </c>
      <c r="T23" s="663" t="s">
        <v>14</v>
      </c>
      <c r="U23" s="664">
        <f>H23</f>
        <v>100</v>
      </c>
      <c r="V23" s="663" t="s">
        <v>14</v>
      </c>
      <c r="W23" s="664">
        <f>J23</f>
        <v>100</v>
      </c>
      <c r="X23" s="665"/>
      <c r="Y23" s="338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84"/>
      <c r="Q24" s="530"/>
      <c r="R24" s="663"/>
      <c r="S24" s="664"/>
      <c r="T24" s="663"/>
      <c r="U24" s="664"/>
      <c r="V24" s="663"/>
      <c r="W24" s="664"/>
      <c r="X24" s="665"/>
      <c r="Y24" s="3384"/>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3" t="s">
        <v>14</v>
      </c>
      <c r="S25" s="664">
        <f>F25</f>
        <v>100</v>
      </c>
      <c r="T25" s="663" t="s">
        <v>14</v>
      </c>
      <c r="U25" s="664">
        <f>H25</f>
        <v>100</v>
      </c>
      <c r="V25" s="663" t="s">
        <v>14</v>
      </c>
      <c r="W25" s="664">
        <f>J25</f>
        <v>100</v>
      </c>
      <c r="X25" s="665"/>
      <c r="Y25" s="338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84"/>
      <c r="Q26" s="530"/>
      <c r="R26" s="663"/>
      <c r="S26" s="664"/>
      <c r="T26" s="663"/>
      <c r="U26" s="664"/>
      <c r="V26" s="663"/>
      <c r="W26" s="664"/>
      <c r="X26" s="665"/>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2" t="str">
        <f t="shared" si="8"/>
        <v>毗邻道路的类型与等级</v>
      </c>
      <c r="R28" s="666" t="s">
        <v>14</v>
      </c>
      <c r="S28" s="667">
        <f t="shared" si="10"/>
        <v>100</v>
      </c>
      <c r="T28" s="666" t="s">
        <v>14</v>
      </c>
      <c r="U28" s="667">
        <f t="shared" si="11"/>
        <v>100</v>
      </c>
      <c r="V28" s="666" t="s">
        <v>14</v>
      </c>
      <c r="W28" s="667">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4"/>
      <c r="Q29" s="1262"/>
      <c r="R29" s="666"/>
      <c r="S29" s="667"/>
      <c r="T29" s="666"/>
      <c r="U29" s="667"/>
      <c r="V29" s="666"/>
      <c r="W29" s="667"/>
      <c r="X29" s="1264"/>
      <c r="Y29" s="338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2" t="str">
        <f t="shared" si="8"/>
        <v>土地级别</v>
      </c>
      <c r="R30" s="666" t="s">
        <v>14</v>
      </c>
      <c r="S30" s="667">
        <f t="shared" si="10"/>
        <v>100</v>
      </c>
      <c r="T30" s="666" t="s">
        <v>14</v>
      </c>
      <c r="U30" s="667">
        <f t="shared" si="11"/>
        <v>100</v>
      </c>
      <c r="V30" s="666" t="s">
        <v>14</v>
      </c>
      <c r="W30" s="667">
        <f t="shared" si="12"/>
        <v>100</v>
      </c>
      <c r="X30" s="1264"/>
      <c r="Y30" s="338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2">
        <f t="shared" si="8"/>
        <v>111</v>
      </c>
      <c r="R31" s="666" t="s">
        <v>14</v>
      </c>
      <c r="S31" s="667">
        <f t="shared" si="10"/>
        <v>100</v>
      </c>
      <c r="T31" s="666" t="s">
        <v>14</v>
      </c>
      <c r="U31" s="667">
        <f t="shared" si="11"/>
        <v>100</v>
      </c>
      <c r="V31" s="666" t="s">
        <v>14</v>
      </c>
      <c r="W31" s="667">
        <f t="shared" si="12"/>
        <v>100</v>
      </c>
      <c r="X31" s="1264"/>
      <c r="Y31" s="338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9" t="s">
        <v>1696</v>
      </c>
      <c r="Q32" s="1262">
        <f t="shared" si="8"/>
        <v>111</v>
      </c>
      <c r="R32" s="666" t="s">
        <v>14</v>
      </c>
      <c r="S32" s="667">
        <f t="shared" si="10"/>
        <v>100</v>
      </c>
      <c r="T32" s="666" t="s">
        <v>14</v>
      </c>
      <c r="U32" s="667">
        <f t="shared" si="11"/>
        <v>100</v>
      </c>
      <c r="V32" s="666" t="s">
        <v>14</v>
      </c>
      <c r="W32" s="667">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2">
        <f t="shared" si="8"/>
        <v>111</v>
      </c>
      <c r="R33" s="668" t="s">
        <v>14</v>
      </c>
      <c r="S33" s="669">
        <f t="shared" si="10"/>
        <v>100</v>
      </c>
      <c r="T33" s="668" t="s">
        <v>14</v>
      </c>
      <c r="U33" s="669">
        <f t="shared" si="11"/>
        <v>100</v>
      </c>
      <c r="V33" s="668" t="s">
        <v>14</v>
      </c>
      <c r="W33" s="669">
        <f t="shared" si="12"/>
        <v>100</v>
      </c>
      <c r="X33" s="670"/>
      <c r="Y33" s="3388"/>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2" t="str">
        <f>B34</f>
        <v>宗地面积</v>
      </c>
      <c r="R34" s="666" t="s">
        <v>14</v>
      </c>
      <c r="S34" s="667" t="e">
        <f t="shared" si="10"/>
        <v>#N/A</v>
      </c>
      <c r="T34" s="666" t="s">
        <v>14</v>
      </c>
      <c r="U34" s="667" t="e">
        <f t="shared" si="11"/>
        <v>#N/A</v>
      </c>
      <c r="V34" s="666" t="s">
        <v>14</v>
      </c>
      <c r="W34" s="667"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8"/>
      <c r="Q35" s="1262" t="str">
        <f t="shared" ref="Q35:Q40" si="14">B35</f>
        <v>宗地形状</v>
      </c>
      <c r="R35" s="666" t="s">
        <v>14</v>
      </c>
      <c r="S35" s="667">
        <f t="shared" si="10"/>
        <v>100</v>
      </c>
      <c r="T35" s="666" t="s">
        <v>14</v>
      </c>
      <c r="U35" s="667">
        <f t="shared" si="11"/>
        <v>100</v>
      </c>
      <c r="V35" s="666" t="s">
        <v>14</v>
      </c>
      <c r="W35" s="667">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8"/>
      <c r="Q36" s="1262" t="str">
        <f t="shared" si="14"/>
        <v>宗地开发程度</v>
      </c>
      <c r="R36" s="663" t="s">
        <v>14</v>
      </c>
      <c r="S36" s="664">
        <f t="shared" si="10"/>
        <v>100</v>
      </c>
      <c r="T36" s="663" t="s">
        <v>14</v>
      </c>
      <c r="U36" s="664">
        <f t="shared" si="11"/>
        <v>100</v>
      </c>
      <c r="V36" s="663" t="s">
        <v>14</v>
      </c>
      <c r="W36" s="664">
        <f t="shared" si="12"/>
        <v>100</v>
      </c>
      <c r="X36" s="665"/>
      <c r="Y36" s="338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8" t="s">
        <v>1696</v>
      </c>
      <c r="Q37" s="1262" t="str">
        <f t="shared" si="14"/>
        <v>工程地质条件</v>
      </c>
      <c r="R37" s="666" t="s">
        <v>14</v>
      </c>
      <c r="S37" s="667">
        <f t="shared" si="10"/>
        <v>100</v>
      </c>
      <c r="T37" s="666" t="s">
        <v>14</v>
      </c>
      <c r="U37" s="667">
        <f t="shared" si="11"/>
        <v>100</v>
      </c>
      <c r="V37" s="666" t="s">
        <v>14</v>
      </c>
      <c r="W37" s="667">
        <f t="shared" si="12"/>
        <v>100</v>
      </c>
      <c r="X37" s="1264"/>
      <c r="Y37" s="338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2">
        <f t="shared" si="14"/>
        <v>111</v>
      </c>
      <c r="R38" s="666" t="s">
        <v>14</v>
      </c>
      <c r="S38" s="667">
        <f t="shared" si="10"/>
        <v>100</v>
      </c>
      <c r="T38" s="666" t="s">
        <v>14</v>
      </c>
      <c r="U38" s="667">
        <f t="shared" si="11"/>
        <v>100</v>
      </c>
      <c r="V38" s="666" t="s">
        <v>14</v>
      </c>
      <c r="W38" s="667">
        <f t="shared" si="12"/>
        <v>100</v>
      </c>
      <c r="X38" s="1264"/>
      <c r="Y38" s="338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2">
        <f t="shared" si="14"/>
        <v>111</v>
      </c>
      <c r="R39" s="666" t="s">
        <v>14</v>
      </c>
      <c r="S39" s="667">
        <f t="shared" si="10"/>
        <v>100</v>
      </c>
      <c r="T39" s="666" t="s">
        <v>14</v>
      </c>
      <c r="U39" s="667">
        <f t="shared" si="11"/>
        <v>100</v>
      </c>
      <c r="V39" s="666" t="s">
        <v>14</v>
      </c>
      <c r="W39" s="667">
        <f t="shared" si="12"/>
        <v>100</v>
      </c>
      <c r="X39" s="1264"/>
      <c r="Y39" s="3388"/>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2">
        <f t="shared" si="14"/>
        <v>111</v>
      </c>
      <c r="R40" s="668" t="s">
        <v>14</v>
      </c>
      <c r="S40" s="669">
        <f t="shared" si="10"/>
        <v>100</v>
      </c>
      <c r="T40" s="668" t="s">
        <v>14</v>
      </c>
      <c r="U40" s="669">
        <f t="shared" si="11"/>
        <v>100</v>
      </c>
      <c r="V40" s="668" t="s">
        <v>14</v>
      </c>
      <c r="W40" s="669">
        <f t="shared" si="12"/>
        <v>100</v>
      </c>
      <c r="X40" s="670"/>
      <c r="Y40" s="3388"/>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376" t="str">
        <f>A41</f>
        <v>成交单价</v>
      </c>
      <c r="Q41" s="3376"/>
      <c r="R41" s="3377">
        <f>E41</f>
        <v>0</v>
      </c>
      <c r="S41" s="3377"/>
      <c r="T41" s="3377">
        <f>G41</f>
        <v>0</v>
      </c>
      <c r="U41" s="3377"/>
      <c r="V41" s="3377">
        <f>I41</f>
        <v>0</v>
      </c>
      <c r="W41" s="3377"/>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76" t="str">
        <f>A42</f>
        <v>比较价值（元/平方米）</v>
      </c>
      <c r="Q42" s="3376"/>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78" t="str">
        <f>A43</f>
        <v>估价对象XX用房的比较价值（楼面单价，元/平方米）</v>
      </c>
      <c r="Q43" s="3379"/>
      <c r="R43" s="3462" t="e">
        <f>ROUND(IF(D42="简单平均",AVERAGE(R42:W42),R42*F42+T42*H42+V42*J42),0)</f>
        <v>#DIV/0!</v>
      </c>
      <c r="S43" s="3462"/>
      <c r="T43" s="3462"/>
      <c r="U43" s="3462"/>
      <c r="V43" s="3462"/>
      <c r="W43" s="346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4" t="s">
        <v>1887</v>
      </c>
      <c r="H50" s="346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0</v>
      </c>
      <c r="F51" s="611" t="e">
        <f t="shared" ref="F51:F60" si="15">ROUND(B51*E51/10000,0)</f>
        <v>#DIV/0!</v>
      </c>
      <c r="G51" s="3390"/>
      <c r="H51" s="337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0">
        <v>0.25</v>
      </c>
      <c r="E52" s="614"/>
      <c r="F52" s="611" t="e">
        <f t="shared" si="15"/>
        <v>#DIV/0!</v>
      </c>
      <c r="G52" s="2750" t="s">
        <v>1892</v>
      </c>
      <c r="H52" s="833" t="str">
        <f>项目基本情况!B37</f>
        <v>二级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0">
        <v>0.25</v>
      </c>
      <c r="E53" s="614"/>
      <c r="F53" s="611" t="e">
        <f t="shared" si="15"/>
        <v>#DIV/0!</v>
      </c>
      <c r="G53" s="2751"/>
      <c r="H53" s="833" t="str">
        <f>项目基本情况!B37</f>
        <v>二级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0">
        <v>0.25</v>
      </c>
      <c r="E54" s="614"/>
      <c r="F54" s="611" t="e">
        <f t="shared" si="15"/>
        <v>#DIV/0!</v>
      </c>
      <c r="G54" s="2751"/>
      <c r="H54" s="833" t="str">
        <f>项目基本情况!B37</f>
        <v>二级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0">
        <v>0.25</v>
      </c>
      <c r="E59" s="209">
        <f>'数据-汇总表'!E14</f>
        <v>0</v>
      </c>
      <c r="F59" s="611" t="e">
        <f t="shared" si="15"/>
        <v>#DIV/0!</v>
      </c>
      <c r="G59" s="1834" t="s">
        <v>1892</v>
      </c>
      <c r="H59" s="833" t="str">
        <f>项目基本情况!B37</f>
        <v>二级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3425</v>
      </c>
      <c r="E1" s="3124" t="s">
        <v>3445</v>
      </c>
      <c r="F1" s="1734" t="s">
        <v>3506</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685</v>
      </c>
      <c r="B2" s="1084">
        <f>IF(E1="项目模式",IF(C2="——",ROUND(C49*D3/10000,0),ROUND(C49*D3/10000,0)-D2),IF(E1="单套模式",IF(C2="——",ROUND(C49*D3/10000,4),ROUND(C49*D3/10000,4)-D2)))</f>
        <v>6.9400000000000003E-2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686</v>
      </c>
      <c r="B3" s="536">
        <f>IF(C2="——",C49,ROUND(B2*10000/D3,0))</f>
        <v>5</v>
      </c>
      <c r="C3" s="344" t="s">
        <v>1665</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1666</v>
      </c>
      <c r="B4" s="346"/>
      <c r="C4" s="3394" t="s">
        <v>1667</v>
      </c>
      <c r="D4" s="3395"/>
      <c r="E4" s="3396" t="s">
        <v>1668</v>
      </c>
      <c r="F4" s="3397"/>
      <c r="G4" s="3394" t="s">
        <v>1669</v>
      </c>
      <c r="H4" s="3395"/>
      <c r="I4" s="3394" t="s">
        <v>1670</v>
      </c>
      <c r="J4" s="3395"/>
      <c r="K4" s="537" t="s">
        <v>1671</v>
      </c>
      <c r="L4" s="2486"/>
      <c r="M4" s="2487"/>
      <c r="N4" s="2487"/>
      <c r="O4" s="2487"/>
      <c r="P4" s="3398" t="s">
        <v>1672</v>
      </c>
      <c r="Q4" s="3399"/>
      <c r="R4" s="3404" t="s">
        <v>1668</v>
      </c>
      <c r="S4" s="3405"/>
      <c r="T4" s="3404" t="s">
        <v>1669</v>
      </c>
      <c r="U4" s="3405"/>
      <c r="V4" s="3377" t="s">
        <v>1670</v>
      </c>
      <c r="W4" s="3377"/>
      <c r="X4" s="1264"/>
      <c r="Y4" s="3404" t="s">
        <v>1672</v>
      </c>
      <c r="Z4" s="3405"/>
      <c r="AA4" s="3391" t="s">
        <v>1668</v>
      </c>
      <c r="AB4" s="3377" t="s">
        <v>1669</v>
      </c>
      <c r="AC4" s="3391" t="s">
        <v>1670</v>
      </c>
    </row>
    <row r="5" spans="1:29" ht="15">
      <c r="A5" s="348"/>
      <c r="B5" s="349"/>
      <c r="C5" s="3417" t="s">
        <v>1673</v>
      </c>
      <c r="D5" s="3413"/>
      <c r="E5" s="3420" t="s">
        <v>3508</v>
      </c>
      <c r="F5" s="3421"/>
      <c r="G5" s="3412" t="s">
        <v>3507</v>
      </c>
      <c r="H5" s="3413"/>
      <c r="I5" s="3412" t="s">
        <v>3449</v>
      </c>
      <c r="J5" s="3413"/>
      <c r="K5" s="537"/>
      <c r="L5" s="2486"/>
      <c r="M5" s="2487"/>
      <c r="N5" s="2487"/>
      <c r="O5" s="2487"/>
      <c r="P5" s="3400"/>
      <c r="Q5" s="3401"/>
      <c r="R5" s="3406"/>
      <c r="S5" s="3407"/>
      <c r="T5" s="3406"/>
      <c r="U5" s="3407"/>
      <c r="V5" s="3377"/>
      <c r="W5" s="3377"/>
      <c r="X5" s="1264"/>
      <c r="Y5" s="3406"/>
      <c r="Z5" s="3407"/>
      <c r="AA5" s="3392"/>
      <c r="AB5" s="3377"/>
      <c r="AC5" s="3392"/>
    </row>
    <row r="6" spans="1:29" ht="15.75" thickBot="1">
      <c r="A6" s="350"/>
      <c r="B6" s="351"/>
      <c r="C6" s="3410" t="s">
        <v>1677</v>
      </c>
      <c r="D6" s="3411"/>
      <c r="E6" s="3418" t="s">
        <v>1677</v>
      </c>
      <c r="F6" s="3419"/>
      <c r="G6" s="3410" t="s">
        <v>1677</v>
      </c>
      <c r="H6" s="3411"/>
      <c r="I6" s="3410" t="s">
        <v>1677</v>
      </c>
      <c r="J6" s="3411"/>
      <c r="K6" s="537" t="s">
        <v>1678</v>
      </c>
      <c r="L6" s="2486"/>
      <c r="M6" s="2487"/>
      <c r="N6" s="2487"/>
      <c r="O6" s="2487"/>
      <c r="P6" s="3402"/>
      <c r="Q6" s="3403"/>
      <c r="R6" s="3406"/>
      <c r="S6" s="3407"/>
      <c r="T6" s="3408"/>
      <c r="U6" s="3409"/>
      <c r="V6" s="3377"/>
      <c r="W6" s="3377"/>
      <c r="X6" s="1264"/>
      <c r="Y6" s="3408"/>
      <c r="Z6" s="3409"/>
      <c r="AA6" s="3393"/>
      <c r="AB6" s="3377"/>
      <c r="AC6" s="3393"/>
    </row>
    <row r="7" spans="1:29" s="102" customFormat="1" ht="15.7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414" t="s">
        <v>1680</v>
      </c>
      <c r="Q7" s="3416"/>
      <c r="R7" s="663" t="s">
        <v>14</v>
      </c>
      <c r="S7" s="664">
        <f t="shared" ref="S7:S15" si="0">F7</f>
        <v>100</v>
      </c>
      <c r="T7" s="663" t="s">
        <v>14</v>
      </c>
      <c r="U7" s="664">
        <f t="shared" ref="U7:U15" si="1">H7</f>
        <v>100</v>
      </c>
      <c r="V7" s="663" t="s">
        <v>14</v>
      </c>
      <c r="W7" s="664">
        <f t="shared" ref="W7:W15" si="2">J7</f>
        <v>100</v>
      </c>
      <c r="X7" s="665"/>
      <c r="Y7" s="3414" t="s">
        <v>1680</v>
      </c>
      <c r="Z7" s="3415"/>
      <c r="AA7" s="50">
        <f>D7/F7</f>
        <v>1</v>
      </c>
      <c r="AB7" s="50">
        <f>D7/H7</f>
        <v>1</v>
      </c>
      <c r="AC7" s="50">
        <f>D7/J7</f>
        <v>1</v>
      </c>
    </row>
    <row r="8" spans="1:29" s="102" customFormat="1" ht="15.75" thickBot="1">
      <c r="A8" s="352" t="s">
        <v>1681</v>
      </c>
      <c r="B8" s="353"/>
      <c r="C8" s="358" t="s">
        <v>3450</v>
      </c>
      <c r="D8" s="355">
        <v>100</v>
      </c>
      <c r="E8" s="358" t="s">
        <v>3486</v>
      </c>
      <c r="F8" s="357">
        <f>SUMIF(61:61,E8,62:62)-SUMIF(61:61,C8,62:62)+100</f>
        <v>103</v>
      </c>
      <c r="G8" s="358" t="s">
        <v>3486</v>
      </c>
      <c r="H8" s="355">
        <f>SUMIF(61:61,G8,62:62)-SUMIF(61:61,C8,62:62)+100</f>
        <v>103</v>
      </c>
      <c r="I8" s="358" t="s">
        <v>3486</v>
      </c>
      <c r="J8" s="355">
        <f>SUMIF(61:61,I8,62:62)-SUMIF(61:61,C8,62:62)+100</f>
        <v>103</v>
      </c>
      <c r="K8" s="38"/>
      <c r="L8" s="2488"/>
      <c r="M8" s="2439"/>
      <c r="N8" s="2439"/>
      <c r="O8" s="2439"/>
      <c r="P8" s="3414" t="s">
        <v>1683</v>
      </c>
      <c r="Q8" s="3415"/>
      <c r="R8" s="663" t="s">
        <v>14</v>
      </c>
      <c r="S8" s="664">
        <f t="shared" si="0"/>
        <v>103</v>
      </c>
      <c r="T8" s="663" t="s">
        <v>14</v>
      </c>
      <c r="U8" s="664">
        <f t="shared" si="1"/>
        <v>103</v>
      </c>
      <c r="V8" s="663" t="s">
        <v>14</v>
      </c>
      <c r="W8" s="664">
        <f t="shared" si="2"/>
        <v>103</v>
      </c>
      <c r="X8" s="665"/>
      <c r="Y8" s="3414" t="s">
        <v>1683</v>
      </c>
      <c r="Z8" s="3415"/>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82" t="s">
        <v>3487</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0" t="s">
        <v>1686</v>
      </c>
      <c r="Q9" s="530" t="str">
        <f t="shared" ref="Q9:Q15" si="6">B9</f>
        <v>用途</v>
      </c>
      <c r="R9" s="663" t="s">
        <v>14</v>
      </c>
      <c r="S9" s="664">
        <f t="shared" si="0"/>
        <v>100</v>
      </c>
      <c r="T9" s="663" t="s">
        <v>14</v>
      </c>
      <c r="U9" s="664">
        <f t="shared" si="1"/>
        <v>100</v>
      </c>
      <c r="V9" s="663" t="s">
        <v>14</v>
      </c>
      <c r="W9" s="664">
        <f t="shared" si="2"/>
        <v>100</v>
      </c>
      <c r="X9" s="665"/>
      <c r="Y9" s="3275" t="s">
        <v>1687</v>
      </c>
      <c r="Z9" s="50" t="str">
        <f t="shared" ref="Z9:Z15" si="7">Q9</f>
        <v>用途</v>
      </c>
      <c r="AA9" s="50">
        <f t="shared" si="3"/>
        <v>1</v>
      </c>
      <c r="AB9" s="50">
        <f t="shared" si="4"/>
        <v>1</v>
      </c>
      <c r="AC9" s="50">
        <f t="shared" si="5"/>
        <v>1</v>
      </c>
    </row>
    <row r="10" spans="1:29" s="366" customFormat="1" ht="27">
      <c r="A10" s="363"/>
      <c r="B10" s="364" t="s">
        <v>1688</v>
      </c>
      <c r="C10" s="3132" t="s">
        <v>3493</v>
      </c>
      <c r="D10" s="119">
        <v>100</v>
      </c>
      <c r="E10" s="3133" t="s">
        <v>3494</v>
      </c>
      <c r="F10" s="364">
        <f>SUMIF(65:65,E10,66:66)-SUMIF(65:65,C10,66:66)+100</f>
        <v>100</v>
      </c>
      <c r="G10" s="3132" t="s">
        <v>3494</v>
      </c>
      <c r="H10" s="119">
        <f>SUMIF(65:65,G10,66:66)-SUMIF(65:65,C10,66:66)+100</f>
        <v>100</v>
      </c>
      <c r="I10" s="3132" t="s">
        <v>3494</v>
      </c>
      <c r="J10" s="119">
        <f>SUMIF(65:65,I10,66:66)-SUMIF(65:65,C10,66:66)+100</f>
        <v>100</v>
      </c>
      <c r="K10" s="38"/>
      <c r="L10" s="2489"/>
      <c r="M10" s="2490"/>
      <c r="N10" s="2490"/>
      <c r="O10" s="2490"/>
      <c r="P10" s="339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0"/>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50">
        <f t="shared" si="5"/>
        <v>1</v>
      </c>
    </row>
    <row r="12" spans="1:29" s="102" customFormat="1" ht="15.75" thickBot="1">
      <c r="A12" s="370"/>
      <c r="B12" s="3185" t="s">
        <v>3500</v>
      </c>
      <c r="C12" s="371">
        <f>项目基本情况!D15</f>
        <v>24.02</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8"/>
      <c r="M12" s="2439"/>
      <c r="N12" s="2439"/>
      <c r="O12" s="2439"/>
      <c r="P12" s="3390"/>
      <c r="Q12" s="530" t="str">
        <f t="shared" si="6"/>
        <v>土地剩余年期</v>
      </c>
      <c r="R12" s="663" t="s">
        <v>14</v>
      </c>
      <c r="S12" s="664">
        <f t="shared" si="0"/>
        <v>100</v>
      </c>
      <c r="T12" s="663" t="s">
        <v>14</v>
      </c>
      <c r="U12" s="664">
        <f t="shared" si="1"/>
        <v>100</v>
      </c>
      <c r="V12" s="663" t="s">
        <v>14</v>
      </c>
      <c r="W12" s="664">
        <f t="shared" si="2"/>
        <v>100</v>
      </c>
      <c r="X12" s="665"/>
      <c r="Y12" s="3275"/>
      <c r="Z12" s="50" t="str">
        <f t="shared" si="7"/>
        <v>土地剩余年期</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92"/>
      <c r="M15" s="2487"/>
      <c r="N15" s="2487"/>
      <c r="O15" s="2487"/>
      <c r="P15" s="3381" t="s">
        <v>1691</v>
      </c>
      <c r="Q15" s="1262" t="str">
        <f t="shared" si="6"/>
        <v>商业繁华度</v>
      </c>
      <c r="R15" s="666" t="s">
        <v>14</v>
      </c>
      <c r="S15" s="667">
        <f t="shared" si="0"/>
        <v>102</v>
      </c>
      <c r="T15" s="666" t="s">
        <v>14</v>
      </c>
      <c r="U15" s="667">
        <f t="shared" si="1"/>
        <v>102</v>
      </c>
      <c r="V15" s="666" t="s">
        <v>14</v>
      </c>
      <c r="W15" s="667">
        <f t="shared" si="2"/>
        <v>100</v>
      </c>
      <c r="X15" s="1264"/>
      <c r="Y15" s="3383" t="s">
        <v>1691</v>
      </c>
      <c r="Z15" s="1263" t="str">
        <f t="shared" si="7"/>
        <v>商业繁华度</v>
      </c>
      <c r="AA15" s="1263">
        <f t="shared" si="3"/>
        <v>0.98039215686274506</v>
      </c>
      <c r="AB15" s="1263">
        <f t="shared" si="4"/>
        <v>0.98039215686274506</v>
      </c>
      <c r="AC15" s="1263">
        <f t="shared" si="5"/>
        <v>1</v>
      </c>
    </row>
    <row r="16" spans="1:29" ht="15">
      <c r="A16" s="367"/>
      <c r="B16" s="385"/>
      <c r="C16" s="386" t="s">
        <v>3488</v>
      </c>
      <c r="D16" s="387"/>
      <c r="E16" s="386" t="s">
        <v>3501</v>
      </c>
      <c r="F16" s="388"/>
      <c r="G16" s="386" t="s">
        <v>3501</v>
      </c>
      <c r="H16" s="389"/>
      <c r="I16" s="386" t="s">
        <v>3488</v>
      </c>
      <c r="J16" s="387"/>
      <c r="K16" s="541"/>
      <c r="L16" s="2492"/>
      <c r="M16" s="2487"/>
      <c r="N16" s="2487"/>
      <c r="O16" s="2487"/>
      <c r="P16" s="3382"/>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2"/>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395"/>
      <c r="C18" s="1754" t="s">
        <v>3488</v>
      </c>
      <c r="D18" s="389"/>
      <c r="E18" s="1754" t="s">
        <v>3488</v>
      </c>
      <c r="F18" s="392"/>
      <c r="G18" s="1754" t="s">
        <v>3488</v>
      </c>
      <c r="H18" s="387"/>
      <c r="I18" s="1754" t="s">
        <v>3488</v>
      </c>
      <c r="J18" s="387"/>
      <c r="K18" s="541"/>
      <c r="L18" s="2492"/>
      <c r="M18" s="2487"/>
      <c r="N18" s="2487"/>
      <c r="O18" s="2487"/>
      <c r="P18" s="3382"/>
      <c r="Q18" s="1262"/>
      <c r="R18" s="666"/>
      <c r="S18" s="667"/>
      <c r="T18" s="666"/>
      <c r="U18" s="667"/>
      <c r="V18" s="666"/>
      <c r="W18" s="667"/>
      <c r="X18" s="1264"/>
      <c r="Y18" s="338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2"/>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7"/>
      <c r="B20" s="395"/>
      <c r="C20" s="1754" t="s">
        <v>3488</v>
      </c>
      <c r="D20" s="387"/>
      <c r="E20" s="1754" t="s">
        <v>3488</v>
      </c>
      <c r="F20" s="388"/>
      <c r="G20" s="1754" t="s">
        <v>3488</v>
      </c>
      <c r="H20" s="387"/>
      <c r="I20" s="1754" t="s">
        <v>3488</v>
      </c>
      <c r="J20" s="387"/>
      <c r="K20" s="541"/>
      <c r="L20" s="2492"/>
      <c r="M20" s="2487"/>
      <c r="N20" s="2487"/>
      <c r="O20" s="2487"/>
      <c r="P20" s="3382"/>
      <c r="Q20" s="1262"/>
      <c r="R20" s="666"/>
      <c r="S20" s="667"/>
      <c r="T20" s="666"/>
      <c r="U20" s="667"/>
      <c r="V20" s="666"/>
      <c r="W20" s="667"/>
      <c r="X20" s="1264"/>
      <c r="Y20" s="3384"/>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2"/>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t="s">
        <v>3476</v>
      </c>
      <c r="D22" s="387"/>
      <c r="E22" s="1754" t="s">
        <v>3476</v>
      </c>
      <c r="F22" s="388"/>
      <c r="G22" s="1754" t="s">
        <v>3476</v>
      </c>
      <c r="H22" s="387"/>
      <c r="I22" s="1754" t="s">
        <v>3476</v>
      </c>
      <c r="J22" s="387"/>
      <c r="K22" s="1063"/>
      <c r="L22" s="2492"/>
      <c r="M22" s="2487"/>
      <c r="N22" s="2487"/>
      <c r="O22" s="2487"/>
      <c r="P22" s="3382"/>
      <c r="Q22" s="1262"/>
      <c r="R22" s="666"/>
      <c r="S22" s="667"/>
      <c r="T22" s="666"/>
      <c r="U22" s="667"/>
      <c r="V22" s="666"/>
      <c r="W22" s="667"/>
      <c r="X22" s="1264"/>
      <c r="Y22" s="338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2"/>
      <c r="Q23" s="1262" t="str">
        <f>B23</f>
        <v>自然及人文环境</v>
      </c>
      <c r="R23" s="666" t="s">
        <v>14</v>
      </c>
      <c r="S23" s="667">
        <f>F23</f>
        <v>100</v>
      </c>
      <c r="T23" s="666" t="s">
        <v>14</v>
      </c>
      <c r="U23" s="667">
        <f>H23</f>
        <v>100</v>
      </c>
      <c r="V23" s="666" t="s">
        <v>14</v>
      </c>
      <c r="W23" s="667">
        <f>J23</f>
        <v>100</v>
      </c>
      <c r="X23" s="1264"/>
      <c r="Y23" s="3384"/>
      <c r="Z23" s="1263" t="str">
        <f>Q23</f>
        <v>自然及人文环境</v>
      </c>
      <c r="AA23" s="1263">
        <f t="shared" si="3"/>
        <v>1</v>
      </c>
      <c r="AB23" s="1263">
        <f t="shared" si="4"/>
        <v>1</v>
      </c>
      <c r="AC23" s="1263">
        <f t="shared" si="5"/>
        <v>1</v>
      </c>
    </row>
    <row r="24" spans="1:29" ht="15">
      <c r="A24" s="367"/>
      <c r="B24" s="395"/>
      <c r="C24" s="386" t="s">
        <v>3488</v>
      </c>
      <c r="D24" s="387"/>
      <c r="E24" s="386" t="s">
        <v>3488</v>
      </c>
      <c r="F24" s="388"/>
      <c r="G24" s="386" t="s">
        <v>3488</v>
      </c>
      <c r="H24" s="387"/>
      <c r="I24" s="386" t="s">
        <v>3488</v>
      </c>
      <c r="J24" s="387"/>
      <c r="K24" s="541"/>
      <c r="L24" s="2492"/>
      <c r="M24" s="2487"/>
      <c r="N24" s="2487"/>
      <c r="O24" s="2487"/>
      <c r="P24" s="3382"/>
      <c r="Q24" s="1262"/>
      <c r="R24" s="666"/>
      <c r="S24" s="667"/>
      <c r="T24" s="666"/>
      <c r="U24" s="667"/>
      <c r="V24" s="666"/>
      <c r="W24" s="667"/>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382"/>
      <c r="Q25" s="1262" t="str">
        <f t="shared" ref="Q25:Q46" si="11">B25</f>
        <v>临街状况</v>
      </c>
      <c r="R25" s="666" t="s">
        <v>14</v>
      </c>
      <c r="S25" s="667">
        <f>F25</f>
        <v>100</v>
      </c>
      <c r="T25" s="666" t="s">
        <v>14</v>
      </c>
      <c r="U25" s="667">
        <f>H25</f>
        <v>100</v>
      </c>
      <c r="V25" s="666" t="s">
        <v>14</v>
      </c>
      <c r="W25" s="667">
        <f>J25</f>
        <v>100</v>
      </c>
      <c r="X25" s="1264"/>
      <c r="Y25" s="3384"/>
      <c r="Z25" s="1263" t="str">
        <f>Q25</f>
        <v>临街状况</v>
      </c>
      <c r="AA25" s="1263">
        <f t="shared" si="3"/>
        <v>1</v>
      </c>
      <c r="AB25" s="1263">
        <f t="shared" si="4"/>
        <v>1</v>
      </c>
      <c r="AC25" s="1263">
        <f t="shared" si="5"/>
        <v>1</v>
      </c>
    </row>
    <row r="26" spans="1:29" ht="15">
      <c r="A26" s="367"/>
      <c r="B26" s="1065" t="s">
        <v>1781</v>
      </c>
      <c r="C26" s="3183" t="s">
        <v>3495</v>
      </c>
      <c r="D26" s="374">
        <v>100</v>
      </c>
      <c r="E26" s="3183" t="s">
        <v>3495</v>
      </c>
      <c r="F26" s="400">
        <f>SUMIF(88:88,E26,89:89)-SUMIF(88:88,C26,89:89)+100</f>
        <v>100</v>
      </c>
      <c r="G26" s="3183" t="s">
        <v>3495</v>
      </c>
      <c r="H26" s="374">
        <f>SUMIF(88:88,G26,89:89)-SUMIF(88:88,C26,89:89)+100</f>
        <v>100</v>
      </c>
      <c r="I26" s="3183" t="s">
        <v>3495</v>
      </c>
      <c r="J26" s="374">
        <f>SUMIF(88:88,I26,89:89)-SUMIF(88:88,C26,89:89)+100</f>
        <v>100</v>
      </c>
      <c r="K26" s="539"/>
      <c r="L26" s="2492"/>
      <c r="M26" s="2487"/>
      <c r="N26" s="2487"/>
      <c r="O26" s="2487"/>
      <c r="P26" s="3382"/>
      <c r="Q26" s="1262" t="str">
        <f t="shared" si="11"/>
        <v>平面位置/可视性</v>
      </c>
      <c r="R26" s="666" t="s">
        <v>14</v>
      </c>
      <c r="S26" s="667">
        <f>F26</f>
        <v>100</v>
      </c>
      <c r="T26" s="666" t="s">
        <v>14</v>
      </c>
      <c r="U26" s="667">
        <f>H26</f>
        <v>100</v>
      </c>
      <c r="V26" s="666" t="s">
        <v>14</v>
      </c>
      <c r="W26" s="667">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6" t="s">
        <v>3462</v>
      </c>
      <c r="D27" s="401">
        <v>100</v>
      </c>
      <c r="E27" s="1806" t="s">
        <v>3462</v>
      </c>
      <c r="F27" s="395">
        <f>SUMIF(90:90,E27,91:91)-SUMIF(90:90,C27,91:91)+100</f>
        <v>100</v>
      </c>
      <c r="G27" s="1806" t="s">
        <v>3462</v>
      </c>
      <c r="H27" s="401">
        <f>SUMIF(90:90,G27,91:91)-SUMIF(90:90,C27,91:91)+100</f>
        <v>100</v>
      </c>
      <c r="I27" s="1806" t="s">
        <v>3463</v>
      </c>
      <c r="J27" s="401">
        <f>SUMIF(90:90,I27,91:91)-SUMIF(90:90,C27,91:91)+100</f>
        <v>95</v>
      </c>
      <c r="K27" s="538">
        <v>5</v>
      </c>
      <c r="L27" s="2488"/>
      <c r="M27" s="2439"/>
      <c r="N27" s="2439"/>
      <c r="O27" s="2439"/>
      <c r="P27" s="3382"/>
      <c r="Q27" s="530" t="str">
        <f t="shared" si="11"/>
        <v>人流量</v>
      </c>
      <c r="R27" s="663" t="s">
        <v>14</v>
      </c>
      <c r="S27" s="664">
        <f>F27</f>
        <v>100</v>
      </c>
      <c r="T27" s="663" t="s">
        <v>14</v>
      </c>
      <c r="U27" s="664">
        <f>H27</f>
        <v>100</v>
      </c>
      <c r="V27" s="663" t="s">
        <v>14</v>
      </c>
      <c r="W27" s="664">
        <f>J27</f>
        <v>95</v>
      </c>
      <c r="X27" s="665"/>
      <c r="Y27" s="3384"/>
      <c r="Z27" s="50" t="str">
        <f>Q27</f>
        <v>人流量</v>
      </c>
      <c r="AA27" s="1263">
        <f>D27/F27</f>
        <v>1</v>
      </c>
      <c r="AB27" s="1263">
        <f>D27/H27</f>
        <v>1</v>
      </c>
      <c r="AC27" s="1263">
        <f>D27/J27</f>
        <v>1.0526315789473684</v>
      </c>
    </row>
    <row r="28" spans="1:29" ht="15.75" thickBot="1">
      <c r="A28" s="367"/>
      <c r="B28" s="364" t="s">
        <v>1783</v>
      </c>
      <c r="C28" s="542" t="s">
        <v>3491</v>
      </c>
      <c r="D28" s="374">
        <v>100</v>
      </c>
      <c r="E28" s="542" t="s">
        <v>3491</v>
      </c>
      <c r="F28" s="400">
        <f>SUMIF(92:92,E28,93:93)-SUMIF(92:92,C28,93:93)+100</f>
        <v>100</v>
      </c>
      <c r="G28" s="542" t="s">
        <v>3491</v>
      </c>
      <c r="H28" s="374">
        <f>SUMIF(92:92,G28,93:93)-SUMIF(92:92,C28,93:93)+100</f>
        <v>100</v>
      </c>
      <c r="I28" s="542" t="s">
        <v>3491</v>
      </c>
      <c r="J28" s="374">
        <f>SUMIF(92:92,I28,93:93)-SUMIF(92:92,C28,93:93)+100</f>
        <v>100</v>
      </c>
      <c r="K28" s="539"/>
      <c r="L28" s="2492"/>
      <c r="M28" s="2487"/>
      <c r="N28" s="2487"/>
      <c r="O28" s="2487"/>
      <c r="P28" s="338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4"/>
      <c r="Z28" s="1263" t="str">
        <f t="shared" ref="Z28:Z46" si="15">Q28</f>
        <v>楼层</v>
      </c>
      <c r="AA28" s="1263">
        <f t="shared" si="3"/>
        <v>1</v>
      </c>
      <c r="AB28" s="1263">
        <f t="shared" si="4"/>
        <v>1</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2"/>
      <c r="Q29" s="1262">
        <f t="shared" si="11"/>
        <v>111</v>
      </c>
      <c r="R29" s="666" t="s">
        <v>14</v>
      </c>
      <c r="S29" s="667">
        <f t="shared" si="12"/>
        <v>100</v>
      </c>
      <c r="T29" s="666" t="s">
        <v>14</v>
      </c>
      <c r="U29" s="667">
        <f t="shared" si="13"/>
        <v>100</v>
      </c>
      <c r="V29" s="666" t="s">
        <v>14</v>
      </c>
      <c r="W29" s="667">
        <f t="shared" si="14"/>
        <v>100</v>
      </c>
      <c r="X29" s="1264"/>
      <c r="Y29" s="3384"/>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2"/>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2"/>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263">
        <f t="shared" si="5"/>
        <v>1</v>
      </c>
    </row>
    <row r="32" spans="1:29" ht="15">
      <c r="A32" s="379" t="s">
        <v>1694</v>
      </c>
      <c r="B32" s="60" t="s">
        <v>1784</v>
      </c>
      <c r="C32" s="1763" t="s">
        <v>3471</v>
      </c>
      <c r="D32" s="405">
        <v>100</v>
      </c>
      <c r="E32" s="1763" t="s">
        <v>3471</v>
      </c>
      <c r="F32" s="400">
        <f>SUMIF(100:100,E32,101:101)-SUMIF(100:100,C32,101:101)+100</f>
        <v>100</v>
      </c>
      <c r="G32" s="1763" t="s">
        <v>3471</v>
      </c>
      <c r="H32" s="374">
        <f>SUMIF(100:100,G32,101:101)-SUMIF(100:100,C32,101:101)+100</f>
        <v>100</v>
      </c>
      <c r="I32" s="1763" t="s">
        <v>3471</v>
      </c>
      <c r="J32" s="405">
        <f>SUMIF(100:100,I32,101:101)-SUMIF(100:100,C32,101:101)+100</f>
        <v>100</v>
      </c>
      <c r="K32" s="538">
        <v>2</v>
      </c>
      <c r="L32" s="2492"/>
      <c r="M32" s="2487"/>
      <c r="N32" s="2487"/>
      <c r="O32" s="2487"/>
      <c r="P32" s="3385" t="s">
        <v>1696</v>
      </c>
      <c r="Q32" s="1262" t="str">
        <f t="shared" si="11"/>
        <v>商业类型</v>
      </c>
      <c r="R32" s="666" t="s">
        <v>14</v>
      </c>
      <c r="S32" s="667">
        <f t="shared" si="12"/>
        <v>100</v>
      </c>
      <c r="T32" s="666" t="s">
        <v>14</v>
      </c>
      <c r="U32" s="667">
        <f t="shared" si="13"/>
        <v>100</v>
      </c>
      <c r="V32" s="666" t="s">
        <v>14</v>
      </c>
      <c r="W32" s="667">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49.09</v>
      </c>
      <c r="F33" s="364">
        <f>LOOKUP(E33,103:103,104:104)-LOOKUP(C33,103:103,104:104)+100</f>
        <v>104</v>
      </c>
      <c r="G33" s="368">
        <v>140</v>
      </c>
      <c r="H33" s="119">
        <f>LOOKUP(G33,103:103,104:104)-LOOKUP(C33,103:103,104:104)+100</f>
        <v>100</v>
      </c>
      <c r="I33" s="368">
        <v>264.8</v>
      </c>
      <c r="J33" s="119">
        <f>LOOKUP(I33,103:103,104:104)-LOOKUP(C33,103:103,104:104)+100</f>
        <v>98</v>
      </c>
      <c r="K33" s="539"/>
      <c r="L33" s="2491"/>
      <c r="M33" s="2493"/>
      <c r="N33" s="2493"/>
      <c r="O33" s="2493"/>
      <c r="P33" s="3386"/>
      <c r="Q33" s="531" t="str">
        <f t="shared" si="11"/>
        <v>项目建筑规模</v>
      </c>
      <c r="R33" s="668" t="s">
        <v>14</v>
      </c>
      <c r="S33" s="669">
        <f t="shared" si="12"/>
        <v>104</v>
      </c>
      <c r="T33" s="668" t="s">
        <v>14</v>
      </c>
      <c r="U33" s="669">
        <f t="shared" si="13"/>
        <v>100</v>
      </c>
      <c r="V33" s="668" t="s">
        <v>14</v>
      </c>
      <c r="W33" s="669">
        <f t="shared" si="14"/>
        <v>98</v>
      </c>
      <c r="X33" s="670"/>
      <c r="Y33" s="3388"/>
      <c r="Z33" s="671" t="str">
        <f t="shared" si="15"/>
        <v>项目建筑规模</v>
      </c>
      <c r="AA33" s="1263">
        <f t="shared" si="3"/>
        <v>0.96153846153846156</v>
      </c>
      <c r="AB33" s="1263">
        <f t="shared" si="4"/>
        <v>1</v>
      </c>
      <c r="AC33" s="1263">
        <f t="shared" si="5"/>
        <v>1.0204081632653061</v>
      </c>
    </row>
    <row r="34" spans="1:29" ht="15">
      <c r="A34" s="409"/>
      <c r="B34" s="364" t="s">
        <v>1698</v>
      </c>
      <c r="C34" s="399" t="s">
        <v>3472</v>
      </c>
      <c r="D34" s="374">
        <v>100</v>
      </c>
      <c r="E34" s="399" t="s">
        <v>3472</v>
      </c>
      <c r="F34" s="400">
        <f>SUMIF(105:105,E34,106:106)-SUMIF(105:105,C34,106:106)+100</f>
        <v>100</v>
      </c>
      <c r="G34" s="399" t="s">
        <v>3472</v>
      </c>
      <c r="H34" s="374">
        <f>SUMIF(105:105,G34,106:106)-SUMIF(105:105,C34,106:106)+100</f>
        <v>100</v>
      </c>
      <c r="I34" s="399" t="s">
        <v>3472</v>
      </c>
      <c r="J34" s="374">
        <f>SUMIF(105:105,I34,106:106)-SUMIF(105:105,C34,106:106)+100</f>
        <v>100</v>
      </c>
      <c r="K34" s="538">
        <v>1</v>
      </c>
      <c r="L34" s="2492"/>
      <c r="M34" s="2487"/>
      <c r="N34" s="2487"/>
      <c r="O34" s="2487"/>
      <c r="P34" s="3386"/>
      <c r="Q34" s="1262" t="str">
        <f t="shared" si="11"/>
        <v>建筑结构</v>
      </c>
      <c r="R34" s="666" t="s">
        <v>14</v>
      </c>
      <c r="S34" s="667">
        <f t="shared" si="12"/>
        <v>100</v>
      </c>
      <c r="T34" s="666" t="s">
        <v>14</v>
      </c>
      <c r="U34" s="667">
        <f t="shared" si="13"/>
        <v>100</v>
      </c>
      <c r="V34" s="666" t="s">
        <v>14</v>
      </c>
      <c r="W34" s="667">
        <f t="shared" si="14"/>
        <v>100</v>
      </c>
      <c r="X34" s="1264"/>
      <c r="Y34" s="3388"/>
      <c r="Z34" s="1263" t="str">
        <f t="shared" si="15"/>
        <v>建筑结构</v>
      </c>
      <c r="AA34" s="1263">
        <f t="shared" si="3"/>
        <v>1</v>
      </c>
      <c r="AB34" s="1263">
        <f t="shared" si="4"/>
        <v>1</v>
      </c>
      <c r="AC34" s="1263">
        <f t="shared" si="5"/>
        <v>1</v>
      </c>
    </row>
    <row r="35" spans="1:29" ht="15">
      <c r="A35" s="409"/>
      <c r="B35" s="364" t="s">
        <v>1785</v>
      </c>
      <c r="C35" s="1759" t="s">
        <v>3474</v>
      </c>
      <c r="D35" s="374">
        <v>100</v>
      </c>
      <c r="E35" s="1759" t="s">
        <v>3474</v>
      </c>
      <c r="F35" s="400">
        <f>SUMIF(107:107,E35,108:108)-SUMIF(107:107,C35,108:108)+100</f>
        <v>100</v>
      </c>
      <c r="G35" s="1759" t="s">
        <v>3474</v>
      </c>
      <c r="H35" s="374">
        <f>SUMIF(107:107,G35,108:108)-SUMIF(107:107,C35,108:108)+100</f>
        <v>100</v>
      </c>
      <c r="I35" s="1759" t="s">
        <v>3474</v>
      </c>
      <c r="J35" s="374">
        <f>SUMIF(107:107,I35,108:108)-SUMIF(107:107,C35,108:108)+100</f>
        <v>100</v>
      </c>
      <c r="K35" s="538">
        <v>1</v>
      </c>
      <c r="L35" s="2492"/>
      <c r="M35" s="2487"/>
      <c r="N35" s="2487"/>
      <c r="O35" s="2487"/>
      <c r="P35" s="3386"/>
      <c r="Q35" s="1262" t="str">
        <f t="shared" si="11"/>
        <v>公共部分装修</v>
      </c>
      <c r="R35" s="666" t="s">
        <v>14</v>
      </c>
      <c r="S35" s="667">
        <f t="shared" si="12"/>
        <v>100</v>
      </c>
      <c r="T35" s="666" t="s">
        <v>14</v>
      </c>
      <c r="U35" s="667">
        <f t="shared" si="13"/>
        <v>100</v>
      </c>
      <c r="V35" s="666" t="s">
        <v>14</v>
      </c>
      <c r="W35" s="667">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92"/>
      <c r="M36" s="2487"/>
      <c r="N36" s="2487"/>
      <c r="O36" s="2487"/>
      <c r="P36" s="3386"/>
      <c r="Q36" s="1262" t="str">
        <f t="shared" si="11"/>
        <v>成新度</v>
      </c>
      <c r="R36" s="666" t="s">
        <v>14</v>
      </c>
      <c r="S36" s="667">
        <f t="shared" si="12"/>
        <v>99</v>
      </c>
      <c r="T36" s="666" t="s">
        <v>14</v>
      </c>
      <c r="U36" s="667">
        <f t="shared" si="13"/>
        <v>98</v>
      </c>
      <c r="V36" s="666" t="s">
        <v>14</v>
      </c>
      <c r="W36" s="667">
        <f t="shared" si="14"/>
        <v>100</v>
      </c>
      <c r="X36" s="1264"/>
      <c r="Y36" s="3388"/>
      <c r="Z36" s="1263" t="str">
        <f t="shared" si="15"/>
        <v>成新度</v>
      </c>
      <c r="AA36" s="1263">
        <f t="shared" si="3"/>
        <v>1.0101010101010102</v>
      </c>
      <c r="AB36" s="1263">
        <f t="shared" si="4"/>
        <v>1.0204081632653061</v>
      </c>
      <c r="AC36" s="1263">
        <f t="shared" si="5"/>
        <v>1</v>
      </c>
    </row>
    <row r="37" spans="1:29" s="102" customFormat="1" ht="15">
      <c r="A37" s="410"/>
      <c r="B37" s="364" t="s">
        <v>1787</v>
      </c>
      <c r="C37" s="1759" t="s">
        <v>3477</v>
      </c>
      <c r="D37" s="119">
        <v>100</v>
      </c>
      <c r="E37" s="1759" t="s">
        <v>3478</v>
      </c>
      <c r="F37" s="400">
        <f>SUMIF(112:112,E37,113:113)-SUMIF(112:112,C37,113:113)+100</f>
        <v>99</v>
      </c>
      <c r="G37" s="1759" t="s">
        <v>3477</v>
      </c>
      <c r="H37" s="374">
        <f>SUMIF(112:112,G37,113:113)-SUMIF(112:112,C37,113:113)+100</f>
        <v>100</v>
      </c>
      <c r="I37" s="1759" t="s">
        <v>3477</v>
      </c>
      <c r="J37" s="374">
        <f>SUMIF(112:112,I37,113:113)-SUMIF(112:112,C37,113:113)+100</f>
        <v>100</v>
      </c>
      <c r="K37" s="538">
        <v>1</v>
      </c>
      <c r="L37" s="2488"/>
      <c r="M37" s="2439"/>
      <c r="N37" s="2439"/>
      <c r="O37" s="2439"/>
      <c r="P37" s="3386"/>
      <c r="Q37" s="530" t="str">
        <f t="shared" si="11"/>
        <v>市政基础设施</v>
      </c>
      <c r="R37" s="663" t="s">
        <v>14</v>
      </c>
      <c r="S37" s="664">
        <f t="shared" si="12"/>
        <v>99</v>
      </c>
      <c r="T37" s="663" t="s">
        <v>14</v>
      </c>
      <c r="U37" s="664">
        <f t="shared" si="13"/>
        <v>100</v>
      </c>
      <c r="V37" s="663" t="s">
        <v>14</v>
      </c>
      <c r="W37" s="664">
        <f t="shared" si="14"/>
        <v>100</v>
      </c>
      <c r="X37" s="665"/>
      <c r="Y37" s="3388"/>
      <c r="Z37" s="50" t="str">
        <f t="shared" si="15"/>
        <v>市政基础设施</v>
      </c>
      <c r="AA37" s="50">
        <f t="shared" si="3"/>
        <v>1.0101010101010102</v>
      </c>
      <c r="AB37" s="50">
        <f t="shared" si="4"/>
        <v>1</v>
      </c>
      <c r="AC37" s="50">
        <f t="shared" si="5"/>
        <v>1</v>
      </c>
    </row>
    <row r="38" spans="1:29" ht="15">
      <c r="A38" s="409"/>
      <c r="B38" s="364" t="s">
        <v>1788</v>
      </c>
      <c r="C38" s="1759" t="s">
        <v>3479</v>
      </c>
      <c r="D38" s="374">
        <v>100</v>
      </c>
      <c r="E38" s="1759" t="s">
        <v>3480</v>
      </c>
      <c r="F38" s="400">
        <f>SUMIF(114:114,E38,115:115)-SUMIF(114:114,C38,115:115)+100</f>
        <v>98</v>
      </c>
      <c r="G38" s="1759" t="s">
        <v>3479</v>
      </c>
      <c r="H38" s="374">
        <f>SUMIF(114:114,G38,115:115)-SUMIF(114:114,C38,115:115)+100</f>
        <v>100</v>
      </c>
      <c r="I38" s="1759" t="s">
        <v>3479</v>
      </c>
      <c r="J38" s="374">
        <f>SUMIF(114:114,I38,115:115)-SUMIF(114:114,C38,115:115)+100</f>
        <v>100</v>
      </c>
      <c r="K38" s="538">
        <v>2</v>
      </c>
      <c r="L38" s="2492"/>
      <c r="M38" s="2487"/>
      <c r="N38" s="2487"/>
      <c r="O38" s="2487"/>
      <c r="P38" s="3386" t="s">
        <v>1696</v>
      </c>
      <c r="Q38" s="1262" t="str">
        <f t="shared" si="11"/>
        <v>业态</v>
      </c>
      <c r="R38" s="666" t="s">
        <v>14</v>
      </c>
      <c r="S38" s="667">
        <f t="shared" si="12"/>
        <v>98</v>
      </c>
      <c r="T38" s="666" t="s">
        <v>14</v>
      </c>
      <c r="U38" s="667">
        <f t="shared" si="13"/>
        <v>100</v>
      </c>
      <c r="V38" s="666" t="s">
        <v>14</v>
      </c>
      <c r="W38" s="667">
        <f t="shared" si="14"/>
        <v>100</v>
      </c>
      <c r="X38" s="1264"/>
      <c r="Y38" s="3388" t="s">
        <v>1696</v>
      </c>
      <c r="Z38" s="1263" t="str">
        <f t="shared" si="15"/>
        <v>业态</v>
      </c>
      <c r="AA38" s="1263">
        <f t="shared" si="3"/>
        <v>1.0204081632653061</v>
      </c>
      <c r="AB38" s="1263">
        <f t="shared" si="4"/>
        <v>1</v>
      </c>
      <c r="AC38" s="1263">
        <f t="shared" si="5"/>
        <v>1</v>
      </c>
    </row>
    <row r="39" spans="1:29" ht="15">
      <c r="A39" s="409"/>
      <c r="B39" s="364" t="s">
        <v>1789</v>
      </c>
      <c r="C39" s="1759" t="s">
        <v>3502</v>
      </c>
      <c r="D39" s="374">
        <v>100</v>
      </c>
      <c r="E39" s="1759" t="s">
        <v>3502</v>
      </c>
      <c r="F39" s="400">
        <f>SUMIF(116:116,E39,117:117)-SUMIF(116:116,C39,117:117)+100</f>
        <v>100</v>
      </c>
      <c r="G39" s="1759" t="s">
        <v>3502</v>
      </c>
      <c r="H39" s="374">
        <f>SUMIF(116:116,G39,117:117)-SUMIF(116:116,C39,117:117)+100</f>
        <v>100</v>
      </c>
      <c r="I39" s="1759" t="s">
        <v>3502</v>
      </c>
      <c r="J39" s="374">
        <f>SUMIF(116:116,I39,117:117)-SUMIF(116:116,C39,117:117)+100</f>
        <v>100</v>
      </c>
      <c r="K39" s="538">
        <v>1</v>
      </c>
      <c r="L39" s="2492"/>
      <c r="M39" s="2487"/>
      <c r="N39" s="2487"/>
      <c r="O39" s="2487"/>
      <c r="P39" s="3386"/>
      <c r="Q39" s="1262" t="str">
        <f t="shared" si="11"/>
        <v>层高</v>
      </c>
      <c r="R39" s="666" t="s">
        <v>14</v>
      </c>
      <c r="S39" s="667">
        <f t="shared" si="12"/>
        <v>100</v>
      </c>
      <c r="T39" s="666" t="s">
        <v>14</v>
      </c>
      <c r="U39" s="667">
        <f t="shared" si="13"/>
        <v>100</v>
      </c>
      <c r="V39" s="666" t="s">
        <v>14</v>
      </c>
      <c r="W39" s="667">
        <f t="shared" si="14"/>
        <v>100</v>
      </c>
      <c r="X39" s="1264"/>
      <c r="Y39" s="3388"/>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2" t="str">
        <f t="shared" si="11"/>
        <v>单套建筑面积</v>
      </c>
      <c r="R40" s="666" t="s">
        <v>14</v>
      </c>
      <c r="S40" s="667">
        <f t="shared" si="12"/>
        <v>100</v>
      </c>
      <c r="T40" s="666" t="s">
        <v>14</v>
      </c>
      <c r="U40" s="667">
        <f t="shared" si="13"/>
        <v>100</v>
      </c>
      <c r="V40" s="666" t="s">
        <v>14</v>
      </c>
      <c r="W40" s="667">
        <f t="shared" si="14"/>
        <v>100</v>
      </c>
      <c r="X40" s="1264"/>
      <c r="Y40" s="3388"/>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8" t="s">
        <v>14</v>
      </c>
      <c r="S41" s="669">
        <f t="shared" si="12"/>
        <v>100</v>
      </c>
      <c r="T41" s="668" t="s">
        <v>14</v>
      </c>
      <c r="U41" s="669">
        <f t="shared" si="13"/>
        <v>100</v>
      </c>
      <c r="V41" s="668" t="s">
        <v>14</v>
      </c>
      <c r="W41" s="669">
        <f t="shared" si="14"/>
        <v>100</v>
      </c>
      <c r="X41" s="670"/>
      <c r="Y41" s="3388"/>
      <c r="Z41" s="671" t="str">
        <f t="shared" si="15"/>
        <v>进深比</v>
      </c>
      <c r="AA41" s="1263">
        <f t="shared" si="3"/>
        <v>1</v>
      </c>
      <c r="AB41" s="1263">
        <f t="shared" si="4"/>
        <v>1</v>
      </c>
      <c r="AC41" s="1263">
        <f t="shared" si="5"/>
        <v>1</v>
      </c>
    </row>
    <row r="42" spans="1:29" ht="15">
      <c r="A42" s="409"/>
      <c r="B42" s="364" t="s">
        <v>1792</v>
      </c>
      <c r="C42" s="1759" t="s">
        <v>3475</v>
      </c>
      <c r="D42" s="374">
        <v>100</v>
      </c>
      <c r="E42" s="1759" t="s">
        <v>3475</v>
      </c>
      <c r="F42" s="400">
        <f>SUMIF(122:122,E42,123:123)-SUMIF(122:122,C42,123:123)+100</f>
        <v>100</v>
      </c>
      <c r="G42" s="1759" t="s">
        <v>3475</v>
      </c>
      <c r="H42" s="374">
        <f>SUMIF(122:122,G42,123:123)-SUMIF(122:122,C42,123:123)+100</f>
        <v>100</v>
      </c>
      <c r="I42" s="1759" t="s">
        <v>3475</v>
      </c>
      <c r="J42" s="374">
        <f>SUMIF(122:122,I42,123:123)-SUMIF(122:122,C42,123:123)+100</f>
        <v>100</v>
      </c>
      <c r="K42" s="538">
        <v>1</v>
      </c>
      <c r="L42" s="2492"/>
      <c r="M42" s="2487"/>
      <c r="N42" s="2487"/>
      <c r="O42" s="2487"/>
      <c r="P42" s="3386"/>
      <c r="Q42" s="1262" t="str">
        <f t="shared" si="11"/>
        <v>内部装修</v>
      </c>
      <c r="R42" s="666" t="s">
        <v>14</v>
      </c>
      <c r="S42" s="667">
        <f t="shared" si="12"/>
        <v>100</v>
      </c>
      <c r="T42" s="666" t="s">
        <v>14</v>
      </c>
      <c r="U42" s="667">
        <f t="shared" si="13"/>
        <v>100</v>
      </c>
      <c r="V42" s="666" t="s">
        <v>14</v>
      </c>
      <c r="W42" s="667">
        <f t="shared" si="14"/>
        <v>100</v>
      </c>
      <c r="X42" s="1264"/>
      <c r="Y42" s="3388"/>
      <c r="Z42" s="1263" t="str">
        <f t="shared" si="15"/>
        <v>内部装修</v>
      </c>
      <c r="AA42" s="1263">
        <f t="shared" si="3"/>
        <v>1</v>
      </c>
      <c r="AB42" s="1263">
        <f t="shared" si="4"/>
        <v>1</v>
      </c>
      <c r="AC42" s="1263">
        <f t="shared" si="5"/>
        <v>1</v>
      </c>
    </row>
    <row r="43" spans="1:29" ht="15">
      <c r="A43" s="409"/>
      <c r="B43" s="364" t="s">
        <v>1707</v>
      </c>
      <c r="C43" s="1759" t="s">
        <v>3488</v>
      </c>
      <c r="D43" s="374">
        <v>100</v>
      </c>
      <c r="E43" s="1759" t="s">
        <v>3488</v>
      </c>
      <c r="F43" s="400">
        <f>SUMIF(124:124,E43,125:125)-SUMIF(124:124,C43,125:125)+100</f>
        <v>100</v>
      </c>
      <c r="G43" s="1759" t="s">
        <v>3488</v>
      </c>
      <c r="H43" s="374">
        <f>SUMIF(124:124,G43,125:125)-SUMIF(124:124,C43,125:125)+100</f>
        <v>100</v>
      </c>
      <c r="I43" s="1759" t="s">
        <v>3488</v>
      </c>
      <c r="J43" s="374">
        <f>SUMIF(124:124,I43,125:125)-SUMIF(124:124,C43,125:125)+100</f>
        <v>100</v>
      </c>
      <c r="K43" s="538"/>
      <c r="L43" s="2492"/>
      <c r="M43" s="2487"/>
      <c r="N43" s="2487"/>
      <c r="O43" s="2487"/>
      <c r="P43" s="3386"/>
      <c r="Q43" s="1262" t="str">
        <f t="shared" si="11"/>
        <v>内部装修维护情况</v>
      </c>
      <c r="R43" s="666" t="s">
        <v>14</v>
      </c>
      <c r="S43" s="667">
        <f t="shared" si="12"/>
        <v>100</v>
      </c>
      <c r="T43" s="666" t="s">
        <v>14</v>
      </c>
      <c r="U43" s="667">
        <f t="shared" si="13"/>
        <v>100</v>
      </c>
      <c r="V43" s="666" t="s">
        <v>14</v>
      </c>
      <c r="W43" s="667">
        <f t="shared" si="14"/>
        <v>100</v>
      </c>
      <c r="X43" s="1264"/>
      <c r="Y43" s="3388"/>
      <c r="Z43" s="1263" t="str">
        <f t="shared" si="15"/>
        <v>内部装修维护情况</v>
      </c>
      <c r="AA43" s="1263">
        <f t="shared" si="3"/>
        <v>1</v>
      </c>
      <c r="AB43" s="1263">
        <f t="shared" si="4"/>
        <v>1</v>
      </c>
      <c r="AC43" s="1263">
        <f t="shared" si="5"/>
        <v>1</v>
      </c>
    </row>
    <row r="44" spans="1:29" s="102" customFormat="1" ht="15">
      <c r="A44" s="410"/>
      <c r="B44" s="3184" t="s">
        <v>3492</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8"/>
      <c r="M44" s="2439"/>
      <c r="N44" s="2439"/>
      <c r="O44" s="2439"/>
      <c r="P44" s="3386"/>
      <c r="Q44" s="530" t="str">
        <f t="shared" si="11"/>
        <v>建成年代</v>
      </c>
      <c r="R44" s="663" t="s">
        <v>14</v>
      </c>
      <c r="S44" s="664">
        <f t="shared" si="12"/>
        <v>100</v>
      </c>
      <c r="T44" s="663" t="s">
        <v>14</v>
      </c>
      <c r="U44" s="664">
        <f t="shared" si="13"/>
        <v>100</v>
      </c>
      <c r="V44" s="663" t="s">
        <v>14</v>
      </c>
      <c r="W44" s="664">
        <f t="shared" si="14"/>
        <v>100</v>
      </c>
      <c r="X44" s="665"/>
      <c r="Y44" s="3388"/>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2">
        <f t="shared" si="11"/>
        <v>111</v>
      </c>
      <c r="R45" s="666" t="s">
        <v>14</v>
      </c>
      <c r="S45" s="667">
        <f t="shared" si="12"/>
        <v>100</v>
      </c>
      <c r="T45" s="666" t="s">
        <v>14</v>
      </c>
      <c r="U45" s="667">
        <f t="shared" si="13"/>
        <v>100</v>
      </c>
      <c r="V45" s="666" t="s">
        <v>14</v>
      </c>
      <c r="W45" s="667">
        <f t="shared" si="14"/>
        <v>100</v>
      </c>
      <c r="X45" s="1264"/>
      <c r="Y45" s="338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2">
        <f t="shared" si="11"/>
        <v>111</v>
      </c>
      <c r="R46" s="666" t="s">
        <v>14</v>
      </c>
      <c r="S46" s="667">
        <f t="shared" si="12"/>
        <v>100</v>
      </c>
      <c r="T46" s="666" t="s">
        <v>14</v>
      </c>
      <c r="U46" s="667">
        <f t="shared" si="13"/>
        <v>100</v>
      </c>
      <c r="V46" s="666" t="s">
        <v>14</v>
      </c>
      <c r="W46" s="667">
        <f t="shared" si="14"/>
        <v>100</v>
      </c>
      <c r="X46" s="1264"/>
      <c r="Y46" s="3389"/>
      <c r="Z46" s="1263">
        <f t="shared" si="15"/>
        <v>111</v>
      </c>
      <c r="AA46" s="1263">
        <f t="shared" si="3"/>
        <v>1</v>
      </c>
      <c r="AB46" s="1263">
        <f t="shared" si="4"/>
        <v>1</v>
      </c>
      <c r="AC46" s="1263">
        <f t="shared" si="5"/>
        <v>1</v>
      </c>
    </row>
    <row r="47" spans="1:29" ht="15">
      <c r="A47" s="416" t="s">
        <v>1708</v>
      </c>
      <c r="B47" s="417"/>
      <c r="C47" s="1080" t="s">
        <v>0</v>
      </c>
      <c r="D47" s="418"/>
      <c r="E47" s="419">
        <v>4.22</v>
      </c>
      <c r="F47" s="420"/>
      <c r="G47" s="421">
        <f>ROUND(26000/30/G33,2)</f>
        <v>6.19</v>
      </c>
      <c r="H47" s="422"/>
      <c r="I47" s="419">
        <v>4.9000000000000004</v>
      </c>
      <c r="J47" s="422"/>
      <c r="K47" s="673"/>
      <c r="L47" s="2494"/>
      <c r="M47" s="2487"/>
      <c r="N47" s="2487"/>
      <c r="O47" s="2487"/>
      <c r="P47" s="3376" t="str">
        <f>A47</f>
        <v>成交单价（元/平方米）</v>
      </c>
      <c r="Q47" s="3376"/>
      <c r="R47" s="3377">
        <f>E47</f>
        <v>4.22</v>
      </c>
      <c r="S47" s="3377"/>
      <c r="T47" s="3377">
        <f>G47</f>
        <v>6.19</v>
      </c>
      <c r="U47" s="3377"/>
      <c r="V47" s="3377">
        <f>I47</f>
        <v>4.9000000000000004</v>
      </c>
      <c r="W47" s="3377"/>
      <c r="X47" s="385"/>
      <c r="Y47" s="672"/>
      <c r="Z47" s="385"/>
      <c r="AA47" s="385"/>
      <c r="AB47" s="385"/>
      <c r="AC47" s="385"/>
    </row>
    <row r="48" spans="1:29" ht="15.75" thickBot="1">
      <c r="A48" s="423" t="s">
        <v>1709</v>
      </c>
      <c r="B48" s="424"/>
      <c r="C48" s="1081">
        <f>R49</f>
        <v>5</v>
      </c>
      <c r="D48" s="2140" t="s">
        <v>2137</v>
      </c>
      <c r="E48" s="1082">
        <f>R48</f>
        <v>4</v>
      </c>
      <c r="F48" s="2141"/>
      <c r="G48" s="1081">
        <f>T48</f>
        <v>6</v>
      </c>
      <c r="H48" s="2141"/>
      <c r="I48" s="1082">
        <f>V48</f>
        <v>5.0999999999999996</v>
      </c>
      <c r="J48" s="2141"/>
      <c r="K48" s="2143">
        <f>F48+H48+J48</f>
        <v>0</v>
      </c>
      <c r="L48" s="2494"/>
      <c r="M48" s="2487"/>
      <c r="N48" s="2487"/>
      <c r="O48" s="2487"/>
      <c r="P48" s="3376" t="str">
        <f>A48</f>
        <v>比较价值（元/平方米）</v>
      </c>
      <c r="Q48" s="3376"/>
      <c r="R48" s="3377">
        <f>IF(F1="售价",ROUND(PRODUCT(R47,AA7:AA46),0),ROUND(PRODUCT(R47,AA7:AA46),1))</f>
        <v>4</v>
      </c>
      <c r="S48" s="3377"/>
      <c r="T48" s="3377">
        <f>IF(F1="售价",ROUND(PRODUCT(T47,AB7:AB46),0),ROUND(PRODUCT(T47,AB7:AB46),1))</f>
        <v>6</v>
      </c>
      <c r="U48" s="3377"/>
      <c r="V48" s="3377">
        <f>IF(F1="售价",ROUND(PRODUCT(V47,AC7:AC46),0),ROUND(PRODUCT(V47,AC7:AC46),1))</f>
        <v>5.0999999999999996</v>
      </c>
      <c r="W48" s="3377"/>
      <c r="X48" s="385"/>
      <c r="Y48" s="385"/>
      <c r="Z48" s="385"/>
      <c r="AA48" s="385"/>
      <c r="AB48" s="385"/>
      <c r="AC48" s="385"/>
    </row>
    <row r="49" spans="1:29" ht="15.75" thickBot="1">
      <c r="A49" s="427" t="s">
        <v>1710</v>
      </c>
      <c r="B49" s="428"/>
      <c r="C49" s="351">
        <f>R49</f>
        <v>5</v>
      </c>
      <c r="D49" s="351"/>
      <c r="E49" s="351"/>
      <c r="F49" s="351"/>
      <c r="G49" s="351"/>
      <c r="H49" s="351"/>
      <c r="I49" s="351"/>
      <c r="J49" s="351"/>
      <c r="K49" s="674"/>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f>IF(E47&lt;E48,E48/E47-1,E47/E48-1)</f>
        <v>5.4999999999999938E-2</v>
      </c>
      <c r="F52" s="435" t="str">
        <f>IF(OR(E52&gt;=0.3,E52&lt;=-0.3),"超过30%","")</f>
        <v/>
      </c>
      <c r="G52" s="434">
        <f>IF(G47&lt;G48,G48/G47-1,G47/G48-1)</f>
        <v>3.1666666666666732E-2</v>
      </c>
      <c r="H52" s="435" t="str">
        <f>IF(OR(G52&gt;=0.3,G52&lt;=-0.3),"超过30%","")</f>
        <v/>
      </c>
      <c r="I52" s="434">
        <f>IF(I47&lt;I48,I48/I47-1,I47/I48-1)</f>
        <v>4.0816326530612068E-2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f>IF(E48&lt;G48,G48/E48-1,E48/G48-1)</f>
        <v>0.5</v>
      </c>
      <c r="F53" s="435" t="str">
        <f>IF(OR(E53&gt;=0.2,E53&lt;=-0.2),"超过20%","")</f>
        <v>超过20%</v>
      </c>
      <c r="G53" s="434">
        <f>IF(G48&lt;I48,I48/G48-1,G48/I48-1)</f>
        <v>0.17647058823529416</v>
      </c>
      <c r="H53" s="435" t="str">
        <f>IF(OR(G53&gt;=0.2,G53&lt;=-0.2),"超过20%","")</f>
        <v/>
      </c>
      <c r="I53" s="434">
        <f>IF(I48&lt;E48,E48/I48-1,I48/E48-1)</f>
        <v>0.27499999999999991</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172" t="s">
        <v>3451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3452</v>
      </c>
      <c r="D65" s="513" t="s">
        <v>3453</v>
      </c>
      <c r="E65" s="513" t="s">
        <v>3454</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100</v>
      </c>
      <c r="E66" s="467">
        <v>100</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73" t="s">
        <v>3455</v>
      </c>
      <c r="D86" s="3173" t="s">
        <v>3456</v>
      </c>
      <c r="E86" s="3173" t="s">
        <v>3457</v>
      </c>
      <c r="F86" s="3173" t="s">
        <v>3458</v>
      </c>
      <c r="G86" s="3173" t="s">
        <v>3459</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4" t="s">
        <v>3496</v>
      </c>
      <c r="D88" s="3174" t="s">
        <v>3460</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76">
        <v>100</v>
      </c>
      <c r="D89" s="3177">
        <v>90</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74" t="s">
        <v>3461</v>
      </c>
      <c r="D90" s="3174" t="s">
        <v>3462</v>
      </c>
      <c r="E90" s="3174" t="s">
        <v>3463</v>
      </c>
      <c r="F90" s="3174" t="s">
        <v>3464</v>
      </c>
      <c r="G90" s="3174" t="s">
        <v>3465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74" t="s">
        <v>3466</v>
      </c>
      <c r="D92" s="3174" t="s">
        <v>3467</v>
      </c>
      <c r="E92" s="3180" t="s">
        <v>3490</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77">
        <v>100</v>
      </c>
      <c r="D93" s="3177">
        <v>80</v>
      </c>
      <c r="E93" s="467">
        <v>50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78" t="s">
        <v>3468</v>
      </c>
      <c r="D100" s="3178" t="s">
        <v>3469</v>
      </c>
      <c r="E100" s="3178" t="s">
        <v>3470</v>
      </c>
      <c r="F100" s="3178" t="s">
        <v>3471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3472</v>
      </c>
      <c r="D105" s="3180" t="s">
        <v>3473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3474</v>
      </c>
      <c r="D107" s="3174" t="s">
        <v>3475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3476</v>
      </c>
      <c r="D112" s="3174" t="s">
        <v>3477</v>
      </c>
      <c r="E112" s="3174" t="s">
        <v>3478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3479</v>
      </c>
      <c r="D114" s="3174" t="s">
        <v>3480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3481</v>
      </c>
      <c r="D116" s="3173" t="s">
        <v>3482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3475</v>
      </c>
      <c r="D122" s="3174" t="s">
        <v>3484</v>
      </c>
      <c r="E122" s="3174" t="s">
        <v>3485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E0C4-DDE2-4517-B235-93317023EE3B}">
  <sheetPr>
    <tabColor rgb="FF92D050"/>
  </sheetPr>
  <dimension ref="N2:O47"/>
  <sheetViews>
    <sheetView topLeftCell="A37" workbookViewId="0">
      <selection activeCell="O21" sqref="O21"/>
    </sheetView>
  </sheetViews>
  <sheetFormatPr defaultRowHeight="13.5"/>
  <sheetData>
    <row r="2" spans="15:15">
      <c r="O2" t="s">
        <v>3503</v>
      </c>
    </row>
    <row r="25" spans="14:14">
      <c r="N25" t="s">
        <v>3504</v>
      </c>
    </row>
    <row r="47" spans="14:14">
      <c r="N47" t="s">
        <v>3505</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BEE0-9044-4C91-AB36-7E22F503C4D1}">
  <sheetPr>
    <tabColor rgb="FF92D050"/>
  </sheetPr>
  <dimension ref="A1"/>
  <sheetViews>
    <sheetView workbookViewId="0">
      <selection activeCell="P61" sqref="P61:Q61"/>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1" sqref="V2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71" t="s">
        <v>2084</v>
      </c>
      <c r="D1" s="3472"/>
      <c r="E1" s="3472"/>
      <c r="F1" s="3472"/>
      <c r="G1" s="3472"/>
      <c r="H1" s="3472"/>
      <c r="I1" s="3472"/>
      <c r="J1" s="3472"/>
      <c r="K1" s="3472"/>
      <c r="L1" s="3472"/>
      <c r="M1" s="3472"/>
      <c r="N1" s="3472"/>
      <c r="O1" s="3472"/>
      <c r="P1" s="3472"/>
      <c r="Q1" s="3472"/>
      <c r="R1" s="3472"/>
      <c r="S1" s="3473"/>
      <c r="T1" s="928" t="s">
        <v>2085</v>
      </c>
    </row>
    <row r="2" spans="1:45" s="625" customFormat="1" ht="38.25">
      <c r="A2" s="929"/>
      <c r="B2" s="622" t="s">
        <v>2086</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3179">
        <f>'比较法-商业'!C103</f>
        <v>0</v>
      </c>
      <c r="D3" s="3179">
        <f>'比较法-商业'!D103</f>
        <v>50</v>
      </c>
      <c r="E3" s="3179">
        <f>'比较法-商业'!E103</f>
        <v>100</v>
      </c>
      <c r="F3" s="3179">
        <f>'比较法-商业'!F103</f>
        <v>200</v>
      </c>
      <c r="G3" s="3179">
        <f>'比较法-商业'!G103</f>
        <v>300</v>
      </c>
      <c r="H3" s="3179">
        <f>'比较法-商业'!H103</f>
        <v>400</v>
      </c>
      <c r="I3" s="3179"/>
      <c r="J3" s="3179"/>
      <c r="K3" s="317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3176">
        <f>'比较法-商业'!C104</f>
        <v>100</v>
      </c>
      <c r="D4" s="3176">
        <f>'比较法-商业'!D104</f>
        <v>98</v>
      </c>
      <c r="E4" s="3176">
        <f>'比较法-商业'!E104</f>
        <v>96</v>
      </c>
      <c r="F4" s="3176">
        <f>'比较法-商业'!F104</f>
        <v>94</v>
      </c>
      <c r="G4" s="3176">
        <f>'比较法-商业'!G104</f>
        <v>92</v>
      </c>
      <c r="H4" s="3176">
        <f>'比较法-商业'!H104</f>
        <v>90</v>
      </c>
      <c r="I4" s="3176"/>
      <c r="J4" s="3176"/>
      <c r="K4" s="3176"/>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1524</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34795</v>
      </c>
      <c r="C21" s="151"/>
      <c r="D21" s="151"/>
      <c r="E21" s="151"/>
      <c r="F21" s="151"/>
      <c r="G21" s="151"/>
      <c r="H21" s="151"/>
      <c r="I21" s="151"/>
      <c r="J21" s="151"/>
      <c r="K21" s="151"/>
      <c r="L21" s="151"/>
      <c r="M21" s="151"/>
      <c r="N21" s="151"/>
      <c r="O21" s="151"/>
      <c r="P21" s="151"/>
      <c r="Q21" s="151"/>
      <c r="R21" s="151">
        <f ca="1">T22/B22</f>
        <v>34789</v>
      </c>
      <c r="S21" s="121"/>
    </row>
    <row r="22" spans="1:45">
      <c r="A22" s="308" t="s">
        <v>2099</v>
      </c>
      <c r="B22" s="21">
        <f>SUM(B24:B10000)</f>
        <v>438</v>
      </c>
      <c r="C22" s="3468" t="s">
        <v>27</v>
      </c>
      <c r="D22" s="3469"/>
      <c r="E22" s="3469"/>
      <c r="F22" s="3469"/>
      <c r="G22" s="3469"/>
      <c r="H22" s="3469"/>
      <c r="I22" s="3469"/>
      <c r="J22" s="3469"/>
      <c r="K22" s="3469"/>
      <c r="L22" s="3469"/>
      <c r="M22" s="3469"/>
      <c r="N22" s="3469"/>
      <c r="O22" s="3469"/>
      <c r="P22" s="3469"/>
      <c r="Q22" s="3470"/>
      <c r="R22" s="21">
        <f ca="1">ROUND(S22*10000/B22,0)</f>
        <v>34795</v>
      </c>
      <c r="S22" s="21">
        <f ca="1">SUM(S24:S10000)</f>
        <v>1524</v>
      </c>
      <c r="T22" s="683">
        <f ca="1">T24+T25+T26</f>
        <v>15237582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商业07-2</v>
      </c>
      <c r="B24" s="632">
        <f>'数据-基础表'!I13</f>
        <v>138.79</v>
      </c>
      <c r="C24" s="2570">
        <v>1</v>
      </c>
      <c r="D24" s="2571"/>
      <c r="E24" s="2570">
        <v>1</v>
      </c>
      <c r="F24" s="2571"/>
      <c r="G24" s="2570">
        <v>1</v>
      </c>
      <c r="H24" s="2571"/>
      <c r="I24" s="2570">
        <v>1</v>
      </c>
      <c r="J24" s="2571"/>
      <c r="K24" s="2570">
        <v>1</v>
      </c>
      <c r="L24" s="2571"/>
      <c r="M24" s="2570">
        <v>1</v>
      </c>
      <c r="N24" s="2571"/>
      <c r="O24" s="2570">
        <v>1</v>
      </c>
      <c r="P24" s="2571"/>
      <c r="Q24" s="2570">
        <v>1</v>
      </c>
      <c r="R24" s="632">
        <f ca="1">结果表!G20</f>
        <v>34789</v>
      </c>
      <c r="S24" s="633">
        <f t="shared" ref="S24:S54" ca="1" si="11">ROUND(R24*B24/10000,0)</f>
        <v>483</v>
      </c>
      <c r="T24" s="688">
        <f ca="1">ROUND(B24*R24,0)</f>
        <v>4828365</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'数据-基础表'!C14</f>
        <v>商业07-3</v>
      </c>
      <c r="B25" s="632">
        <f>'数据-基础表'!I14</f>
        <v>128.29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34789</v>
      </c>
      <c r="S25" s="308">
        <f t="shared" ca="1" si="11"/>
        <v>446</v>
      </c>
      <c r="T25" s="688">
        <f t="shared" ref="T25:T26" ca="1" si="12">ROUND(B25*R25,0)</f>
        <v>4463081</v>
      </c>
    </row>
    <row r="26" spans="1:45">
      <c r="A26" s="632" t="str">
        <f>'数据-基础表'!C15</f>
        <v>商业07-4</v>
      </c>
      <c r="B26" s="632">
        <f>'数据-基础表'!I15</f>
        <v>170.92</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34789</v>
      </c>
      <c r="S26" s="308">
        <f t="shared" ca="1" si="11"/>
        <v>595</v>
      </c>
      <c r="T26" s="688">
        <f t="shared" ca="1" si="12"/>
        <v>5946136</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182</v>
      </c>
      <c r="C2" s="1983" t="s">
        <v>2074</v>
      </c>
      <c r="D2" s="1983" t="s">
        <v>2075</v>
      </c>
      <c r="E2" s="2397">
        <f ca="1">SUMIF(E6:E13,"&lt;&gt;#ref!",E6:E13)</f>
        <v>138.79</v>
      </c>
      <c r="F2" s="2544"/>
      <c r="G2" s="2544"/>
      <c r="H2" s="2544"/>
      <c r="I2" s="2544"/>
      <c r="J2" s="2544"/>
      <c r="K2" s="2544"/>
      <c r="L2" s="2544"/>
      <c r="M2" s="2544"/>
      <c r="N2" s="2544"/>
      <c r="O2" s="2544"/>
      <c r="P2" s="2544"/>
    </row>
    <row r="3" spans="1:16" ht="15.75">
      <c r="A3" s="1983" t="s">
        <v>2076</v>
      </c>
      <c r="B3" s="2387">
        <f ca="1">ROUND(B2*10000/E2,0)</f>
        <v>13113</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182</v>
      </c>
      <c r="C6" s="1983" t="s">
        <v>2074</v>
      </c>
      <c r="D6" s="2544"/>
      <c r="E6" s="2397">
        <f ca="1">SUMIF(INDIRECT("'"&amp;A6&amp;"'"&amp;"!C:C"),"建筑面积",INDIRECT("'"&amp;A6&amp;"'"&amp;"!D:D"))</f>
        <v>138.79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30" sqref="L3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345.43979999999999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24889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1902648.1099999999</v>
      </c>
      <c r="D5" s="203" t="s">
        <v>1469</v>
      </c>
      <c r="E5" s="204" t="s">
        <v>1470</v>
      </c>
      <c r="F5" s="204" t="s">
        <v>1471</v>
      </c>
      <c r="G5" s="205"/>
    </row>
    <row r="6" spans="1:8" s="206" customFormat="1" ht="13.5" customHeight="1">
      <c r="A6" s="731" t="s">
        <v>1472</v>
      </c>
      <c r="B6" s="207" t="s">
        <v>1473</v>
      </c>
      <c r="C6" s="208">
        <f>基准地价修正!C37*基准地价修正!D37</f>
        <v>1819398.1099999999</v>
      </c>
      <c r="D6" s="209"/>
      <c r="E6" s="210"/>
      <c r="F6" s="210"/>
      <c r="G6" s="211"/>
    </row>
    <row r="7" spans="1:8" s="206" customFormat="1" ht="13.5" customHeight="1">
      <c r="A7" s="731" t="s">
        <v>1474</v>
      </c>
      <c r="B7" s="207" t="s">
        <v>1475</v>
      </c>
      <c r="C7" s="212">
        <f>ROUND(C6*F7,0)</f>
        <v>55492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27758</v>
      </c>
      <c r="D8" s="214"/>
      <c r="E8" s="212"/>
      <c r="F8" s="213"/>
      <c r="G8" s="1713" t="s">
        <v>3443</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27758</v>
      </c>
      <c r="D10" s="794">
        <f ca="1">IF(B1="",'数据-汇总表'!E6,IF(INDIRECT("'数据-取费表'!c"&amp;$G$1)="住宅",INDIRECT("'数据-取费表'!s"&amp;$G$1),INDIRECT("'数据-取费表'!k"&amp;$G$1)+INDIRECT("'数据-取费表'!s"&amp;$G$1)))</f>
        <v>138.79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138.79</v>
      </c>
      <c r="E19" s="203">
        <f>'数据-取费表'!B31</f>
        <v>200</v>
      </c>
      <c r="F19" s="223"/>
      <c r="G19" s="1713" t="s">
        <v>3444</v>
      </c>
    </row>
    <row r="20" spans="1:7" s="206" customFormat="1" ht="13.5" customHeight="1">
      <c r="A20" s="247" t="s">
        <v>1574</v>
      </c>
      <c r="B20" s="202" t="s">
        <v>1575</v>
      </c>
      <c r="C20" s="224">
        <f ca="1">ROUND((C5+C19)*F20,0)</f>
        <v>38053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122161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120970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1191</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388140</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388140</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2658065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696032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624555</v>
      </c>
      <c r="D34" s="209"/>
      <c r="E34" s="212"/>
      <c r="F34" s="249"/>
      <c r="G34" s="211"/>
    </row>
    <row r="35" spans="1:7" ht="13.5" customHeight="1">
      <c r="A35" s="733" t="s">
        <v>351</v>
      </c>
      <c r="B35" s="207" t="s">
        <v>1527</v>
      </c>
      <c r="C35" s="212">
        <f ca="1">ROUND(C34*F35,0)</f>
        <v>31228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27758</v>
      </c>
      <c r="D37" s="209">
        <f ca="1">D19</f>
        <v>138.79</v>
      </c>
      <c r="E37" s="241">
        <f>'数据-取费表'!B35</f>
        <v>200</v>
      </c>
      <c r="F37" s="251"/>
      <c r="G37" s="253"/>
    </row>
    <row r="38" spans="1:7" ht="13.5" customHeight="1">
      <c r="A38" s="733" t="s">
        <v>354</v>
      </c>
      <c r="B38" s="207" t="s">
        <v>1533</v>
      </c>
      <c r="C38" s="212">
        <f ca="1">ROUND(C34*F38,0)</f>
        <v>12491</v>
      </c>
      <c r="D38" s="212"/>
      <c r="E38" s="212"/>
      <c r="F38" s="251">
        <f>'数据-取费表'!B36</f>
        <v>0.02</v>
      </c>
      <c r="G38" s="211" t="s">
        <v>1528</v>
      </c>
    </row>
    <row r="39" spans="1:7" s="206" customFormat="1" ht="13.5" customHeight="1">
      <c r="A39" s="247" t="s">
        <v>1534</v>
      </c>
      <c r="B39" s="202" t="s">
        <v>1535</v>
      </c>
      <c r="C39" s="224">
        <f ca="1">ROUND(C33*F20,0)</f>
        <v>13921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22222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21786</v>
      </c>
      <c r="D42" s="230"/>
      <c r="E42" s="230"/>
      <c r="F42" s="231"/>
      <c r="G42" s="3368" t="s">
        <v>1591</v>
      </c>
    </row>
    <row r="43" spans="1:7" ht="13.5" customHeight="1">
      <c r="A43" s="733" t="s">
        <v>347</v>
      </c>
      <c r="B43" s="207" t="s">
        <v>1545</v>
      </c>
      <c r="C43" s="230">
        <f ca="1">ROUND(IF('数据-取费表'!B22&lt;=1,C39*F22*'数据-取费表'!B20/2,C39*(POWER((1+F22),'数据-取费表'!B20/2)-1)),0)</f>
        <v>436</v>
      </c>
      <c r="D43" s="230"/>
      <c r="E43" s="230"/>
      <c r="F43" s="231"/>
      <c r="G43" s="3369"/>
    </row>
    <row r="44" spans="1:7" ht="13.5" customHeight="1">
      <c r="A44" s="733"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141991</v>
      </c>
      <c r="D45" s="227">
        <f ca="1">C47</f>
        <v>4.0000000000000001E-3</v>
      </c>
      <c r="E45" s="228" t="s">
        <v>1539</v>
      </c>
      <c r="F45" s="238">
        <f ca="1">F27</f>
        <v>0.2</v>
      </c>
      <c r="G45" s="239" t="s">
        <v>1548</v>
      </c>
    </row>
    <row r="46" spans="1:7" s="206" customFormat="1" ht="13.5" customHeight="1">
      <c r="A46" s="733" t="s">
        <v>346</v>
      </c>
      <c r="B46" s="240" t="s">
        <v>1549</v>
      </c>
      <c r="C46" s="241">
        <f ca="1">ROUND((C33+C39)*F27,0)</f>
        <v>141991</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948016</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796333</v>
      </c>
      <c r="D51" s="224"/>
      <c r="E51" s="224"/>
      <c r="F51" s="256"/>
      <c r="G51" s="226" t="s">
        <v>1560</v>
      </c>
    </row>
    <row r="52" spans="1:7" s="200" customFormat="1" ht="16.5" thickBot="1">
      <c r="A52" s="257" t="s">
        <v>1561</v>
      </c>
      <c r="B52" s="258"/>
      <c r="C52" s="259">
        <f ca="1">C31+C51</f>
        <v>3454398</v>
      </c>
      <c r="D52" s="258"/>
      <c r="E52" s="258"/>
      <c r="F52" s="258"/>
      <c r="G52" s="260"/>
    </row>
    <row r="55" spans="1:7" ht="15">
      <c r="B55" s="262" t="s">
        <v>1562</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0"/>
      <c r="B4" s="3190" t="s">
        <v>917</v>
      </c>
      <c r="C4" s="3190"/>
      <c r="D4" s="3190"/>
      <c r="E4" s="1390"/>
    </row>
    <row r="5" spans="1:5" ht="16.5" thickTop="1">
      <c r="B5" s="3188" t="s">
        <v>909</v>
      </c>
      <c r="C5" s="1391" t="s">
        <v>910</v>
      </c>
      <c r="D5" s="796" t="e">
        <f ca="1">结果表!H101</f>
        <v>#REF!</v>
      </c>
    </row>
    <row r="6" spans="1:5" ht="15.75">
      <c r="B6" s="3188"/>
      <c r="C6" s="1391" t="s">
        <v>911</v>
      </c>
      <c r="D6" s="796" t="e">
        <f ca="1">NUMBERSTRING(INT(D5*10000),2)&amp;"元整"</f>
        <v>#REF!</v>
      </c>
    </row>
    <row r="7" spans="1:5" ht="15.75">
      <c r="B7" s="3193"/>
      <c r="C7" s="1392" t="s">
        <v>912</v>
      </c>
      <c r="D7" s="797" t="e">
        <f ca="1">结果表!H102</f>
        <v>#REF!</v>
      </c>
    </row>
    <row r="8" spans="1:5" ht="15.75">
      <c r="B8" s="3194" t="str">
        <f>结果表!E103</f>
        <v>2.估价师知悉的法定优先受偿款</v>
      </c>
      <c r="C8" s="1393" t="s">
        <v>913</v>
      </c>
      <c r="D8" s="797">
        <f>结果表!H103</f>
        <v>0</v>
      </c>
    </row>
    <row r="9" spans="1:5" ht="15.75">
      <c r="B9" s="319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7" t="str">
        <f>结果表!E107</f>
        <v>3.房地产抵押价值</v>
      </c>
      <c r="C13" s="1396" t="s">
        <v>910</v>
      </c>
      <c r="D13" s="799" t="e">
        <f ca="1">结果表!H107</f>
        <v>#REF!</v>
      </c>
    </row>
    <row r="14" spans="1:5" ht="15.75">
      <c r="B14" s="3188"/>
      <c r="C14" s="1391" t="s">
        <v>911</v>
      </c>
      <c r="D14" s="796" t="e">
        <f ca="1">NUMBERSTRING(INT(D13*10000),2)&amp;"元整"</f>
        <v>#REF!</v>
      </c>
    </row>
    <row r="15" spans="1:5" ht="15">
      <c r="B15" s="3193"/>
      <c r="C15" s="1392" t="s">
        <v>921</v>
      </c>
      <c r="D15" s="805" t="e">
        <f ca="1">结果表!H108</f>
        <v>#REF!</v>
      </c>
    </row>
    <row r="16" spans="1:5" ht="15">
      <c r="B16" s="3194" t="str">
        <f>结果表!E109</f>
        <v>——</v>
      </c>
      <c r="C16" s="1396" t="s">
        <v>922</v>
      </c>
      <c r="D16" s="1397" t="str">
        <f>结果表!H109</f>
        <v>——</v>
      </c>
    </row>
    <row r="17" spans="1:5" ht="15.75">
      <c r="B17" s="3195"/>
      <c r="C17" s="1391" t="s">
        <v>923</v>
      </c>
      <c r="D17" s="796" t="e">
        <f>NUMBERSTRING(INT(D16*10000),2)&amp;"元整"</f>
        <v>#VALUE!</v>
      </c>
    </row>
    <row r="18" spans="1:5" ht="15">
      <c r="B18" s="3196"/>
      <c r="C18" s="1392" t="s">
        <v>912</v>
      </c>
      <c r="D18" s="805" t="str">
        <f>结果表!H110</f>
        <v>——</v>
      </c>
    </row>
    <row r="19" spans="1:5" ht="15.75">
      <c r="B19" s="3187" t="str">
        <f>结果表!E111</f>
        <v>——</v>
      </c>
      <c r="C19" s="1396" t="s">
        <v>910</v>
      </c>
      <c r="D19" s="797" t="str">
        <f>结果表!H111</f>
        <v>——</v>
      </c>
    </row>
    <row r="20" spans="1:5" ht="15.75">
      <c r="B20" s="3188"/>
      <c r="C20" s="1391" t="s">
        <v>923</v>
      </c>
      <c r="D20" s="796" t="e">
        <f>NUMBERSTRING(INT(D19*10000),2)&amp;"元整"</f>
        <v>#VALUE!</v>
      </c>
    </row>
    <row r="21" spans="1:5" ht="15.75" thickBot="1">
      <c r="B21" s="318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10" sqref="G1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138.79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182</v>
      </c>
      <c r="C2" s="1845"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1"/>
      <c r="K2" s="1055"/>
      <c r="L2" s="1846" t="s">
        <v>1939</v>
      </c>
      <c r="M2" s="810">
        <f>SUMPRODUCT((区片价!B10:B29=I2)*(区片价!C3:G3=E2)*(区片价!C10:G29))</f>
        <v>27800</v>
      </c>
      <c r="N2" s="812">
        <f>SUMPRODUCT((因素修正幅度!B10:B29=I2)*(因素修正幅度!C3:G3=E2)*(因素修正幅度!C10:G29))</f>
        <v>9.9000000000000005E-2</v>
      </c>
      <c r="O2" s="1055"/>
      <c r="P2" s="1055"/>
      <c r="Q2" s="1055"/>
      <c r="R2" s="1128">
        <v>1</v>
      </c>
      <c r="S2" s="3063">
        <f>ROUND(SUMPRODUCT((B106:B110=R2)*(C105:N105=G2)*(C106:N110)),4)</f>
        <v>1.5206</v>
      </c>
      <c r="T2" s="3063">
        <f t="shared" ref="T2:T16" si="0">ROUND($C$5*$C$22*$C$23*$C$24*S2*$C$28,0)</f>
        <v>28476</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13113</v>
      </c>
      <c r="C3" s="1845" t="s">
        <v>1941</v>
      </c>
      <c r="D3" s="162" t="s">
        <v>1942</v>
      </c>
      <c r="E3" s="3118" t="s">
        <v>2439</v>
      </c>
      <c r="F3" s="1847" t="s">
        <v>3431</v>
      </c>
      <c r="G3" s="707">
        <f>IF(F3="宗地容积率",'数据-汇总表'!I4,IF(F3="估价对象容积率",'数据-汇总表'!I6,'数据-汇总表'!I7))</f>
        <v>5.99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22607</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81"/>
      <c r="B4" s="3482"/>
      <c r="C4" s="3482"/>
      <c r="D4" s="3483"/>
      <c r="E4" s="3483"/>
      <c r="F4" s="3483"/>
      <c r="G4" s="3483"/>
      <c r="H4" s="3483"/>
      <c r="I4" s="3483"/>
      <c r="J4" s="348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19534</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27783</v>
      </c>
      <c r="D5" s="1251">
        <f>ROUND(C6*C17+C20,0)</f>
        <v>27783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17676</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27800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16847</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5.99</v>
      </c>
      <c r="AA7" s="1132"/>
      <c r="AB7" s="1132"/>
      <c r="AC7" s="1133"/>
      <c r="AD7" s="1134"/>
      <c r="AE7" s="1134"/>
      <c r="AF7" s="1134"/>
      <c r="AG7" s="1134"/>
      <c r="AH7" s="1134"/>
      <c r="AI7" s="1134"/>
      <c r="AJ7" s="1135"/>
    </row>
    <row r="8" spans="1:36" ht="25.5">
      <c r="A8" s="3009"/>
      <c r="B8" s="162"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8" t="s">
        <v>1960</v>
      </c>
      <c r="X8" s="34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80"/>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8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c r="D12" s="3015" t="s">
        <v>3230</v>
      </c>
      <c r="E12" s="3016" t="s">
        <v>3231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85" t="s">
        <v>3244</v>
      </c>
      <c r="B20" s="159" t="s">
        <v>1994</v>
      </c>
      <c r="C20" s="3031">
        <f>ROUND(IF(F21="与级别开发程度一致",0,(G21-E21)/C21),0)</f>
        <v>-17</v>
      </c>
      <c r="D20" s="3046" t="s">
        <v>1998</v>
      </c>
      <c r="E20" s="3047"/>
      <c r="F20" s="3491" t="s">
        <v>1995</v>
      </c>
      <c r="G20" s="3492"/>
      <c r="H20" s="3032" t="s">
        <v>3434</v>
      </c>
      <c r="I20" s="3032" t="s">
        <v>3435</v>
      </c>
      <c r="J20" s="3033" t="s">
        <v>3436</v>
      </c>
      <c r="K20" s="1888" t="s">
        <v>3437</v>
      </c>
      <c r="L20" s="1888" t="s">
        <v>3438</v>
      </c>
      <c r="M20" s="1888" t="s">
        <v>3439</v>
      </c>
      <c r="N20" s="1888" t="s">
        <v>3440</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86"/>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3433</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50</v>
      </c>
      <c r="N21" s="2002">
        <f>SUMPRODUCT((七通一平=N20)*(修正!B1:M1=G2)*(修正!B8:M16))</f>
        <v>20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45898</v>
      </c>
      <c r="H23" s="3048" t="s">
        <v>3442</v>
      </c>
      <c r="I23" s="3049" t="str">
        <f>IF(H23="季度增幅（自定义）",SUMIF(N25:N28,E2,O25:O28),"")</f>
        <v/>
      </c>
      <c r="J23" s="3141" t="s">
        <v>3441</v>
      </c>
      <c r="K23" s="1060"/>
      <c r="L23" s="1896" t="s">
        <v>2004</v>
      </c>
      <c r="M23" s="1240">
        <f>ROUND(SUMIF(地价!B2:G2,E2,地价!B16:G16),0)</f>
        <v>350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v>
      </c>
      <c r="D24" s="1901" t="s">
        <v>2007</v>
      </c>
      <c r="E24" s="1247">
        <f>存贷款利率!E28/100</f>
        <v>4.3499999999999997E-2</v>
      </c>
      <c r="F24" s="1901" t="s">
        <v>1999</v>
      </c>
      <c r="G24" s="723">
        <f>SUMIF(M30:Q30,E2,M33:Q33)</f>
        <v>5.5E-2</v>
      </c>
      <c r="H24" s="1901" t="s">
        <v>2008</v>
      </c>
      <c r="I24" s="724">
        <f>SUMIF('数据-取费表'!C6:C15,E2,'数据-取费表'!F6:F15)/COUNTIF('数据-取费表'!C6:C15,E2)</f>
        <v>24.02</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0.94130000000000003</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3245</v>
      </c>
      <c r="D26" s="1262">
        <f>IF(E26=G26,F26,IF(G3&lt;10,ROUND(F26+(H26-F26)*(G3-E26)/(G26-E26),4),"——"))</f>
        <v>0.94130000000000003</v>
      </c>
      <c r="E26" s="707">
        <f>ROUNDDOWN(G3,1)</f>
        <v>5.9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7">
        <f>ROUNDUP(G3,1)</f>
        <v>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11" t="s">
        <v>3246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182</v>
      </c>
      <c r="D30" s="1924"/>
      <c r="E30" s="1841"/>
      <c r="F30" s="1925"/>
      <c r="G30" s="1841"/>
      <c r="H30" s="1841"/>
      <c r="I30" s="1841"/>
      <c r="J30" s="1926"/>
      <c r="K30" s="1055"/>
      <c r="L30" s="3055" t="s">
        <v>1936</v>
      </c>
      <c r="M30" s="3056" t="s">
        <v>1990</v>
      </c>
      <c r="N30" s="3056" t="s">
        <v>1991</v>
      </c>
      <c r="O30" s="3056" t="s">
        <v>1992</v>
      </c>
      <c r="P30" s="3056" t="s">
        <v>1993</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45</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17628</v>
      </c>
      <c r="D33" s="1939"/>
      <c r="E33" s="726">
        <f>ROUND(C33*D33/10000,0)</f>
        <v>0</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4407</v>
      </c>
      <c r="D34" s="1944"/>
      <c r="E34" s="726">
        <f>ROUND(IF(B25="楼层修正",SUM(V2:V16)*M40,C34*D34/10000),0)</f>
        <v>0</v>
      </c>
      <c r="F34" s="1945" t="s">
        <v>2032</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9"/>
      <c r="B37" s="1954" t="s">
        <v>2036</v>
      </c>
      <c r="C37" s="167">
        <f>ROUND(D5*C22*C23*C24*C28*F37,0)</f>
        <v>13109</v>
      </c>
      <c r="D37" s="1939">
        <f>'数据-基础表'!I13</f>
        <v>138.79</v>
      </c>
      <c r="E37" s="163">
        <f>ROUND(C37*D37/10000,0)</f>
        <v>182</v>
      </c>
      <c r="F37" s="163">
        <f>SUMIF(修正!A59:A70,G2,修正!B59:B70)</f>
        <v>0.7</v>
      </c>
      <c r="G37" s="163">
        <f>ROUND(IF(E2="工业",C37*$M$42,C37*$M$41),0)</f>
        <v>3277</v>
      </c>
      <c r="H37" s="163">
        <f>D37</f>
        <v>138.79</v>
      </c>
      <c r="I37" s="163">
        <f>ROUND(G37*H37/10000,0)</f>
        <v>45</v>
      </c>
      <c r="J37" s="2754"/>
      <c r="K37" s="3061" t="s">
        <v>3254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0"/>
      <c r="B38" s="1883" t="s">
        <v>2037</v>
      </c>
      <c r="C38" s="167">
        <f>ROUND(D5*C22*C23*C24*C28*F38,0)</f>
        <v>7491</v>
      </c>
      <c r="D38" s="1939"/>
      <c r="E38" s="163">
        <f t="shared" ref="E38:E42" si="4">ROUND(C38*D38/10000,0)</f>
        <v>0</v>
      </c>
      <c r="F38" s="163">
        <f>SUMIF(修正!A59:A70,G2,修正!C59:C70)</f>
        <v>0.4</v>
      </c>
      <c r="G38" s="163">
        <f>ROUND(IF(E2="工业",C38*$M$42,C38*$M$41),0)</f>
        <v>1873</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0"/>
      <c r="B39" s="1883" t="s">
        <v>3247</v>
      </c>
      <c r="C39" s="167">
        <f>ROUND(D5*C22*C23*C24*C28*F39,0)</f>
        <v>5618</v>
      </c>
      <c r="D39" s="1939"/>
      <c r="E39" s="163">
        <f t="shared" si="4"/>
        <v>0</v>
      </c>
      <c r="F39" s="163">
        <f>SUMIF(修正!A59:A70,G2,修正!D59:D70)</f>
        <v>0.3</v>
      </c>
      <c r="G39" s="163">
        <f>ROUND(IF(E2="工业",C39*$M$42,C39*$M$41),0)</f>
        <v>1405</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5618</v>
      </c>
      <c r="D40" s="1939"/>
      <c r="E40" s="163">
        <f t="shared" si="4"/>
        <v>0</v>
      </c>
      <c r="F40" s="167">
        <f>SUMIF(修正!A59:A70,G2,修正!E59:E70)</f>
        <v>0.3</v>
      </c>
      <c r="G40" s="163">
        <f>ROUND(IF(E2="工业",C40*$M$42,C40*$M$41),0)</f>
        <v>1405</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5324</v>
      </c>
      <c r="D41" s="1939"/>
      <c r="E41" s="163">
        <f t="shared" si="4"/>
        <v>0</v>
      </c>
      <c r="F41" s="167">
        <f>SUMIF(修正!A59:A70,G2,修正!F59:F70)</f>
        <v>0.3</v>
      </c>
      <c r="G41" s="163">
        <f>ROUND(IF(E2="工业",C41*$M$42,C41*$M$41),0)</f>
        <v>1331</v>
      </c>
      <c r="H41" s="163">
        <f t="shared" si="5"/>
        <v>0</v>
      </c>
      <c r="I41" s="163">
        <f t="shared" si="6"/>
        <v>0</v>
      </c>
      <c r="J41" s="938"/>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3549</v>
      </c>
      <c r="D42" s="1944"/>
      <c r="E42" s="179">
        <f t="shared" si="4"/>
        <v>0</v>
      </c>
      <c r="F42" s="722">
        <f>SUMIF(修正!A59:A70,G2,修正!G59:G70)</f>
        <v>0.2</v>
      </c>
      <c r="G42" s="179">
        <f>ROUND(IF(E2="工业",C42*$M$42,C42*$M$41),0)</f>
        <v>887</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0.77710000000000001</v>
      </c>
      <c r="D44" s="163" t="s">
        <v>1999</v>
      </c>
      <c r="E44" s="1990">
        <f>G24</f>
        <v>5.5E-2</v>
      </c>
      <c r="F44" s="163" t="s">
        <v>2008</v>
      </c>
      <c r="G44" s="175">
        <f>项目基本情况!D15</f>
        <v>24.02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f>IF(E2="商业",SUMIF(L1:L12,G2,N1:N12),"——")</f>
        <v>9.9000000000000005E-2</v>
      </c>
      <c r="G50" s="999"/>
      <c r="H50" s="1002">
        <f t="shared" ref="H50:H58" si="8">IFERROR(ROUNDDOWN($F$50*I50/2,4),"——")</f>
        <v>1.4800000000000001E-2</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f t="shared" si="8"/>
        <v>1.0800000000000001E-2</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2"/>
      <c r="F52" s="1674"/>
      <c r="G52" s="999"/>
      <c r="H52" s="1002">
        <f t="shared" si="8"/>
        <v>5.8999999999999999E-3</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f t="shared" si="8"/>
        <v>2.3999999999999998E-3</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f t="shared" si="8"/>
        <v>3.8999999999999998E-3</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f t="shared" si="8"/>
        <v>2.3999999999999998E-3</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f t="shared" si="8"/>
        <v>2.3999999999999998E-3</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f t="shared" si="8"/>
        <v>3.8999999999999998E-3</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f t="shared" si="8"/>
        <v>2.3999999999999998E-3</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3261</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3262</v>
      </c>
      <c r="B96" s="3086" t="s">
        <v>3273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3264</v>
      </c>
      <c r="B98" s="3087" t="s">
        <v>3274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3265</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3266</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3267</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7" t="s">
        <v>3282</v>
      </c>
      <c r="B103" s="3487"/>
      <c r="C103" s="3487"/>
      <c r="D103" s="3487"/>
      <c r="E103" s="3487"/>
      <c r="F103" s="3487"/>
      <c r="G103" s="3487"/>
      <c r="H103" s="3487"/>
      <c r="I103" s="3487"/>
      <c r="J103" s="3487"/>
      <c r="K103" s="1666"/>
      <c r="L103" s="1666"/>
      <c r="M103" s="1666"/>
      <c r="N103" s="1666"/>
    </row>
    <row r="104" spans="1:14">
      <c r="A104" s="3488" t="s">
        <v>3283</v>
      </c>
      <c r="B104" s="3488" t="s">
        <v>3284</v>
      </c>
      <c r="C104" s="3090" t="s">
        <v>3285</v>
      </c>
      <c r="D104" s="3091"/>
      <c r="E104" s="3091"/>
      <c r="F104" s="3091"/>
      <c r="G104" s="3091"/>
      <c r="H104" s="3091"/>
      <c r="I104" s="3091"/>
      <c r="J104" s="3092"/>
      <c r="K104" s="3093"/>
      <c r="L104" s="3093"/>
      <c r="M104" s="3093"/>
      <c r="N104" s="3093"/>
    </row>
    <row r="105" spans="1:14">
      <c r="A105" s="3488"/>
      <c r="B105" s="3488"/>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74"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5"/>
      <c r="B111" s="3094" t="s">
        <v>3256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7" t="s">
        <v>3299</v>
      </c>
      <c r="B113" s="3477"/>
      <c r="C113" s="3477"/>
      <c r="D113" s="3477"/>
      <c r="E113" s="3477"/>
      <c r="F113" s="3477"/>
      <c r="G113" s="3477"/>
      <c r="H113" s="3477"/>
      <c r="I113" s="3477"/>
      <c r="J113" s="347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5.99</v>
      </c>
      <c r="C116" s="3099" t="s">
        <v>3301</v>
      </c>
      <c r="D116" s="3100">
        <f>SUMPRODUCT((A118:A122=F116)*(B117:M117=H116)*B118:M122)</f>
        <v>0.93089999999999995</v>
      </c>
      <c r="E116" s="162" t="s">
        <v>3302</v>
      </c>
      <c r="F116" s="3101" t="str">
        <f>E2</f>
        <v>商业</v>
      </c>
      <c r="G116" s="162" t="s">
        <v>3303</v>
      </c>
      <c r="H116" s="3101" t="str">
        <f>G2</f>
        <v>二级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0.93089999999999995</v>
      </c>
      <c r="C118" s="3089">
        <f>B118</f>
        <v>0.93089999999999995</v>
      </c>
      <c r="D118" s="3089">
        <f>ROUND(0.949-0.014*B116,4)</f>
        <v>0.86509999999999998</v>
      </c>
      <c r="E118" s="3089">
        <f>D118</f>
        <v>0.86509999999999998</v>
      </c>
      <c r="F118" s="3089">
        <f>E118</f>
        <v>0.86509999999999998</v>
      </c>
      <c r="G118" s="3089">
        <f>F118</f>
        <v>0.86509999999999998</v>
      </c>
      <c r="H118" s="3089">
        <f>G118</f>
        <v>0.86509999999999998</v>
      </c>
      <c r="I118" s="3089">
        <f>ROUND(0.8486-0.018*B116,4)</f>
        <v>0.74080000000000001</v>
      </c>
      <c r="J118" s="3089">
        <f t="shared" ref="J118:M122" si="35">I118</f>
        <v>0.74080000000000001</v>
      </c>
      <c r="K118" s="3089">
        <f t="shared" si="35"/>
        <v>0.74080000000000001</v>
      </c>
      <c r="L118" s="3089">
        <f t="shared" si="35"/>
        <v>0.74080000000000001</v>
      </c>
      <c r="M118" s="3109">
        <f t="shared" si="35"/>
        <v>0.74080000000000001</v>
      </c>
      <c r="N118" s="3097"/>
    </row>
    <row r="119" spans="1:14">
      <c r="A119" s="3057" t="s">
        <v>3317</v>
      </c>
      <c r="B119" s="3089">
        <f>ROUND(0.993-0.0112*B116,4)</f>
        <v>0.92589999999999995</v>
      </c>
      <c r="C119" s="3089">
        <f>B119</f>
        <v>0.92589999999999995</v>
      </c>
      <c r="D119" s="3089">
        <f>ROUND(0.9415-0.0142*B116,4)</f>
        <v>0.85640000000000005</v>
      </c>
      <c r="E119" s="3089">
        <f t="shared" ref="E119:H120" si="36">D119</f>
        <v>0.85640000000000005</v>
      </c>
      <c r="F119" s="3089">
        <f t="shared" si="36"/>
        <v>0.85640000000000005</v>
      </c>
      <c r="G119" s="3089">
        <f t="shared" si="36"/>
        <v>0.85640000000000005</v>
      </c>
      <c r="H119" s="3089">
        <f t="shared" si="36"/>
        <v>0.85640000000000005</v>
      </c>
      <c r="I119" s="3089">
        <f>ROUND(0.838-0.0182*B116,4)</f>
        <v>0.72899999999999998</v>
      </c>
      <c r="J119" s="3089">
        <f t="shared" si="35"/>
        <v>0.72899999999999998</v>
      </c>
      <c r="K119" s="3089">
        <f t="shared" si="35"/>
        <v>0.72899999999999998</v>
      </c>
      <c r="L119" s="3089">
        <f t="shared" si="35"/>
        <v>0.72899999999999998</v>
      </c>
      <c r="M119" s="3109">
        <f t="shared" si="35"/>
        <v>0.72899999999999998</v>
      </c>
      <c r="N119" s="3097"/>
    </row>
    <row r="120" spans="1:14">
      <c r="A120" s="3057" t="s">
        <v>3318</v>
      </c>
      <c r="B120" s="3089">
        <f>ROUND(0.9448-0.0115*B116,4)</f>
        <v>0.87590000000000001</v>
      </c>
      <c r="C120" s="3089">
        <f>B120</f>
        <v>0.87590000000000001</v>
      </c>
      <c r="D120" s="3089">
        <f>ROUND(0.937-0.0145*B116,4)</f>
        <v>0.85009999999999997</v>
      </c>
      <c r="E120" s="3089">
        <f t="shared" si="36"/>
        <v>0.85009999999999997</v>
      </c>
      <c r="F120" s="3089">
        <f t="shared" si="36"/>
        <v>0.85009999999999997</v>
      </c>
      <c r="G120" s="3089">
        <f t="shared" si="36"/>
        <v>0.85009999999999997</v>
      </c>
      <c r="H120" s="3089">
        <f t="shared" si="36"/>
        <v>0.85009999999999997</v>
      </c>
      <c r="I120" s="3089">
        <f>ROUND(0.7965-0.0185*B116,4)</f>
        <v>0.68569999999999998</v>
      </c>
      <c r="J120" s="3089">
        <f t="shared" si="35"/>
        <v>0.68569999999999998</v>
      </c>
      <c r="K120" s="3089">
        <f t="shared" si="35"/>
        <v>0.68569999999999998</v>
      </c>
      <c r="L120" s="3089">
        <f t="shared" si="35"/>
        <v>0.68569999999999998</v>
      </c>
      <c r="M120" s="3109">
        <f t="shared" si="35"/>
        <v>0.68569999999999998</v>
      </c>
      <c r="N120" s="3097"/>
    </row>
    <row r="121" spans="1:14" ht="13.5" thickBot="1">
      <c r="A121" s="3110" t="s">
        <v>3319</v>
      </c>
      <c r="B121" s="3111">
        <f>ROUND(0.7836-0.012*B116,4)</f>
        <v>0.7117</v>
      </c>
      <c r="C121" s="3111">
        <f>B121</f>
        <v>0.7117</v>
      </c>
      <c r="D121" s="3111">
        <f>ROUND(0.753-0.015*B116,4)</f>
        <v>0.66320000000000001</v>
      </c>
      <c r="E121" s="3111">
        <f>D121</f>
        <v>0.66320000000000001</v>
      </c>
      <c r="F121" s="3111">
        <f>E121</f>
        <v>0.66320000000000001</v>
      </c>
      <c r="G121" s="3111">
        <f>ROUND(0.6612-0.018*B116,4)</f>
        <v>0.5534</v>
      </c>
      <c r="H121" s="3111">
        <f>G121</f>
        <v>0.5534</v>
      </c>
      <c r="I121" s="3111">
        <f>ROUND(0.5905-0.019*B116,4)</f>
        <v>0.47670000000000001</v>
      </c>
      <c r="J121" s="3111">
        <f t="shared" si="35"/>
        <v>0.47670000000000001</v>
      </c>
      <c r="K121" s="3111">
        <f t="shared" si="35"/>
        <v>0.47670000000000001</v>
      </c>
      <c r="L121" s="3111">
        <f t="shared" si="35"/>
        <v>0.47670000000000001</v>
      </c>
      <c r="M121" s="3112">
        <f t="shared" si="35"/>
        <v>0.47670000000000001</v>
      </c>
      <c r="N121" s="3097"/>
    </row>
    <row r="122" spans="1:14">
      <c r="A122" s="3113" t="s">
        <v>2602</v>
      </c>
      <c r="B122" s="3089">
        <f>ROUND(0.9404-0.0106*B116,4)</f>
        <v>0.87690000000000001</v>
      </c>
      <c r="C122" s="3089">
        <f>B122</f>
        <v>0.87690000000000001</v>
      </c>
      <c r="D122" s="3089">
        <f>ROUND(0.8955-0.0135*B116,4)</f>
        <v>0.81459999999999999</v>
      </c>
      <c r="E122" s="3089">
        <f t="shared" ref="E122:H122" si="37">D122</f>
        <v>0.81459999999999999</v>
      </c>
      <c r="F122" s="3089">
        <f t="shared" si="37"/>
        <v>0.81459999999999999</v>
      </c>
      <c r="G122" s="3089">
        <f t="shared" si="37"/>
        <v>0.81459999999999999</v>
      </c>
      <c r="H122" s="3089">
        <f t="shared" si="37"/>
        <v>0.81459999999999999</v>
      </c>
      <c r="I122" s="3089">
        <f>ROUND(0.7632-0.0166*B116,4)</f>
        <v>0.66379999999999995</v>
      </c>
      <c r="J122" s="3089">
        <f t="shared" si="35"/>
        <v>0.66379999999999995</v>
      </c>
      <c r="K122" s="3089">
        <f t="shared" si="35"/>
        <v>0.66379999999999995</v>
      </c>
      <c r="L122" s="3089">
        <f t="shared" si="35"/>
        <v>0.66379999999999995</v>
      </c>
      <c r="M122" s="3109">
        <f t="shared" si="35"/>
        <v>0.66379999999999995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504" t="s">
        <v>2597</v>
      </c>
      <c r="B20" s="3497" t="s">
        <v>2618</v>
      </c>
      <c r="C20" s="3168" t="s">
        <v>2429</v>
      </c>
      <c r="D20" s="3168"/>
      <c r="E20" s="2844">
        <v>1</v>
      </c>
      <c r="F20" s="2845" t="s">
        <v>2430</v>
      </c>
      <c r="G20" s="2845"/>
    </row>
    <row r="21" spans="1:13" ht="19.5" customHeight="1">
      <c r="A21" s="3505"/>
      <c r="B21" s="3493"/>
      <c r="C21" s="2857" t="s">
        <v>2431</v>
      </c>
      <c r="D21" s="2857"/>
      <c r="E21" s="2848">
        <v>1</v>
      </c>
      <c r="F21" s="2845" t="s">
        <v>2432</v>
      </c>
      <c r="G21" s="2845"/>
    </row>
    <row r="22" spans="1:13" ht="19.5" customHeight="1">
      <c r="A22" s="3505"/>
      <c r="B22" s="3493"/>
      <c r="C22" s="2857" t="s">
        <v>2433</v>
      </c>
      <c r="D22" s="2857"/>
      <c r="E22" s="2848">
        <v>0.9</v>
      </c>
      <c r="F22" s="2845" t="s">
        <v>2434</v>
      </c>
      <c r="G22" s="2845"/>
    </row>
    <row r="23" spans="1:13" ht="19.5" customHeight="1">
      <c r="A23" s="3505"/>
      <c r="B23" s="3493"/>
      <c r="C23" s="2857" t="s">
        <v>2435</v>
      </c>
      <c r="D23" s="2857"/>
      <c r="E23" s="2848">
        <v>0.9</v>
      </c>
      <c r="F23" s="2845" t="s">
        <v>2436</v>
      </c>
      <c r="G23" s="2845"/>
    </row>
    <row r="24" spans="1:13" ht="19.5" customHeight="1">
      <c r="A24" s="3505"/>
      <c r="B24" s="3493"/>
      <c r="C24" s="2857" t="s">
        <v>2437</v>
      </c>
      <c r="D24" s="2857"/>
      <c r="E24" s="2848">
        <v>0.8</v>
      </c>
      <c r="F24" s="2845" t="s">
        <v>2438</v>
      </c>
      <c r="G24" s="2845"/>
    </row>
    <row r="25" spans="1:13" ht="19.5" customHeight="1">
      <c r="A25" s="3505"/>
      <c r="B25" s="3493"/>
      <c r="C25" s="2857" t="s">
        <v>2439</v>
      </c>
      <c r="D25" s="2857"/>
      <c r="E25" s="2848">
        <v>0.8</v>
      </c>
      <c r="F25" s="2845"/>
      <c r="G25" s="2845"/>
    </row>
    <row r="26" spans="1:13" ht="19.5" customHeight="1">
      <c r="A26" s="3505"/>
      <c r="B26" s="3493"/>
      <c r="C26" s="2857" t="s">
        <v>3400</v>
      </c>
      <c r="D26" s="2857"/>
      <c r="E26" s="2848">
        <v>0.43</v>
      </c>
      <c r="F26" s="2845"/>
      <c r="G26" s="2845"/>
    </row>
    <row r="27" spans="1:13" ht="19.5" customHeight="1" thickBot="1">
      <c r="A27" s="3506"/>
      <c r="B27" s="3498"/>
      <c r="C27" s="3164" t="s">
        <v>3401</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99" t="s">
        <v>2621</v>
      </c>
      <c r="B29" s="3502" t="s">
        <v>2602</v>
      </c>
      <c r="C29" s="2842" t="s">
        <v>2442</v>
      </c>
      <c r="D29" s="2843"/>
      <c r="E29" s="2844">
        <v>1</v>
      </c>
      <c r="F29" s="2845" t="s">
        <v>2443</v>
      </c>
      <c r="G29" s="2845"/>
    </row>
    <row r="30" spans="1:13" ht="19.5" customHeight="1">
      <c r="A30" s="3500"/>
      <c r="B30" s="3496"/>
      <c r="C30" s="2846" t="s">
        <v>2444</v>
      </c>
      <c r="D30" s="2847"/>
      <c r="E30" s="2848">
        <v>1</v>
      </c>
      <c r="F30" s="2845" t="s">
        <v>2445</v>
      </c>
      <c r="G30" s="2845"/>
    </row>
    <row r="31" spans="1:13" ht="19.5" customHeight="1">
      <c r="A31" s="3500"/>
      <c r="B31" s="3496"/>
      <c r="C31" s="2846" t="s">
        <v>2446</v>
      </c>
      <c r="D31" s="2847"/>
      <c r="E31" s="2848">
        <v>0.8</v>
      </c>
      <c r="F31" s="2845" t="s">
        <v>2447</v>
      </c>
      <c r="G31" s="2845"/>
    </row>
    <row r="32" spans="1:13" ht="19.5" customHeight="1">
      <c r="A32" s="3500"/>
      <c r="B32" s="3496"/>
      <c r="C32" s="2846" t="s">
        <v>2448</v>
      </c>
      <c r="D32" s="2847"/>
      <c r="E32" s="2848">
        <v>0.8</v>
      </c>
      <c r="F32" s="2845" t="s">
        <v>2449</v>
      </c>
      <c r="G32" s="2845"/>
    </row>
    <row r="33" spans="1:7" ht="19.5" customHeight="1">
      <c r="A33" s="3500"/>
      <c r="B33" s="3496"/>
      <c r="C33" s="2846" t="s">
        <v>2450</v>
      </c>
      <c r="D33" s="2847"/>
      <c r="E33" s="2848">
        <v>0.8</v>
      </c>
      <c r="F33" s="2845" t="s">
        <v>2451</v>
      </c>
      <c r="G33" s="2845"/>
    </row>
    <row r="34" spans="1:7" ht="19.5" customHeight="1">
      <c r="A34" s="3500"/>
      <c r="B34" s="3496"/>
      <c r="C34" s="2846" t="s">
        <v>2452</v>
      </c>
      <c r="D34" s="2847"/>
      <c r="E34" s="2848">
        <v>0.7</v>
      </c>
      <c r="F34" s="2845" t="s">
        <v>2453</v>
      </c>
      <c r="G34" s="2845"/>
    </row>
    <row r="35" spans="1:7" ht="19.5" customHeight="1">
      <c r="A35" s="3500"/>
      <c r="B35" s="3496"/>
      <c r="C35" s="2846" t="s">
        <v>2454</v>
      </c>
      <c r="D35" s="2847"/>
      <c r="E35" s="2848">
        <v>0.8</v>
      </c>
      <c r="F35" s="2845" t="s">
        <v>2455</v>
      </c>
      <c r="G35" s="2845"/>
    </row>
    <row r="36" spans="1:7" ht="19.5" customHeight="1">
      <c r="A36" s="3500"/>
      <c r="B36" s="3496"/>
      <c r="C36" s="2846" t="s">
        <v>2456</v>
      </c>
      <c r="D36" s="2847"/>
      <c r="E36" s="2848">
        <v>0.6</v>
      </c>
      <c r="F36" s="2845" t="s">
        <v>2457</v>
      </c>
      <c r="G36" s="2845"/>
    </row>
    <row r="37" spans="1:7" ht="19.5" customHeight="1">
      <c r="A37" s="3500"/>
      <c r="B37" s="3496"/>
      <c r="C37" s="2846" t="s">
        <v>2458</v>
      </c>
      <c r="D37" s="2847"/>
      <c r="E37" s="2848">
        <v>0.2</v>
      </c>
      <c r="F37" s="2845" t="s">
        <v>2459</v>
      </c>
      <c r="G37" s="2845"/>
    </row>
    <row r="38" spans="1:7" ht="19.5" customHeight="1">
      <c r="A38" s="3500"/>
      <c r="B38" s="3496"/>
      <c r="C38" s="2846" t="s">
        <v>2460</v>
      </c>
      <c r="D38" s="2847"/>
      <c r="E38" s="2848">
        <v>0.2</v>
      </c>
      <c r="F38" s="2845" t="s">
        <v>2461</v>
      </c>
      <c r="G38" s="2845"/>
    </row>
    <row r="39" spans="1:7" ht="19.5" customHeight="1">
      <c r="A39" s="3500"/>
      <c r="B39" s="3494" t="s">
        <v>2622</v>
      </c>
      <c r="C39" s="2846" t="s">
        <v>2462</v>
      </c>
      <c r="D39" s="2847"/>
      <c r="E39" s="2848">
        <v>0.6</v>
      </c>
      <c r="F39" s="2845" t="s">
        <v>2463</v>
      </c>
      <c r="G39" s="2845"/>
    </row>
    <row r="40" spans="1:7" ht="19.5" customHeight="1">
      <c r="A40" s="3500"/>
      <c r="B40" s="3496"/>
      <c r="C40" s="2846" t="s">
        <v>2464</v>
      </c>
      <c r="D40" s="2847"/>
      <c r="E40" s="2848">
        <v>0.6</v>
      </c>
      <c r="F40" s="2845" t="s">
        <v>2465</v>
      </c>
      <c r="G40" s="2845"/>
    </row>
    <row r="41" spans="1:7" ht="19.5" customHeight="1" thickBot="1">
      <c r="A41" s="3501"/>
      <c r="B41" s="3503"/>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504" t="s">
        <v>2600</v>
      </c>
      <c r="B43" s="3502" t="s">
        <v>2624</v>
      </c>
      <c r="C43" s="2842" t="s">
        <v>2469</v>
      </c>
      <c r="D43" s="2843"/>
      <c r="E43" s="2844">
        <v>1</v>
      </c>
      <c r="F43" s="2845" t="s">
        <v>2470</v>
      </c>
      <c r="G43" s="2845"/>
    </row>
    <row r="44" spans="1:7" ht="19.5" customHeight="1">
      <c r="A44" s="3505"/>
      <c r="B44" s="3496"/>
      <c r="C44" s="2846" t="s">
        <v>2471</v>
      </c>
      <c r="D44" s="2847"/>
      <c r="E44" s="2848">
        <v>1</v>
      </c>
      <c r="F44" s="2845" t="s">
        <v>2472</v>
      </c>
      <c r="G44" s="2845"/>
    </row>
    <row r="45" spans="1:7" ht="19.5" customHeight="1">
      <c r="A45" s="3505"/>
      <c r="B45" s="3495"/>
      <c r="C45" s="2846" t="s">
        <v>2473</v>
      </c>
      <c r="D45" s="2847"/>
      <c r="E45" s="2848">
        <v>1.5</v>
      </c>
      <c r="F45" s="2845" t="s">
        <v>2474</v>
      </c>
      <c r="G45" s="2845"/>
    </row>
    <row r="46" spans="1:7" ht="19.5" customHeight="1">
      <c r="A46" s="3505"/>
      <c r="B46" s="2857" t="s">
        <v>2625</v>
      </c>
      <c r="C46" s="2846" t="s">
        <v>2626</v>
      </c>
      <c r="D46" s="2847"/>
      <c r="E46" s="2848">
        <v>2</v>
      </c>
      <c r="F46" s="2845" t="s">
        <v>2475</v>
      </c>
      <c r="G46" s="2845"/>
    </row>
    <row r="47" spans="1:7" ht="19.5" customHeight="1">
      <c r="A47" s="3505"/>
      <c r="B47" s="3494" t="s">
        <v>2627</v>
      </c>
      <c r="C47" s="2846" t="s">
        <v>2476</v>
      </c>
      <c r="D47" s="2847"/>
      <c r="E47" s="2848">
        <v>1</v>
      </c>
      <c r="F47" s="2845" t="s">
        <v>2477</v>
      </c>
      <c r="G47" s="2845"/>
    </row>
    <row r="48" spans="1:7" ht="19.5" customHeight="1">
      <c r="A48" s="3505"/>
      <c r="B48" s="3496"/>
      <c r="C48" s="2846" t="s">
        <v>2478</v>
      </c>
      <c r="D48" s="2847"/>
      <c r="E48" s="2848">
        <v>1</v>
      </c>
      <c r="F48" s="2845" t="s">
        <v>2479</v>
      </c>
      <c r="G48" s="2845"/>
    </row>
    <row r="49" spans="1:7" ht="19.5" customHeight="1">
      <c r="A49" s="3505"/>
      <c r="B49" s="3496"/>
      <c r="C49" s="2846" t="s">
        <v>2480</v>
      </c>
      <c r="D49" s="2847"/>
      <c r="E49" s="2848">
        <v>1</v>
      </c>
      <c r="F49" s="2845" t="s">
        <v>2481</v>
      </c>
      <c r="G49" s="2845"/>
    </row>
    <row r="50" spans="1:7" ht="19.5" customHeight="1">
      <c r="A50" s="3505"/>
      <c r="B50" s="3496"/>
      <c r="C50" s="2846" t="s">
        <v>2482</v>
      </c>
      <c r="D50" s="2847"/>
      <c r="E50" s="2848">
        <v>1</v>
      </c>
      <c r="F50" s="2845" t="s">
        <v>2483</v>
      </c>
      <c r="G50" s="2845"/>
    </row>
    <row r="51" spans="1:7" ht="19.5" customHeight="1">
      <c r="A51" s="3505"/>
      <c r="B51" s="3496"/>
      <c r="C51" s="2846" t="s">
        <v>2484</v>
      </c>
      <c r="D51" s="2847"/>
      <c r="E51" s="2848">
        <v>1</v>
      </c>
      <c r="F51" s="2845" t="s">
        <v>2485</v>
      </c>
      <c r="G51" s="2845"/>
    </row>
    <row r="52" spans="1:7" ht="19.5" customHeight="1">
      <c r="A52" s="3505"/>
      <c r="B52" s="3496"/>
      <c r="C52" s="2846" t="s">
        <v>2486</v>
      </c>
      <c r="D52" s="2847"/>
      <c r="E52" s="2848">
        <v>1</v>
      </c>
      <c r="F52" s="2845" t="s">
        <v>2487</v>
      </c>
      <c r="G52" s="2845"/>
    </row>
    <row r="53" spans="1:7" ht="19.5" customHeight="1" thickBot="1">
      <c r="A53" s="3506"/>
      <c r="B53" s="3503"/>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94" t="s">
        <v>2641</v>
      </c>
      <c r="C75" s="2831" t="s">
        <v>2642</v>
      </c>
      <c r="D75" s="2831" t="s">
        <v>2643</v>
      </c>
      <c r="E75" s="2857">
        <v>0.2</v>
      </c>
      <c r="F75" s="2857">
        <v>25</v>
      </c>
    </row>
    <row r="76" spans="1:7" ht="24">
      <c r="A76" s="2857">
        <v>2</v>
      </c>
      <c r="B76" s="3496"/>
      <c r="C76" s="2831" t="s">
        <v>2644</v>
      </c>
      <c r="D76" s="2831" t="s">
        <v>2645</v>
      </c>
      <c r="E76" s="2857">
        <v>0.2</v>
      </c>
      <c r="F76" s="2857">
        <v>25</v>
      </c>
    </row>
    <row r="77" spans="1:7" ht="24">
      <c r="A77" s="2857">
        <v>3</v>
      </c>
      <c r="B77" s="3496"/>
      <c r="C77" s="2831" t="s">
        <v>2646</v>
      </c>
      <c r="D77" s="2831" t="s">
        <v>2647</v>
      </c>
      <c r="E77" s="2857">
        <v>0.2</v>
      </c>
      <c r="F77" s="2857">
        <v>25</v>
      </c>
    </row>
    <row r="78" spans="1:7" ht="13.5">
      <c r="A78" s="2857">
        <v>4</v>
      </c>
      <c r="B78" s="3496"/>
      <c r="C78" s="2831" t="s">
        <v>2648</v>
      </c>
      <c r="D78" s="2831" t="s">
        <v>2649</v>
      </c>
      <c r="E78" s="2857">
        <v>0.15</v>
      </c>
      <c r="F78" s="2857">
        <v>20</v>
      </c>
    </row>
    <row r="79" spans="1:7" ht="24">
      <c r="A79" s="2857">
        <v>5</v>
      </c>
      <c r="B79" s="3496"/>
      <c r="C79" s="2831" t="s">
        <v>2650</v>
      </c>
      <c r="D79" s="2831" t="s">
        <v>2651</v>
      </c>
      <c r="E79" s="2857">
        <v>0.15</v>
      </c>
      <c r="F79" s="2857">
        <v>20</v>
      </c>
    </row>
    <row r="80" spans="1:7" ht="24">
      <c r="A80" s="2857">
        <v>6</v>
      </c>
      <c r="B80" s="3496"/>
      <c r="C80" s="2831" t="s">
        <v>2652</v>
      </c>
      <c r="D80" s="2831" t="s">
        <v>2653</v>
      </c>
      <c r="E80" s="2857">
        <v>0.15</v>
      </c>
      <c r="F80" s="2857">
        <v>20</v>
      </c>
    </row>
    <row r="81" spans="1:6" ht="24">
      <c r="A81" s="2857">
        <v>7</v>
      </c>
      <c r="B81" s="3496"/>
      <c r="C81" s="2831" t="s">
        <v>2654</v>
      </c>
      <c r="D81" s="2831" t="s">
        <v>2655</v>
      </c>
      <c r="E81" s="2857">
        <v>0.15</v>
      </c>
      <c r="F81" s="2857">
        <v>20</v>
      </c>
    </row>
    <row r="82" spans="1:6" ht="24">
      <c r="A82" s="2857">
        <v>8</v>
      </c>
      <c r="B82" s="3496"/>
      <c r="C82" s="2831" t="s">
        <v>2656</v>
      </c>
      <c r="D82" s="2831" t="s">
        <v>2657</v>
      </c>
      <c r="E82" s="2857">
        <v>0.1</v>
      </c>
      <c r="F82" s="2857">
        <v>15</v>
      </c>
    </row>
    <row r="83" spans="1:6" ht="24">
      <c r="A83" s="2857">
        <v>9</v>
      </c>
      <c r="B83" s="3496"/>
      <c r="C83" s="2831" t="s">
        <v>2658</v>
      </c>
      <c r="D83" s="2831" t="s">
        <v>2659</v>
      </c>
      <c r="E83" s="2857">
        <v>0.1</v>
      </c>
      <c r="F83" s="2857">
        <v>15</v>
      </c>
    </row>
    <row r="84" spans="1:6" ht="24">
      <c r="A84" s="2857">
        <v>10</v>
      </c>
      <c r="B84" s="3496"/>
      <c r="C84" s="2831" t="s">
        <v>2660</v>
      </c>
      <c r="D84" s="2831" t="s">
        <v>2661</v>
      </c>
      <c r="E84" s="2857">
        <v>0.1</v>
      </c>
      <c r="F84" s="2857">
        <v>15</v>
      </c>
    </row>
    <row r="85" spans="1:6" ht="24">
      <c r="A85" s="2857">
        <v>11</v>
      </c>
      <c r="B85" s="3496"/>
      <c r="C85" s="2831" t="s">
        <v>2662</v>
      </c>
      <c r="D85" s="2831" t="s">
        <v>2663</v>
      </c>
      <c r="E85" s="2857">
        <v>0.1</v>
      </c>
      <c r="F85" s="2857">
        <v>15</v>
      </c>
    </row>
    <row r="86" spans="1:6" ht="24">
      <c r="A86" s="2857">
        <v>12</v>
      </c>
      <c r="B86" s="3496"/>
      <c r="C86" s="2831" t="s">
        <v>2664</v>
      </c>
      <c r="D86" s="2831" t="s">
        <v>2665</v>
      </c>
      <c r="E86" s="2857">
        <v>0.1</v>
      </c>
      <c r="F86" s="2857">
        <v>15</v>
      </c>
    </row>
    <row r="87" spans="1:6" ht="13.5">
      <c r="A87" s="2857">
        <v>13</v>
      </c>
      <c r="B87" s="3496"/>
      <c r="C87" s="2831" t="s">
        <v>2666</v>
      </c>
      <c r="D87" s="2831" t="s">
        <v>2667</v>
      </c>
      <c r="E87" s="2857">
        <v>0.1</v>
      </c>
      <c r="F87" s="2857">
        <v>15</v>
      </c>
    </row>
    <row r="88" spans="1:6" ht="13.5">
      <c r="A88" s="2857">
        <v>14</v>
      </c>
      <c r="B88" s="3496"/>
      <c r="C88" s="2831" t="s">
        <v>2668</v>
      </c>
      <c r="D88" s="2831" t="s">
        <v>2669</v>
      </c>
      <c r="E88" s="2857">
        <v>0.1</v>
      </c>
      <c r="F88" s="2857">
        <v>15</v>
      </c>
    </row>
    <row r="89" spans="1:6" ht="13.5">
      <c r="A89" s="2857">
        <v>15</v>
      </c>
      <c r="B89" s="3496"/>
      <c r="C89" s="2831" t="s">
        <v>2670</v>
      </c>
      <c r="D89" s="2831" t="s">
        <v>2671</v>
      </c>
      <c r="E89" s="2857">
        <v>0.1</v>
      </c>
      <c r="F89" s="2857">
        <v>15</v>
      </c>
    </row>
    <row r="90" spans="1:6" ht="24">
      <c r="A90" s="2857">
        <v>16</v>
      </c>
      <c r="B90" s="3496"/>
      <c r="C90" s="2831" t="s">
        <v>2672</v>
      </c>
      <c r="D90" s="2831" t="s">
        <v>2673</v>
      </c>
      <c r="E90" s="2857">
        <v>0.1</v>
      </c>
      <c r="F90" s="2857">
        <v>15</v>
      </c>
    </row>
    <row r="91" spans="1:6" ht="24">
      <c r="A91" s="2857">
        <v>17</v>
      </c>
      <c r="B91" s="3495"/>
      <c r="C91" s="2831" t="s">
        <v>2674</v>
      </c>
      <c r="D91" s="2831" t="s">
        <v>2675</v>
      </c>
      <c r="E91" s="2857">
        <v>0.1</v>
      </c>
      <c r="F91" s="2857">
        <v>15</v>
      </c>
    </row>
    <row r="92" spans="1:6" ht="13.5">
      <c r="A92" s="2857">
        <v>18</v>
      </c>
      <c r="B92" s="3494" t="s">
        <v>2676</v>
      </c>
      <c r="C92" s="2831" t="s">
        <v>2677</v>
      </c>
      <c r="D92" s="2831" t="s">
        <v>2678</v>
      </c>
      <c r="E92" s="2857">
        <v>0.2</v>
      </c>
      <c r="F92" s="2857">
        <v>25</v>
      </c>
    </row>
    <row r="93" spans="1:6" ht="24">
      <c r="A93" s="2857">
        <v>19</v>
      </c>
      <c r="B93" s="3496"/>
      <c r="C93" s="2831" t="s">
        <v>2679</v>
      </c>
      <c r="D93" s="2831" t="s">
        <v>2680</v>
      </c>
      <c r="E93" s="2857">
        <v>0.2</v>
      </c>
      <c r="F93" s="2857">
        <v>25</v>
      </c>
    </row>
    <row r="94" spans="1:6" ht="13.5">
      <c r="A94" s="2857">
        <v>20</v>
      </c>
      <c r="B94" s="3496"/>
      <c r="C94" s="2831" t="s">
        <v>2681</v>
      </c>
      <c r="D94" s="2831" t="s">
        <v>2682</v>
      </c>
      <c r="E94" s="2857">
        <v>0.15</v>
      </c>
      <c r="F94" s="2857">
        <v>20</v>
      </c>
    </row>
    <row r="95" spans="1:6" ht="13.5">
      <c r="A95" s="2857">
        <v>21</v>
      </c>
      <c r="B95" s="3496"/>
      <c r="C95" s="2831" t="s">
        <v>2683</v>
      </c>
      <c r="D95" s="2831" t="s">
        <v>2684</v>
      </c>
      <c r="E95" s="2857">
        <v>0.15</v>
      </c>
      <c r="F95" s="2857">
        <v>20</v>
      </c>
    </row>
    <row r="96" spans="1:6" ht="13.5">
      <c r="A96" s="2857">
        <v>22</v>
      </c>
      <c r="B96" s="3496"/>
      <c r="C96" s="2831" t="s">
        <v>2685</v>
      </c>
      <c r="D96" s="2831" t="s">
        <v>2686</v>
      </c>
      <c r="E96" s="2857">
        <v>0.15</v>
      </c>
      <c r="F96" s="2857">
        <v>20</v>
      </c>
    </row>
    <row r="97" spans="1:6" ht="36">
      <c r="A97" s="2857">
        <v>23</v>
      </c>
      <c r="B97" s="3496"/>
      <c r="C97" s="2831" t="s">
        <v>2687</v>
      </c>
      <c r="D97" s="2831" t="s">
        <v>2688</v>
      </c>
      <c r="E97" s="2857">
        <v>0.15</v>
      </c>
      <c r="F97" s="2857">
        <v>20</v>
      </c>
    </row>
    <row r="98" spans="1:6" ht="13.5">
      <c r="A98" s="2857">
        <v>24</v>
      </c>
      <c r="B98" s="3496"/>
      <c r="C98" s="2831" t="s">
        <v>2689</v>
      </c>
      <c r="D98" s="2831" t="s">
        <v>2690</v>
      </c>
      <c r="E98" s="2857">
        <v>0.1</v>
      </c>
      <c r="F98" s="2857">
        <v>15</v>
      </c>
    </row>
    <row r="99" spans="1:6" ht="13.5">
      <c r="A99" s="2857">
        <v>25</v>
      </c>
      <c r="B99" s="3496"/>
      <c r="C99" s="2831" t="s">
        <v>2691</v>
      </c>
      <c r="D99" s="2831" t="s">
        <v>2692</v>
      </c>
      <c r="E99" s="2857">
        <v>0.1</v>
      </c>
      <c r="F99" s="2857">
        <v>15</v>
      </c>
    </row>
    <row r="100" spans="1:6" ht="24">
      <c r="A100" s="2857">
        <v>26</v>
      </c>
      <c r="B100" s="3496"/>
      <c r="C100" s="2831" t="s">
        <v>2693</v>
      </c>
      <c r="D100" s="2831" t="s">
        <v>2694</v>
      </c>
      <c r="E100" s="2857">
        <v>0.1</v>
      </c>
      <c r="F100" s="2857">
        <v>15</v>
      </c>
    </row>
    <row r="101" spans="1:6" ht="24">
      <c r="A101" s="2857">
        <v>27</v>
      </c>
      <c r="B101" s="3496"/>
      <c r="C101" s="2831" t="s">
        <v>2695</v>
      </c>
      <c r="D101" s="2831" t="s">
        <v>2696</v>
      </c>
      <c r="E101" s="2857">
        <v>0.1</v>
      </c>
      <c r="F101" s="2857">
        <v>15</v>
      </c>
    </row>
    <row r="102" spans="1:6" ht="13.5">
      <c r="A102" s="2857">
        <v>28</v>
      </c>
      <c r="B102" s="3496"/>
      <c r="C102" s="2831" t="s">
        <v>2697</v>
      </c>
      <c r="D102" s="2831" t="s">
        <v>2698</v>
      </c>
      <c r="E102" s="2857">
        <v>0.1</v>
      </c>
      <c r="F102" s="2857">
        <v>15</v>
      </c>
    </row>
    <row r="103" spans="1:6" ht="13.5">
      <c r="A103" s="2857">
        <v>29</v>
      </c>
      <c r="B103" s="3496"/>
      <c r="C103" s="2831" t="s">
        <v>2699</v>
      </c>
      <c r="D103" s="2831" t="s">
        <v>2700</v>
      </c>
      <c r="E103" s="2857">
        <v>0.1</v>
      </c>
      <c r="F103" s="2857">
        <v>15</v>
      </c>
    </row>
    <row r="104" spans="1:6" ht="13.5">
      <c r="A104" s="2857">
        <v>30</v>
      </c>
      <c r="B104" s="3496"/>
      <c r="C104" s="2831" t="s">
        <v>2701</v>
      </c>
      <c r="D104" s="2831" t="s">
        <v>2702</v>
      </c>
      <c r="E104" s="2857">
        <v>0.1</v>
      </c>
      <c r="F104" s="2857">
        <v>15</v>
      </c>
    </row>
    <row r="105" spans="1:6" ht="24">
      <c r="A105" s="2857">
        <v>31</v>
      </c>
      <c r="B105" s="3496"/>
      <c r="C105" s="2831" t="s">
        <v>2703</v>
      </c>
      <c r="D105" s="2831" t="s">
        <v>2704</v>
      </c>
      <c r="E105" s="2857">
        <v>0.1</v>
      </c>
      <c r="F105" s="2857">
        <v>15</v>
      </c>
    </row>
    <row r="106" spans="1:6" ht="24">
      <c r="A106" s="2857">
        <v>32</v>
      </c>
      <c r="B106" s="3496"/>
      <c r="C106" s="2831" t="s">
        <v>2705</v>
      </c>
      <c r="D106" s="2831" t="s">
        <v>2706</v>
      </c>
      <c r="E106" s="2857">
        <v>0.1</v>
      </c>
      <c r="F106" s="2857">
        <v>15</v>
      </c>
    </row>
    <row r="107" spans="1:6" ht="24">
      <c r="A107" s="2857">
        <v>33</v>
      </c>
      <c r="B107" s="3496"/>
      <c r="C107" s="2831" t="s">
        <v>2707</v>
      </c>
      <c r="D107" s="2831" t="s">
        <v>2708</v>
      </c>
      <c r="E107" s="2857">
        <v>0.1</v>
      </c>
      <c r="F107" s="2857">
        <v>15</v>
      </c>
    </row>
    <row r="108" spans="1:6" ht="24">
      <c r="A108" s="2857">
        <v>34</v>
      </c>
      <c r="B108" s="3495"/>
      <c r="C108" s="2831" t="s">
        <v>2709</v>
      </c>
      <c r="D108" s="2831" t="s">
        <v>2710</v>
      </c>
      <c r="E108" s="2857">
        <v>0.1</v>
      </c>
      <c r="F108" s="2857">
        <v>15</v>
      </c>
    </row>
    <row r="109" spans="1:6" ht="24">
      <c r="A109" s="2857">
        <v>35</v>
      </c>
      <c r="B109" s="3494" t="s">
        <v>2711</v>
      </c>
      <c r="C109" s="2857" t="s">
        <v>2712</v>
      </c>
      <c r="D109" s="2831" t="s">
        <v>2713</v>
      </c>
      <c r="E109" s="2857">
        <v>0.15</v>
      </c>
      <c r="F109" s="2857">
        <v>20</v>
      </c>
    </row>
    <row r="110" spans="1:6" ht="13.5">
      <c r="A110" s="2857">
        <v>36</v>
      </c>
      <c r="B110" s="3496"/>
      <c r="C110" s="2857" t="s">
        <v>2714</v>
      </c>
      <c r="D110" s="2831" t="s">
        <v>2715</v>
      </c>
      <c r="E110" s="2857">
        <v>0.15</v>
      </c>
      <c r="F110" s="2857">
        <v>20</v>
      </c>
    </row>
    <row r="111" spans="1:6" ht="13.5">
      <c r="A111" s="2857">
        <v>37</v>
      </c>
      <c r="B111" s="3496"/>
      <c r="C111" s="2857" t="s">
        <v>2716</v>
      </c>
      <c r="D111" s="2831" t="s">
        <v>2717</v>
      </c>
      <c r="E111" s="2857">
        <v>0.15</v>
      </c>
      <c r="F111" s="2857">
        <v>20</v>
      </c>
    </row>
    <row r="112" spans="1:6" ht="13.5">
      <c r="A112" s="2857">
        <v>38</v>
      </c>
      <c r="B112" s="3496"/>
      <c r="C112" s="2857" t="s">
        <v>2718</v>
      </c>
      <c r="D112" s="2831" t="s">
        <v>2719</v>
      </c>
      <c r="E112" s="2857">
        <v>0.1</v>
      </c>
      <c r="F112" s="2857">
        <v>15</v>
      </c>
    </row>
    <row r="113" spans="1:6" ht="24">
      <c r="A113" s="2857">
        <v>39</v>
      </c>
      <c r="B113" s="3496"/>
      <c r="C113" s="2857" t="s">
        <v>2720</v>
      </c>
      <c r="D113" s="2831" t="s">
        <v>2721</v>
      </c>
      <c r="E113" s="2857">
        <v>0.1</v>
      </c>
      <c r="F113" s="2857">
        <v>15</v>
      </c>
    </row>
    <row r="114" spans="1:6" ht="24">
      <c r="A114" s="2857">
        <v>40</v>
      </c>
      <c r="B114" s="3495"/>
      <c r="C114" s="2857" t="s">
        <v>2722</v>
      </c>
      <c r="D114" s="2831" t="s">
        <v>2723</v>
      </c>
      <c r="E114" s="2857">
        <v>0.1</v>
      </c>
      <c r="F114" s="2857">
        <v>15</v>
      </c>
    </row>
    <row r="115" spans="1:6" ht="13.5">
      <c r="A115" s="2857">
        <v>41</v>
      </c>
      <c r="B115" s="3493" t="s">
        <v>2724</v>
      </c>
      <c r="C115" s="2857" t="s">
        <v>2725</v>
      </c>
      <c r="D115" s="2831" t="s">
        <v>2726</v>
      </c>
      <c r="E115" s="2857">
        <v>0.1</v>
      </c>
      <c r="F115" s="2857">
        <v>15</v>
      </c>
    </row>
    <row r="116" spans="1:6" ht="13.5">
      <c r="A116" s="2857">
        <v>42</v>
      </c>
      <c r="B116" s="3493"/>
      <c r="C116" s="2857" t="s">
        <v>2727</v>
      </c>
      <c r="D116" s="2831" t="s">
        <v>2728</v>
      </c>
      <c r="E116" s="2857">
        <v>0.1</v>
      </c>
      <c r="F116" s="2857">
        <v>15</v>
      </c>
    </row>
    <row r="117" spans="1:6" ht="24">
      <c r="A117" s="2857">
        <v>43</v>
      </c>
      <c r="B117" s="3493"/>
      <c r="C117" s="2857" t="s">
        <v>2729</v>
      </c>
      <c r="D117" s="2831" t="s">
        <v>2730</v>
      </c>
      <c r="E117" s="2857">
        <v>0.1</v>
      </c>
      <c r="F117" s="2857">
        <v>15</v>
      </c>
    </row>
    <row r="118" spans="1:6" ht="13.5">
      <c r="A118" s="2857">
        <v>44</v>
      </c>
      <c r="B118" s="3494" t="s">
        <v>2731</v>
      </c>
      <c r="C118" s="2857" t="s">
        <v>2732</v>
      </c>
      <c r="D118" s="2831" t="s">
        <v>2733</v>
      </c>
      <c r="E118" s="2857">
        <v>0.1</v>
      </c>
      <c r="F118" s="2857">
        <v>15</v>
      </c>
    </row>
    <row r="119" spans="1:6" ht="24">
      <c r="A119" s="2857">
        <v>45</v>
      </c>
      <c r="B119" s="3495"/>
      <c r="C119" s="2831" t="s">
        <v>2734</v>
      </c>
      <c r="D119" s="2831" t="s">
        <v>2735</v>
      </c>
      <c r="E119" s="2857">
        <v>0.1</v>
      </c>
      <c r="F119" s="2857">
        <v>15</v>
      </c>
    </row>
    <row r="120" spans="1:6" ht="24">
      <c r="A120" s="2857">
        <v>46</v>
      </c>
      <c r="B120" s="3494" t="s">
        <v>2736</v>
      </c>
      <c r="C120" s="2857" t="s">
        <v>2737</v>
      </c>
      <c r="D120" s="2831" t="s">
        <v>2738</v>
      </c>
      <c r="E120" s="2857">
        <v>0.1</v>
      </c>
      <c r="F120" s="2857">
        <v>15</v>
      </c>
    </row>
    <row r="121" spans="1:6" ht="24">
      <c r="A121" s="2857">
        <v>47</v>
      </c>
      <c r="B121" s="3495"/>
      <c r="C121" s="2857" t="s">
        <v>2739</v>
      </c>
      <c r="D121" s="2831" t="s">
        <v>2740</v>
      </c>
      <c r="E121" s="2857">
        <v>0.1</v>
      </c>
      <c r="F121" s="2857">
        <v>15</v>
      </c>
    </row>
    <row r="122" spans="1:6" ht="13.5">
      <c r="A122" s="2857">
        <v>48</v>
      </c>
      <c r="B122" s="3494" t="s">
        <v>2741</v>
      </c>
      <c r="C122" s="2857" t="s">
        <v>2742</v>
      </c>
      <c r="D122" s="2831" t="s">
        <v>2743</v>
      </c>
      <c r="E122" s="2857">
        <v>0.1</v>
      </c>
      <c r="F122" s="2857">
        <v>15</v>
      </c>
    </row>
    <row r="123" spans="1:6" ht="13.5">
      <c r="A123" s="2857">
        <v>49</v>
      </c>
      <c r="B123" s="3495"/>
      <c r="C123" s="2857" t="s">
        <v>2744</v>
      </c>
      <c r="D123" s="2831" t="s">
        <v>2745</v>
      </c>
      <c r="E123" s="2857">
        <v>0.1</v>
      </c>
      <c r="F123" s="2857">
        <v>15</v>
      </c>
    </row>
    <row r="124" spans="1:6" ht="24">
      <c r="A124" s="2857">
        <v>50</v>
      </c>
      <c r="B124" s="3493" t="s">
        <v>2746</v>
      </c>
      <c r="C124" s="2857" t="s">
        <v>2747</v>
      </c>
      <c r="D124" s="2831" t="s">
        <v>2748</v>
      </c>
      <c r="E124" s="2857">
        <v>0.1</v>
      </c>
      <c r="F124" s="2857">
        <v>15</v>
      </c>
    </row>
    <row r="125" spans="1:6" ht="24">
      <c r="A125" s="2857">
        <v>51</v>
      </c>
      <c r="B125" s="3493"/>
      <c r="C125" s="2857" t="s">
        <v>2749</v>
      </c>
      <c r="D125" s="2831" t="s">
        <v>2750</v>
      </c>
      <c r="E125" s="2857">
        <v>0.1</v>
      </c>
      <c r="F125" s="2857">
        <v>15</v>
      </c>
    </row>
    <row r="126" spans="1:6" ht="24">
      <c r="A126" s="2857">
        <v>52</v>
      </c>
      <c r="B126" s="3493" t="s">
        <v>2751</v>
      </c>
      <c r="C126" s="2857" t="s">
        <v>2752</v>
      </c>
      <c r="D126" s="2831" t="s">
        <v>2753</v>
      </c>
      <c r="E126" s="2857">
        <v>0.1</v>
      </c>
      <c r="F126" s="2857">
        <v>15</v>
      </c>
    </row>
    <row r="127" spans="1:6" ht="24">
      <c r="A127" s="2857">
        <v>53</v>
      </c>
      <c r="B127" s="3493"/>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93" t="s">
        <v>2759</v>
      </c>
      <c r="C129" s="2857" t="s">
        <v>2760</v>
      </c>
      <c r="D129" s="2831" t="s">
        <v>2761</v>
      </c>
      <c r="E129" s="2857">
        <v>0.1</v>
      </c>
      <c r="F129" s="2857">
        <v>15</v>
      </c>
    </row>
    <row r="130" spans="1:6" ht="13.5">
      <c r="A130" s="2857">
        <v>56</v>
      </c>
      <c r="B130" s="3493"/>
      <c r="C130" s="2857" t="s">
        <v>2762</v>
      </c>
      <c r="D130" s="2831" t="s">
        <v>2763</v>
      </c>
      <c r="E130" s="2857">
        <v>0.1</v>
      </c>
      <c r="F130" s="2857">
        <v>15</v>
      </c>
    </row>
    <row r="131" spans="1:6" ht="24">
      <c r="A131" s="2857">
        <v>57</v>
      </c>
      <c r="B131" s="3493"/>
      <c r="C131" s="2857" t="s">
        <v>2764</v>
      </c>
      <c r="D131" s="2831" t="s">
        <v>2765</v>
      </c>
      <c r="E131" s="2857">
        <v>0.1</v>
      </c>
      <c r="F131" s="2857">
        <v>15</v>
      </c>
    </row>
    <row r="132" spans="1:6" ht="24">
      <c r="A132" s="2857">
        <v>58</v>
      </c>
      <c r="B132" s="3493" t="s">
        <v>2766</v>
      </c>
      <c r="C132" s="2857" t="s">
        <v>2767</v>
      </c>
      <c r="D132" s="2831" t="s">
        <v>2768</v>
      </c>
      <c r="E132" s="2857">
        <v>0.1</v>
      </c>
      <c r="F132" s="2857">
        <v>15</v>
      </c>
    </row>
    <row r="133" spans="1:6" ht="13.5">
      <c r="A133" s="2857">
        <v>59</v>
      </c>
      <c r="B133" s="3493"/>
      <c r="C133" s="2857" t="s">
        <v>2769</v>
      </c>
      <c r="D133" s="2831" t="s">
        <v>2770</v>
      </c>
      <c r="E133" s="2857">
        <v>0.1</v>
      </c>
      <c r="F133" s="2857">
        <v>15</v>
      </c>
    </row>
    <row r="134" spans="1:6" ht="13.5">
      <c r="A134" s="2857">
        <v>60</v>
      </c>
      <c r="B134" s="3494" t="s">
        <v>2771</v>
      </c>
      <c r="C134" s="2857" t="s">
        <v>2772</v>
      </c>
      <c r="D134" s="2831" t="s">
        <v>2773</v>
      </c>
      <c r="E134" s="2857">
        <v>0.1</v>
      </c>
      <c r="F134" s="2857">
        <v>15</v>
      </c>
    </row>
    <row r="135" spans="1:6" ht="13.5">
      <c r="A135" s="2857">
        <v>61</v>
      </c>
      <c r="B135" s="3495"/>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93" t="s">
        <v>2779</v>
      </c>
      <c r="C137" s="2857" t="s">
        <v>2780</v>
      </c>
      <c r="D137" s="2831" t="s">
        <v>2781</v>
      </c>
      <c r="E137" s="2857">
        <v>0.1</v>
      </c>
      <c r="F137" s="2857">
        <v>15</v>
      </c>
    </row>
    <row r="138" spans="1:6" ht="13.5">
      <c r="A138" s="2857">
        <v>64</v>
      </c>
      <c r="B138" s="3493"/>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6"/>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0.94220000000000004</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0.89239999999999997</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28875</v>
      </c>
      <c r="C2" s="2" t="s">
        <v>106</v>
      </c>
      <c r="D2" s="191"/>
      <c r="E2" s="191"/>
      <c r="F2" s="191"/>
      <c r="G2" s="191"/>
    </row>
    <row r="3" spans="1:7" s="192" customFormat="1" ht="18" customHeight="1" thickBot="1">
      <c r="A3" s="195" t="s">
        <v>58</v>
      </c>
      <c r="B3" s="196">
        <f ca="1">ROUND(B2*10000/'数据-汇总表'!E3,0)</f>
        <v>2080481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v>
      </c>
      <c r="D10" s="794">
        <f>'数据-汇总表'!E6</f>
        <v>138.79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v>
      </c>
      <c r="D19" s="204">
        <f>'数据-汇总表'!E3</f>
        <v>138.79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v>
      </c>
      <c r="D37" s="209">
        <f>'数据-汇总表'!E3</f>
        <v>138.79</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8" t="s">
        <v>94</v>
      </c>
    </row>
    <row r="43" spans="1:7" ht="13.5" customHeight="1">
      <c r="A43" s="733" t="s">
        <v>347</v>
      </c>
      <c r="B43" s="207" t="s">
        <v>426</v>
      </c>
      <c r="C43" s="230">
        <f ca="1">ROUND(IF('数据-取费表'!B22&lt;=1,C39*F22*'数据-取费表'!B21/2,C39*(POWER((1+F22),'数据-取费表'!B21/2)-1)),0)</f>
        <v>0</v>
      </c>
      <c r="D43" s="230"/>
      <c r="E43" s="230"/>
      <c r="F43" s="231"/>
      <c r="G43" s="3369"/>
    </row>
    <row r="44" spans="1:7" ht="13.5" customHeight="1">
      <c r="A44" s="733"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0" t="s">
        <v>341</v>
      </c>
      <c r="B45" s="236" t="s">
        <v>85</v>
      </c>
      <c r="C45" s="237">
        <f>C46</f>
        <v>14</v>
      </c>
      <c r="D45" s="227">
        <f>C47</f>
        <v>4.0000000000000001E-3</v>
      </c>
      <c r="E45" s="228" t="s">
        <v>102</v>
      </c>
      <c r="F45" s="238"/>
      <c r="G45" s="239" t="s">
        <v>434</v>
      </c>
    </row>
    <row r="46" spans="1:7" s="206" customFormat="1" ht="13.5" customHeight="1">
      <c r="A46" s="733" t="s">
        <v>349</v>
      </c>
      <c r="B46" s="240" t="s">
        <v>427</v>
      </c>
      <c r="C46" s="241">
        <f>ROUND((C33+C39)*F27,0)</f>
        <v>14</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93</v>
      </c>
      <c r="D49" s="224"/>
      <c r="E49" s="224"/>
      <c r="F49" s="256"/>
      <c r="G49" s="226" t="s">
        <v>435</v>
      </c>
    </row>
    <row r="50" spans="1:7" s="250" customFormat="1" ht="24">
      <c r="A50" s="730" t="s">
        <v>344</v>
      </c>
      <c r="B50" s="202" t="s">
        <v>97</v>
      </c>
      <c r="C50" s="224"/>
      <c r="D50" s="224"/>
      <c r="E50" s="224"/>
      <c r="F50" s="256">
        <f>IF('数据-取费表'!B24=0,'数据-取费表'!N16,1)</f>
        <v>0.84</v>
      </c>
      <c r="G50" s="239" t="s">
        <v>98</v>
      </c>
    </row>
    <row r="51" spans="1:7" ht="16.5" customHeight="1">
      <c r="A51" s="730" t="s">
        <v>345</v>
      </c>
      <c r="B51" s="202" t="s">
        <v>105</v>
      </c>
      <c r="C51" s="224">
        <f ca="1">ROUND(C49*F50,0)</f>
        <v>78</v>
      </c>
      <c r="D51" s="224"/>
      <c r="E51" s="224"/>
      <c r="F51" s="256"/>
      <c r="G51" s="226" t="s">
        <v>37</v>
      </c>
    </row>
    <row r="52" spans="1:7" s="200" customFormat="1" ht="16.5" thickBot="1">
      <c r="A52" s="257" t="s">
        <v>38</v>
      </c>
      <c r="B52" s="258"/>
      <c r="C52" s="259">
        <f ca="1">C31+C51</f>
        <v>28875</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7" t="s">
        <v>3171</v>
      </c>
      <c r="B1" s="3507"/>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8" t="s">
        <v>3222</v>
      </c>
      <c r="B1" s="3508"/>
      <c r="C1" s="3508"/>
      <c r="D1" s="3508"/>
      <c r="E1" s="3508"/>
      <c r="F1" s="3509"/>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45898</v>
      </c>
      <c r="B1" s="2929" t="s">
        <v>3366</v>
      </c>
      <c r="C1" s="2930"/>
      <c r="D1" s="2930"/>
      <c r="E1" s="2930"/>
      <c r="F1" s="2930"/>
      <c r="G1" s="2930"/>
      <c r="H1" s="2930"/>
      <c r="I1" s="2930"/>
      <c r="J1" s="2896"/>
      <c r="K1" s="2930" t="s">
        <v>454</v>
      </c>
      <c r="L1" s="2930"/>
      <c r="M1" s="2930"/>
      <c r="N1" s="2930"/>
      <c r="O1" s="2930"/>
      <c r="P1" s="2930"/>
      <c r="Q1" s="2896"/>
      <c r="R1" s="3510" t="s">
        <v>456</v>
      </c>
      <c r="S1" s="3511"/>
      <c r="T1" s="3511"/>
      <c r="U1" s="3511"/>
      <c r="V1" s="3511"/>
      <c r="W1" s="3511"/>
      <c r="X1" s="2896"/>
      <c r="Y1" s="3510" t="s">
        <v>457</v>
      </c>
      <c r="Z1" s="3511"/>
      <c r="AA1" s="3511"/>
      <c r="AB1" s="3511"/>
      <c r="AC1" s="3511"/>
      <c r="AD1" s="3511"/>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3393</v>
      </c>
      <c r="AG2" t="s">
        <v>673</v>
      </c>
      <c r="AH2" t="s">
        <v>21</v>
      </c>
      <c r="AI2" t="s">
        <v>3394</v>
      </c>
      <c r="AJ2" t="s">
        <v>3</v>
      </c>
      <c r="AK2" t="s">
        <v>3395</v>
      </c>
      <c r="AM2" t="s">
        <v>3393</v>
      </c>
      <c r="AN2" t="s">
        <v>673</v>
      </c>
      <c r="AO2" t="s">
        <v>21</v>
      </c>
      <c r="AP2" t="s">
        <v>3394</v>
      </c>
      <c r="AQ2" t="s">
        <v>3</v>
      </c>
      <c r="AR2" t="s">
        <v>3395</v>
      </c>
    </row>
    <row r="3" spans="1:44" s="2886" customFormat="1" ht="12.75">
      <c r="A3" s="2884" t="s">
        <v>2809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3369</v>
      </c>
    </row>
    <row r="27" spans="1:44">
      <c r="I27" s="1404" t="s">
        <v>2815</v>
      </c>
    </row>
    <row r="29" spans="1:44" s="2008" customFormat="1" ht="12.75">
      <c r="B29" s="2929" t="s">
        <v>3367</v>
      </c>
      <c r="C29" s="2930"/>
      <c r="D29" s="2930"/>
      <c r="E29" s="2930"/>
      <c r="F29" s="2930"/>
      <c r="G29" s="2930"/>
      <c r="H29" s="2930"/>
      <c r="I29" s="2930"/>
      <c r="J29" s="2896"/>
      <c r="K29" s="2930" t="s">
        <v>2816</v>
      </c>
      <c r="L29" s="2930"/>
      <c r="M29" s="2930"/>
      <c r="N29" s="2930"/>
      <c r="O29" s="2930"/>
      <c r="P29" s="2930"/>
      <c r="Q29" s="2896"/>
      <c r="R29" s="3510" t="s">
        <v>2817</v>
      </c>
      <c r="S29" s="3511"/>
      <c r="T29" s="3511"/>
      <c r="U29" s="3511"/>
      <c r="V29" s="3511"/>
      <c r="W29" s="3511"/>
      <c r="X29" s="2896"/>
      <c r="Y29" s="3510" t="s">
        <v>2818</v>
      </c>
      <c r="Z29" s="3511"/>
      <c r="AA29" s="3511"/>
      <c r="AB29" s="3511"/>
      <c r="AC29" s="3511"/>
      <c r="AD29" s="3511"/>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3394</v>
      </c>
      <c r="AJ30"/>
      <c r="AK30" t="s">
        <v>3395</v>
      </c>
      <c r="AN30" t="s">
        <v>673</v>
      </c>
      <c r="AO30" t="s">
        <v>21</v>
      </c>
      <c r="AP30" t="s">
        <v>3394</v>
      </c>
      <c r="AQ30"/>
      <c r="AR30" t="s">
        <v>3395</v>
      </c>
    </row>
    <row r="31" spans="1:44" s="2886" customFormat="1" ht="12.75">
      <c r="A31" s="2884" t="s">
        <v>2824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3" t="s">
        <v>2829</v>
      </c>
      <c r="B1" s="3523"/>
      <c r="C1" s="3523"/>
      <c r="D1" s="3523"/>
      <c r="E1" s="3523"/>
      <c r="F1" s="3523"/>
      <c r="G1" s="3524"/>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21"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22"/>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45898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800" t="s">
        <v>925</v>
      </c>
      <c r="E3" s="800" t="s">
        <v>931</v>
      </c>
      <c r="F3" s="800" t="s">
        <v>925</v>
      </c>
      <c r="G3" s="800" t="s">
        <v>926</v>
      </c>
      <c r="H3" s="800" t="s">
        <v>925</v>
      </c>
      <c r="I3" s="800" t="s">
        <v>926</v>
      </c>
    </row>
    <row r="4" spans="1:9" ht="15">
      <c r="A4" s="1402" t="str">
        <f>项目基本情况!S2</f>
        <v>北京市房地产</v>
      </c>
      <c r="B4" s="800">
        <f>项目基本情况!C17</f>
        <v>138.79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房地产抵押价值</v>
      </c>
      <c r="B8" s="3199"/>
      <c r="C8" s="3199"/>
      <c r="D8" s="3199" t="e">
        <f ca="1">结果表!D122</f>
        <v>#REF!</v>
      </c>
      <c r="E8" s="3199"/>
      <c r="F8" s="3199"/>
      <c r="G8" s="3199"/>
      <c r="H8" s="3199"/>
      <c r="I8" s="3199"/>
    </row>
    <row r="9" spans="1:9" ht="15">
      <c r="A9" s="3200" t="s">
        <v>927</v>
      </c>
      <c r="B9" s="3200"/>
      <c r="C9" s="3200"/>
      <c r="D9" s="3200" t="e">
        <f ca="1">结果表!D123</f>
        <v>#REF!</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
      </c>
      <c r="B12" s="3199"/>
      <c r="C12" s="3199"/>
      <c r="D12" s="3199" t="str">
        <f>结果表!D126</f>
        <v>——</v>
      </c>
      <c r="E12" s="3199"/>
      <c r="F12" s="3199"/>
      <c r="G12" s="3199"/>
      <c r="H12" s="3199"/>
      <c r="I12" s="3199"/>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2" t="s">
        <v>949</v>
      </c>
      <c r="B1" s="3212"/>
      <c r="C1" s="3212"/>
      <c r="D1" s="3212"/>
    </row>
    <row r="2" spans="1:4" ht="18">
      <c r="A2" s="3213" t="s">
        <v>933</v>
      </c>
      <c r="B2" s="3213"/>
      <c r="C2" s="3213"/>
      <c r="D2" s="321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3" t="s">
        <v>939</v>
      </c>
      <c r="B6" s="3213"/>
      <c r="C6" s="3213"/>
      <c r="D6" s="321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0" t="s">
        <v>956</v>
      </c>
      <c r="B15" s="3215" t="s">
        <v>109</v>
      </c>
      <c r="C15" s="3216"/>
    </row>
    <row r="16" spans="1:7" ht="13.5">
      <c r="A16" s="3221"/>
      <c r="B16" s="3215" t="s">
        <v>42</v>
      </c>
      <c r="C16" s="3216"/>
    </row>
    <row r="17" spans="1:3" ht="13.5">
      <c r="A17" s="3221"/>
      <c r="B17" s="3218" t="s">
        <v>957</v>
      </c>
      <c r="C17" s="1428" t="s">
        <v>956</v>
      </c>
    </row>
    <row r="18" spans="1:3" ht="13.5">
      <c r="A18" s="3221"/>
      <c r="B18" s="3218"/>
      <c r="C18" s="1428" t="s">
        <v>958</v>
      </c>
    </row>
    <row r="19" spans="1:3" ht="13.5">
      <c r="A19" s="3221"/>
      <c r="B19" s="3218"/>
      <c r="C19" s="1428" t="s">
        <v>959</v>
      </c>
    </row>
    <row r="20" spans="1:3" ht="13.5">
      <c r="A20" s="3222"/>
      <c r="B20" s="3217" t="s">
        <v>960</v>
      </c>
      <c r="C20" s="3216"/>
    </row>
    <row r="21" spans="1:3" ht="13.5">
      <c r="A21" s="1429" t="s">
        <v>961</v>
      </c>
      <c r="B21" s="1430"/>
      <c r="C21" s="1431"/>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8" t="s">
        <v>967</v>
      </c>
    </row>
    <row r="26" spans="1:3" ht="13.5">
      <c r="A26" s="3219"/>
      <c r="B26" s="3218"/>
      <c r="C26" s="1428" t="s">
        <v>968</v>
      </c>
    </row>
    <row r="27" spans="1:3" ht="13.5">
      <c r="A27" s="3219"/>
      <c r="B27" s="3218"/>
      <c r="C27" s="1428" t="s">
        <v>969</v>
      </c>
    </row>
    <row r="28" spans="1:3" ht="13.5">
      <c r="A28" s="3219"/>
      <c r="B28" s="3218"/>
      <c r="C28" s="1428" t="s">
        <v>970</v>
      </c>
    </row>
    <row r="29" spans="1:3" ht="13.5">
      <c r="A29" s="3219"/>
      <c r="B29" s="3218"/>
      <c r="C29" s="1428" t="s">
        <v>971</v>
      </c>
    </row>
    <row r="30" spans="1:3" ht="13.5">
      <c r="A30" s="3219"/>
      <c r="B30" s="3218"/>
      <c r="C30" s="1428" t="s">
        <v>972</v>
      </c>
    </row>
    <row r="31" spans="1:3" ht="13.5">
      <c r="A31" s="3219"/>
      <c r="B31" s="3218"/>
      <c r="C31" s="1428" t="s">
        <v>973</v>
      </c>
    </row>
    <row r="32" spans="1:3" ht="13.5">
      <c r="A32" s="3219"/>
      <c r="B32" s="3218"/>
      <c r="C32" s="1428" t="s">
        <v>974</v>
      </c>
    </row>
    <row r="33" spans="1:3" ht="13.5">
      <c r="A33" s="3219"/>
      <c r="B33" s="321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45903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59"/>
      <c r="E18" s="3225" t="s">
        <v>2161</v>
      </c>
      <c r="F18" s="3224"/>
      <c r="G18" s="3224"/>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租金比较法</vt:lpstr>
      <vt:lpstr>Sheet2</vt:lpstr>
      <vt:lpstr>Sheet4</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2025-09-03T01:46:29Z</dcterms:modified>
</cp:coreProperties>
</file>