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codeName="ThisWorkbook" defaultThemeVersion="124226"/>
  <mc:AlternateContent xmlns:mc="http://schemas.openxmlformats.org/markup-compatibility/2006">
    <mc:Choice Requires="x15">
      <x15ac:absPath xmlns:x15ac="http://schemas.microsoft.com/office/spreadsheetml/2010/11/ac" url="E:\2025\进行中\2025-1-0017-F01-通州运河园路办公-陈宁-北京银行\"/>
    </mc:Choice>
  </mc:AlternateContent>
  <xr:revisionPtr revIDLastSave="0" documentId="13_ncr:1_{C2182D21-F5A7-44DA-8B5F-A52BA81D7B57}" xr6:coauthVersionLast="47" xr6:coauthVersionMax="47" xr10:uidLastSave="{00000000-0000-0000-0000-000000000000}"/>
  <bookViews>
    <workbookView xWindow="-108" yWindow="-108" windowWidth="20376" windowHeight="12216" tabRatio="899" firstSheet="13"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收益法 (元)" sheetId="67" r:id="rId21"/>
    <sheet name="中指+住建委" sheetId="81" r:id="rId22"/>
    <sheet name="案例+信息" sheetId="80" r:id="rId23"/>
    <sheet name="成本法 (元)" sheetId="69" r:id="rId24"/>
    <sheet name="假设开发法" sheetId="12" state="hidden" r:id="rId25"/>
    <sheet name="收益法" sheetId="15" state="hidden" r:id="rId26"/>
    <sheet name="基准地价修正" sheetId="43"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19"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6">基准地价修正!$A$1:$J$44,基准地价修正!$A$47:$H$101,基准地价修正!$R$1:$V$16</definedName>
    <definedName name="_xlnm.Print_Area" localSheetId="24">假设开发法!$A$1:$K$32</definedName>
    <definedName name="_xlnm.Print_Area" localSheetId="17">结果表!$A$1:$I$127</definedName>
    <definedName name="_xlnm.Print_Area" localSheetId="25">收益法!$A$1:$F$43,收益法!$H$3:$M$29,收益法!$A$46:$F$71,收益法!$I$46:$N$65</definedName>
    <definedName name="_xlnm.Print_Area" localSheetId="20">'收益法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I7" i="34"/>
  <c r="I37" i="34"/>
  <c r="G37" i="34"/>
  <c r="E37" i="34"/>
  <c r="C37" i="34"/>
  <c r="F105" i="34"/>
  <c r="E105" i="34"/>
  <c r="C105" i="34"/>
  <c r="J67" i="34"/>
  <c r="I67" i="34" s="1"/>
  <c r="H67" i="34" s="1"/>
  <c r="G67" i="34" s="1"/>
  <c r="F67" i="34" s="1"/>
  <c r="E67" i="34" s="1"/>
  <c r="D67" i="34" s="1"/>
  <c r="C67" i="34" s="1"/>
  <c r="K67" i="34"/>
  <c r="C34" i="34"/>
  <c r="G7" i="34"/>
  <c r="J49" i="67"/>
  <c r="D33" i="43"/>
  <c r="N6" i="1"/>
  <c r="Y6" i="1" s="1"/>
  <c r="M19" i="1"/>
  <c r="B21" i="1"/>
  <c r="F19" i="6"/>
  <c r="B59" i="1"/>
  <c r="D3" i="4"/>
  <c r="C60" i="78"/>
  <c r="D60" i="78" s="1"/>
  <c r="D53" i="78"/>
  <c r="D52" i="78"/>
  <c r="D51" i="78" s="1"/>
  <c r="B51" i="78"/>
  <c r="B56" i="78" s="1"/>
  <c r="B55" i="78" l="1"/>
  <c r="D55" i="78" s="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A28" i="79" l="1"/>
  <c r="AD28" i="79" s="1"/>
  <c r="T34" i="79"/>
  <c r="W34" i="79" s="1"/>
  <c r="AD41" i="79"/>
  <c r="S42" i="79"/>
  <c r="U44" i="79"/>
  <c r="AD45" i="79"/>
  <c r="AD32" i="79"/>
  <c r="AD31" i="79"/>
  <c r="Z3" i="79"/>
  <c r="U40"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AB27"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O36" i="71"/>
  <c r="N36" i="71"/>
  <c r="Q35" i="71"/>
  <c r="AB35" i="71"/>
  <c r="P35" i="71"/>
  <c r="AA35" i="71" s="1"/>
  <c r="O35" i="71"/>
  <c r="N35" i="71"/>
  <c r="Q34" i="71"/>
  <c r="AB34" i="71"/>
  <c r="P34" i="71"/>
  <c r="AA34" i="71" s="1"/>
  <c r="O34" i="71"/>
  <c r="N34" i="71"/>
  <c r="Q33" i="71"/>
  <c r="F34" i="71" s="1"/>
  <c r="F35" i="71" s="1"/>
  <c r="F36" i="71" s="1"/>
  <c r="V36" i="71" s="1"/>
  <c r="P33" i="71"/>
  <c r="O33" i="71"/>
  <c r="N33" i="71"/>
  <c r="X25"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X26" i="71" s="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E66" i="71" s="1"/>
  <c r="Q28" i="71"/>
  <c r="C63" i="71"/>
  <c r="C64" i="71" s="1"/>
  <c r="D62" i="71"/>
  <c r="T68" i="71"/>
  <c r="O68" i="71"/>
  <c r="D68" i="71"/>
  <c r="C67" i="71"/>
  <c r="D67" i="71" s="1"/>
  <c r="Q68" i="71"/>
  <c r="E71" i="71"/>
  <c r="E70" i="71"/>
  <c r="D72" i="71"/>
  <c r="C75" i="71"/>
  <c r="D76" i="71"/>
  <c r="D80" i="71"/>
  <c r="C87" i="71"/>
  <c r="C86" i="71" s="1"/>
  <c r="D86" i="71" s="1"/>
  <c r="F28" i="71"/>
  <c r="F27" i="71"/>
  <c r="F26" i="71"/>
  <c r="AA3" i="71"/>
  <c r="D63" i="71"/>
  <c r="D75" i="71"/>
  <c r="C74" i="71"/>
  <c r="D74" i="71" s="1"/>
  <c r="D87" i="7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18" i="36"/>
  <c r="H25" i="40"/>
  <c r="AB25" i="40" s="1"/>
  <c r="J25" i="40"/>
  <c r="H29" i="39"/>
  <c r="AB29" i="39" s="1"/>
  <c r="J29" i="39"/>
  <c r="AC29" i="39" s="1"/>
  <c r="J18" i="36"/>
  <c r="AC18" i="36" s="1"/>
  <c r="H18" i="35"/>
  <c r="AB18" i="35" s="1"/>
  <c r="J18" i="35"/>
  <c r="W18" i="35" s="1"/>
  <c r="H21" i="37"/>
  <c r="F21" i="37"/>
  <c r="AA21" i="37" s="1"/>
  <c r="H21" i="34"/>
  <c r="AB21" i="34" s="1"/>
  <c r="H21" i="33"/>
  <c r="U21" i="33" s="1"/>
  <c r="F21" i="33"/>
  <c r="E83" i="21"/>
  <c r="F83" i="21" s="1"/>
  <c r="H1" i="69"/>
  <c r="AC25" i="40"/>
  <c r="W25" i="40"/>
  <c r="U25" i="40"/>
  <c r="W18" i="36"/>
  <c r="AB21" i="37"/>
  <c r="U21" i="37"/>
  <c r="AB21" i="33"/>
  <c r="AC18" i="35"/>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A448" i="3" s="1"/>
  <c r="AZ448" i="3" s="1"/>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6" i="39" s="1"/>
  <c r="AC36" i="39" s="1"/>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E101" i="37" s="1"/>
  <c r="F101" i="37" s="1"/>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s="1"/>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c r="B81" i="40"/>
  <c r="H14" i="40" s="1"/>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B108" i="37"/>
  <c r="J38" i="37" s="1"/>
  <c r="AC38" i="37" s="1"/>
  <c r="C23" i="37"/>
  <c r="C19" i="37"/>
  <c r="C17" i="37"/>
  <c r="C15" i="37"/>
  <c r="B112" i="37"/>
  <c r="D107" i="37"/>
  <c r="E107" i="37"/>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F24" i="36" s="1"/>
  <c r="AA24" i="36" s="1"/>
  <c r="B71" i="36"/>
  <c r="H23" i="36" s="1"/>
  <c r="D70" i="36"/>
  <c r="H22" i="36"/>
  <c r="AB22" i="36" s="1"/>
  <c r="D68" i="36"/>
  <c r="E68" i="36" s="1"/>
  <c r="F68" i="36" s="1"/>
  <c r="G68" i="36" s="1"/>
  <c r="D64" i="36"/>
  <c r="E64" i="36" s="1"/>
  <c r="F64" i="36" s="1"/>
  <c r="G64" i="36" s="1"/>
  <c r="J16" i="36"/>
  <c r="W16" i="36" s="1"/>
  <c r="D62" i="36"/>
  <c r="E62" i="36"/>
  <c r="F62" i="36" s="1"/>
  <c r="G62" i="36" s="1"/>
  <c r="B59" i="36"/>
  <c r="B57" i="36"/>
  <c r="H12" i="36" s="1"/>
  <c r="U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c r="H24" i="36"/>
  <c r="AB24" i="36" s="1"/>
  <c r="Q23" i="36"/>
  <c r="Z23" i="36" s="1"/>
  <c r="J23" i="36"/>
  <c r="AC23" i="36" s="1"/>
  <c r="AB23" i="36"/>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B99" i="35"/>
  <c r="B97" i="35"/>
  <c r="B77" i="35"/>
  <c r="J25" i="35" s="1"/>
  <c r="B75" i="35"/>
  <c r="J24" i="35" s="1"/>
  <c r="AC24" i="35" s="1"/>
  <c r="B73" i="35"/>
  <c r="J23" i="35" s="1"/>
  <c r="AC23" i="35" s="1"/>
  <c r="H23" i="35"/>
  <c r="U23" i="35" s="1"/>
  <c r="B57" i="35"/>
  <c r="F11" i="35" s="1"/>
  <c r="S11" i="35" s="1"/>
  <c r="B61" i="35"/>
  <c r="B59" i="35"/>
  <c r="F12" i="35" s="1"/>
  <c r="B131" i="34"/>
  <c r="B129" i="34"/>
  <c r="J46" i="34" s="1"/>
  <c r="B127" i="34"/>
  <c r="B99" i="34"/>
  <c r="B97" i="34"/>
  <c r="H31" i="34" s="1"/>
  <c r="B95" i="34"/>
  <c r="B93" i="34"/>
  <c r="B75" i="34"/>
  <c r="B73" i="34"/>
  <c r="B71" i="34"/>
  <c r="F12" i="34" s="1"/>
  <c r="S12" i="34" s="1"/>
  <c r="B130" i="33"/>
  <c r="B128" i="33"/>
  <c r="B126" i="33"/>
  <c r="F44" i="33" s="1"/>
  <c r="B98" i="33"/>
  <c r="F31" i="33" s="1"/>
  <c r="B96" i="33"/>
  <c r="B94" i="33"/>
  <c r="B74" i="33"/>
  <c r="J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c r="Q40" i="34"/>
  <c r="Z40" i="34" s="1"/>
  <c r="Q39" i="34"/>
  <c r="Z39" i="34" s="1"/>
  <c r="H39" i="34"/>
  <c r="AB39" i="34" s="1"/>
  <c r="Q38" i="34"/>
  <c r="Z38" i="34" s="1"/>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F10" i="34"/>
  <c r="AA10" i="34" s="1"/>
  <c r="Q9" i="34"/>
  <c r="Z9" i="34" s="1"/>
  <c r="H9" i="34"/>
  <c r="AB9" i="34" s="1"/>
  <c r="J8" i="34"/>
  <c r="AC8" i="34" s="1"/>
  <c r="H8" i="34"/>
  <c r="U8" i="34" s="1"/>
  <c r="F8" i="34"/>
  <c r="AA8" i="34" s="1"/>
  <c r="D121" i="33"/>
  <c r="E121" i="33"/>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s="1"/>
  <c r="J40" i="33"/>
  <c r="AC40" i="33" s="1"/>
  <c r="H40" i="33"/>
  <c r="AB40" i="33"/>
  <c r="AA40" i="33"/>
  <c r="Q39" i="33"/>
  <c r="Z39" i="33" s="1"/>
  <c r="J39" i="33"/>
  <c r="AC39" i="33" s="1"/>
  <c r="Q38" i="33"/>
  <c r="Z38" i="33" s="1"/>
  <c r="J38" i="33"/>
  <c r="AC38" i="33"/>
  <c r="H38" i="33"/>
  <c r="AB38" i="33" s="1"/>
  <c r="F38" i="33"/>
  <c r="AA38" i="33" s="1"/>
  <c r="Q37" i="33"/>
  <c r="Z37" i="33" s="1"/>
  <c r="Q36" i="33"/>
  <c r="Z36" i="33" s="1"/>
  <c r="Q35" i="33"/>
  <c r="Z35" i="33" s="1"/>
  <c r="H35" i="33"/>
  <c r="U35" i="33" s="1"/>
  <c r="Q34" i="33"/>
  <c r="Z34" i="33" s="1"/>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B79" i="43"/>
  <c r="C18" i="20"/>
  <c r="B94" i="43" s="1"/>
  <c r="C17" i="20"/>
  <c r="B61" i="43" s="1"/>
  <c r="C16" i="20"/>
  <c r="C17" i="39" s="1"/>
  <c r="C15" i="20"/>
  <c r="E54" i="21"/>
  <c r="F54" i="21" s="1"/>
  <c r="I54" i="21"/>
  <c r="J54" i="21" s="1"/>
  <c r="G54" i="21"/>
  <c r="H54" i="21" s="1"/>
  <c r="D125" i="21"/>
  <c r="E125" i="21" s="1"/>
  <c r="F125" i="21" s="1"/>
  <c r="G125" i="21" s="1"/>
  <c r="D123" i="21"/>
  <c r="E123" i="21"/>
  <c r="F123" i="21" s="1"/>
  <c r="G123" i="21" s="1"/>
  <c r="H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B130" i="21"/>
  <c r="B128" i="21"/>
  <c r="J45" i="21"/>
  <c r="W45" i="21" s="1"/>
  <c r="B126" i="21"/>
  <c r="B98" i="21"/>
  <c r="H31" i="21" s="1"/>
  <c r="B96" i="21"/>
  <c r="J30" i="21" s="1"/>
  <c r="B94" i="21"/>
  <c r="J29" i="21" s="1"/>
  <c r="AC29" i="21" s="1"/>
  <c r="B92" i="21"/>
  <c r="J28" i="21" s="1"/>
  <c r="W28" i="21" s="1"/>
  <c r="B90" i="21"/>
  <c r="B74" i="21"/>
  <c r="J14" i="21" s="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43" i="21"/>
  <c r="S43" i="21" s="1"/>
  <c r="H38" i="21"/>
  <c r="U38" i="21" s="1"/>
  <c r="H43" i="21"/>
  <c r="AB43" i="21" s="1"/>
  <c r="F38" i="21"/>
  <c r="S38" i="2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c r="F26" i="21"/>
  <c r="S26" i="21" s="1"/>
  <c r="AB41" i="21"/>
  <c r="S41" i="21"/>
  <c r="AA41" i="21"/>
  <c r="F45" i="39"/>
  <c r="S45" i="39"/>
  <c r="J45" i="39"/>
  <c r="W45" i="39" s="1"/>
  <c r="F36" i="39"/>
  <c r="S36" i="39" s="1"/>
  <c r="H36" i="39"/>
  <c r="AB36" i="39" s="1"/>
  <c r="F35" i="39"/>
  <c r="AA35" i="39" s="1"/>
  <c r="U9" i="39"/>
  <c r="W40" i="39"/>
  <c r="W25" i="37"/>
  <c r="U30" i="37"/>
  <c r="W31" i="37"/>
  <c r="E103" i="37"/>
  <c r="F103" i="37" s="1"/>
  <c r="G103" i="37" s="1"/>
  <c r="H103" i="37" s="1"/>
  <c r="I103" i="37" s="1"/>
  <c r="J103" i="37" s="1"/>
  <c r="K103" i="37" s="1"/>
  <c r="L103" i="37" s="1"/>
  <c r="M103" i="37" s="1"/>
  <c r="F29" i="36"/>
  <c r="AA29" i="36" s="1"/>
  <c r="F16" i="36"/>
  <c r="AA16" i="36" s="1"/>
  <c r="W28" i="36"/>
  <c r="H22" i="35"/>
  <c r="AB22" i="35" s="1"/>
  <c r="AC27" i="35"/>
  <c r="W28" i="35"/>
  <c r="U31" i="35"/>
  <c r="W22" i="35"/>
  <c r="U34" i="35"/>
  <c r="F36" i="34"/>
  <c r="AA36" i="34" s="1"/>
  <c r="J35" i="34"/>
  <c r="AC35" i="34" s="1"/>
  <c r="H39" i="33"/>
  <c r="AB39" i="33" s="1"/>
  <c r="U33" i="33"/>
  <c r="W33" i="33"/>
  <c r="W39" i="33"/>
  <c r="H39" i="37"/>
  <c r="AB39" i="37" s="1"/>
  <c r="S27" i="35"/>
  <c r="F11" i="40"/>
  <c r="AA11" i="40" s="1"/>
  <c r="H11" i="40"/>
  <c r="AB11" i="40" s="1"/>
  <c r="W8" i="40"/>
  <c r="AB39" i="40"/>
  <c r="S34" i="40"/>
  <c r="U38"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H32" i="33"/>
  <c r="AB32" i="33"/>
  <c r="H11" i="21"/>
  <c r="U11" i="21" s="1"/>
  <c r="J11" i="21"/>
  <c r="W11" i="21" s="1"/>
  <c r="H37" i="40"/>
  <c r="U37" i="40"/>
  <c r="H36" i="40"/>
  <c r="AB36" i="40" s="1"/>
  <c r="F35" i="40"/>
  <c r="AA35" i="40" s="1"/>
  <c r="H23" i="40"/>
  <c r="AB23" i="40" s="1"/>
  <c r="H17" i="40"/>
  <c r="U17" i="40" s="1"/>
  <c r="J15" i="40"/>
  <c r="W15" i="40" s="1"/>
  <c r="J11" i="40"/>
  <c r="AC11" i="40" s="1"/>
  <c r="AB12" i="35"/>
  <c r="AB12" i="36"/>
  <c r="W32" i="40"/>
  <c r="F37" i="39"/>
  <c r="AA37" i="39" s="1"/>
  <c r="J34" i="36"/>
  <c r="W34" i="36"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12" i="36"/>
  <c r="AA12" i="36" s="1"/>
  <c r="F34" i="36"/>
  <c r="S34" i="36" s="1"/>
  <c r="F14" i="35"/>
  <c r="AA14" i="35" s="1"/>
  <c r="F23" i="35"/>
  <c r="AA23" i="35" s="1"/>
  <c r="J32" i="35"/>
  <c r="AC32" i="35" s="1"/>
  <c r="J16" i="35"/>
  <c r="AC16" i="35" s="1"/>
  <c r="H16" i="35"/>
  <c r="U16" i="35"/>
  <c r="F16" i="35"/>
  <c r="S16" i="35" s="1"/>
  <c r="H14" i="35"/>
  <c r="AB14" i="35"/>
  <c r="J29" i="35"/>
  <c r="H33" i="35"/>
  <c r="J20" i="35"/>
  <c r="W20" i="35"/>
  <c r="F35" i="37"/>
  <c r="S35" i="37" s="1"/>
  <c r="G101" i="37"/>
  <c r="H101" i="37" s="1"/>
  <c r="I101" i="37" s="1"/>
  <c r="J101" i="37" s="1"/>
  <c r="K101" i="37" s="1"/>
  <c r="L101" i="37" s="1"/>
  <c r="M101" i="37" s="1"/>
  <c r="J34" i="37"/>
  <c r="W34" i="37"/>
  <c r="AB34" i="37"/>
  <c r="J33" i="37"/>
  <c r="AC33" i="37" s="1"/>
  <c r="H40" i="34"/>
  <c r="U40" i="34" s="1"/>
  <c r="E114" i="34"/>
  <c r="H36" i="34"/>
  <c r="U36" i="34" s="1"/>
  <c r="F37" i="34"/>
  <c r="AA37" i="34" s="1"/>
  <c r="F28" i="34"/>
  <c r="F25" i="34"/>
  <c r="S25" i="34" s="1"/>
  <c r="H23" i="34"/>
  <c r="AB23" i="34" s="1"/>
  <c r="J23" i="34"/>
  <c r="W23" i="34" s="1"/>
  <c r="F19" i="34"/>
  <c r="AA19" i="34" s="1"/>
  <c r="H17" i="34"/>
  <c r="AB17" i="34" s="1"/>
  <c r="F15" i="34"/>
  <c r="AA15" i="34" s="1"/>
  <c r="J15" i="34"/>
  <c r="W15" i="34" s="1"/>
  <c r="H15" i="34"/>
  <c r="AB15" i="34" s="1"/>
  <c r="F41" i="33"/>
  <c r="AA41" i="33"/>
  <c r="S38" i="33"/>
  <c r="E113" i="33"/>
  <c r="F32" i="33"/>
  <c r="AA32" i="33"/>
  <c r="J19" i="33"/>
  <c r="AC19" i="33" s="1"/>
  <c r="J15" i="33"/>
  <c r="AC15" i="33"/>
  <c r="F11" i="33"/>
  <c r="AA11" i="33" s="1"/>
  <c r="U40" i="33"/>
  <c r="W40" i="33"/>
  <c r="F37" i="40"/>
  <c r="AA37" i="40" s="1"/>
  <c r="F36" i="40"/>
  <c r="AA36" i="40"/>
  <c r="H28" i="40"/>
  <c r="U28" i="40" s="1"/>
  <c r="F23" i="40"/>
  <c r="AA23" i="40"/>
  <c r="F17" i="40"/>
  <c r="AA17" i="40" s="1"/>
  <c r="J17" i="40"/>
  <c r="W17" i="40"/>
  <c r="F15" i="40"/>
  <c r="S15" i="40" s="1"/>
  <c r="H15" i="40"/>
  <c r="AB15" i="40" s="1"/>
  <c r="S12" i="36"/>
  <c r="AB30" i="36"/>
  <c r="F29" i="35"/>
  <c r="S29" i="35" s="1"/>
  <c r="H29" i="35"/>
  <c r="AB29" i="35" s="1"/>
  <c r="H33" i="37"/>
  <c r="F33" i="37"/>
  <c r="AA33" i="37" s="1"/>
  <c r="U34" i="37"/>
  <c r="S34" i="37"/>
  <c r="AA34" i="37"/>
  <c r="J43" i="34"/>
  <c r="W43" i="34" s="1"/>
  <c r="J40" i="34"/>
  <c r="W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41" i="33"/>
  <c r="F113" i="33"/>
  <c r="G113" i="33"/>
  <c r="H113" i="33"/>
  <c r="I113" i="33" s="1"/>
  <c r="J113" i="33" s="1"/>
  <c r="K113" i="33" s="1"/>
  <c r="L113" i="33" s="1"/>
  <c r="M113" i="33" s="1"/>
  <c r="H37" i="33"/>
  <c r="AB37" i="33"/>
  <c r="H15" i="33"/>
  <c r="AB15" i="33" s="1"/>
  <c r="H11" i="33"/>
  <c r="AB11" i="33" s="1"/>
  <c r="F28" i="40"/>
  <c r="AA28" i="40"/>
  <c r="AA29" i="35"/>
  <c r="AA42" i="34"/>
  <c r="S42" i="34"/>
  <c r="J37" i="34"/>
  <c r="AC37" i="34" s="1"/>
  <c r="J11" i="33"/>
  <c r="W11" i="33" s="1"/>
  <c r="I123" i="21"/>
  <c r="J123" i="21" s="1"/>
  <c r="K123" i="21" s="1"/>
  <c r="L123" i="21" s="1"/>
  <c r="M123" i="21"/>
  <c r="J42" i="21"/>
  <c r="AC42" i="21"/>
  <c r="H42" i="21"/>
  <c r="U42" i="21"/>
  <c r="J44" i="34"/>
  <c r="W44" i="34" s="1"/>
  <c r="F44" i="34"/>
  <c r="AA44" i="34" s="1"/>
  <c r="J10" i="35"/>
  <c r="AC10" i="35" s="1"/>
  <c r="W14" i="21"/>
  <c r="F14" i="21"/>
  <c r="S14" i="21" s="1"/>
  <c r="H14" i="21"/>
  <c r="U14" i="21" s="1"/>
  <c r="H28" i="21"/>
  <c r="AB28" i="21" s="1"/>
  <c r="F28" i="21"/>
  <c r="AA28" i="21"/>
  <c r="H30" i="21"/>
  <c r="U30" i="21"/>
  <c r="F30" i="21"/>
  <c r="S30" i="21" s="1"/>
  <c r="AC30" i="21"/>
  <c r="J44" i="21"/>
  <c r="AC44" i="21" s="1"/>
  <c r="H44" i="21"/>
  <c r="U44" i="21" s="1"/>
  <c r="F44" i="21"/>
  <c r="AA44" i="21" s="1"/>
  <c r="H46" i="21"/>
  <c r="U46" i="21" s="1"/>
  <c r="J46" i="21"/>
  <c r="F46" i="21"/>
  <c r="AA46" i="21"/>
  <c r="E119" i="21"/>
  <c r="F119" i="21" s="1"/>
  <c r="G119" i="21" s="1"/>
  <c r="H119" i="21" s="1"/>
  <c r="I119" i="21" s="1"/>
  <c r="J119" i="21" s="1"/>
  <c r="K119" i="21" s="1"/>
  <c r="L119" i="21" s="1"/>
  <c r="M119" i="21" s="1"/>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H29" i="21"/>
  <c r="U29" i="21"/>
  <c r="J31" i="21"/>
  <c r="AC31" i="21" s="1"/>
  <c r="F31" i="21"/>
  <c r="S31" i="21"/>
  <c r="F45" i="21"/>
  <c r="AA45" i="21" s="1"/>
  <c r="F27" i="33"/>
  <c r="AA27" i="33" s="1"/>
  <c r="J13" i="33"/>
  <c r="H13" i="33"/>
  <c r="U13" i="33" s="1"/>
  <c r="F13" i="33"/>
  <c r="S13" i="33" s="1"/>
  <c r="J29" i="33"/>
  <c r="H29" i="33"/>
  <c r="U29" i="33" s="1"/>
  <c r="F29" i="33"/>
  <c r="S29" i="33" s="1"/>
  <c r="J31" i="33"/>
  <c r="W31" i="33"/>
  <c r="H31" i="33"/>
  <c r="H45" i="33"/>
  <c r="U45" i="33" s="1"/>
  <c r="J45" i="33"/>
  <c r="W45" i="33" s="1"/>
  <c r="F45" i="33"/>
  <c r="AA45" i="33"/>
  <c r="J14" i="34"/>
  <c r="W14" i="34" s="1"/>
  <c r="F14" i="34"/>
  <c r="S14" i="34" s="1"/>
  <c r="H14" i="34"/>
  <c r="H30" i="34"/>
  <c r="F30" i="34"/>
  <c r="S30" i="34" s="1"/>
  <c r="J30" i="34"/>
  <c r="H32" i="34"/>
  <c r="F32" i="34"/>
  <c r="J32" i="34"/>
  <c r="W32" i="34" s="1"/>
  <c r="H46" i="34"/>
  <c r="U46" i="34" s="1"/>
  <c r="F46" i="34"/>
  <c r="H11" i="35"/>
  <c r="AB11" i="35" s="1"/>
  <c r="J11" i="35"/>
  <c r="W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H36" i="37"/>
  <c r="AB36" i="37" s="1"/>
  <c r="F107" i="37"/>
  <c r="J37" i="37"/>
  <c r="AC37" i="37" s="1"/>
  <c r="H37" i="37"/>
  <c r="U37" i="37" s="1"/>
  <c r="H40" i="37"/>
  <c r="U40" i="37" s="1"/>
  <c r="J40" i="37"/>
  <c r="AC40" i="37"/>
  <c r="F40" i="37"/>
  <c r="AA40" i="37" s="1"/>
  <c r="AC12" i="40"/>
  <c r="H14" i="33"/>
  <c r="U14" i="33" s="1"/>
  <c r="F14" i="33"/>
  <c r="S14" i="33" s="1"/>
  <c r="H30" i="33"/>
  <c r="AB30" i="33" s="1"/>
  <c r="F30" i="33"/>
  <c r="J30" i="33"/>
  <c r="H44" i="33"/>
  <c r="J44" i="33"/>
  <c r="AC44" i="33"/>
  <c r="J46" i="33"/>
  <c r="AC46" i="33"/>
  <c r="F46" i="33"/>
  <c r="AA46" i="33" s="1"/>
  <c r="H46" i="33"/>
  <c r="AB46" i="33"/>
  <c r="H13" i="34"/>
  <c r="U13" i="34" s="1"/>
  <c r="J13" i="34"/>
  <c r="W13" i="34" s="1"/>
  <c r="F13" i="34"/>
  <c r="AA13" i="34" s="1"/>
  <c r="J29" i="34"/>
  <c r="AC29" i="34" s="1"/>
  <c r="F29" i="34"/>
  <c r="S29" i="34" s="1"/>
  <c r="H29" i="34"/>
  <c r="AB29" i="34" s="1"/>
  <c r="J31" i="34"/>
  <c r="W31" i="34" s="1"/>
  <c r="F31" i="34"/>
  <c r="S31" i="34" s="1"/>
  <c r="H45" i="34"/>
  <c r="U45" i="34" s="1"/>
  <c r="J45" i="34"/>
  <c r="W45" i="34" s="1"/>
  <c r="F45" i="34"/>
  <c r="S45" i="34" s="1"/>
  <c r="H47" i="34"/>
  <c r="U47" i="34" s="1"/>
  <c r="F47" i="34"/>
  <c r="S47" i="34" s="1"/>
  <c r="J47" i="34"/>
  <c r="AC47" i="34" s="1"/>
  <c r="F13" i="35"/>
  <c r="J13" i="35"/>
  <c r="AC13" i="35"/>
  <c r="H13" i="35"/>
  <c r="U13" i="35" s="1"/>
  <c r="W25" i="35"/>
  <c r="F25" i="35"/>
  <c r="S25" i="35" s="1"/>
  <c r="H25" i="35"/>
  <c r="AB25" i="35" s="1"/>
  <c r="J35" i="35"/>
  <c r="AC35" i="35" s="1"/>
  <c r="F35" i="35"/>
  <c r="AA35" i="35" s="1"/>
  <c r="H35" i="35"/>
  <c r="J25" i="36"/>
  <c r="W25" i="36"/>
  <c r="F25" i="36"/>
  <c r="S25" i="36" s="1"/>
  <c r="H25" i="36"/>
  <c r="AB25" i="36"/>
  <c r="H13" i="37"/>
  <c r="AB13" i="37" s="1"/>
  <c r="F13" i="37"/>
  <c r="S13" i="37" s="1"/>
  <c r="J13" i="37"/>
  <c r="W13" i="37" s="1"/>
  <c r="F28" i="37"/>
  <c r="AA28" i="37" s="1"/>
  <c r="J28" i="37"/>
  <c r="AC28" i="37" s="1"/>
  <c r="H28" i="37"/>
  <c r="H38" i="37"/>
  <c r="AB38" i="37" s="1"/>
  <c r="F38" i="37"/>
  <c r="S38" i="37" s="1"/>
  <c r="F43" i="39"/>
  <c r="AA43" i="39" s="1"/>
  <c r="J14" i="39"/>
  <c r="AC14" i="39" s="1"/>
  <c r="F14" i="39"/>
  <c r="H14" i="39"/>
  <c r="AB14" i="39" s="1"/>
  <c r="F12" i="40"/>
  <c r="S12" i="40" s="1"/>
  <c r="H12" i="40"/>
  <c r="AB12" i="40" s="1"/>
  <c r="H30" i="40"/>
  <c r="AB30" i="40"/>
  <c r="F33" i="40"/>
  <c r="AA33" i="40" s="1"/>
  <c r="H33" i="40"/>
  <c r="U33" i="40" s="1"/>
  <c r="J35" i="40"/>
  <c r="AC35" i="40" s="1"/>
  <c r="J37" i="40"/>
  <c r="AC37" i="40"/>
  <c r="H13" i="40"/>
  <c r="U13" i="40" s="1"/>
  <c r="J13" i="40"/>
  <c r="W13" i="40" s="1"/>
  <c r="F13" i="40"/>
  <c r="AA13" i="40" s="1"/>
  <c r="F14" i="37"/>
  <c r="AA14" i="37" s="1"/>
  <c r="S14" i="37"/>
  <c r="F27" i="37"/>
  <c r="AA27" i="37" s="1"/>
  <c r="F13" i="39"/>
  <c r="J13" i="39"/>
  <c r="W13" i="39" s="1"/>
  <c r="H13" i="39"/>
  <c r="AB14" i="40"/>
  <c r="J14" i="40"/>
  <c r="W14" i="40" s="1"/>
  <c r="F14" i="40"/>
  <c r="AA14" i="40" s="1"/>
  <c r="J14" i="37"/>
  <c r="J27" i="37"/>
  <c r="AC27" i="37"/>
  <c r="U46" i="33"/>
  <c r="J36" i="37"/>
  <c r="AC36" i="37" s="1"/>
  <c r="J10" i="36"/>
  <c r="AC10" i="36" s="1"/>
  <c r="AB30" i="21"/>
  <c r="S11" i="36"/>
  <c r="S45" i="33"/>
  <c r="AB45" i="33"/>
  <c r="AC28" i="21"/>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AZ498" i="3" s="1"/>
  <c r="BL494" i="3"/>
  <c r="BL582" i="3"/>
  <c r="BL578" i="3"/>
  <c r="BL574" i="3"/>
  <c r="BL570" i="3"/>
  <c r="BL566" i="3"/>
  <c r="BL562" i="3"/>
  <c r="BL556" i="3"/>
  <c r="AZ556" i="3" s="1"/>
  <c r="BL552" i="3"/>
  <c r="BL544" i="3"/>
  <c r="BL540" i="3"/>
  <c r="BL536" i="3"/>
  <c r="G533" i="3"/>
  <c r="BL532" i="3"/>
  <c r="G529" i="3"/>
  <c r="BL528" i="3"/>
  <c r="G525" i="3"/>
  <c r="BL524" i="3"/>
  <c r="BL518" i="3"/>
  <c r="BL514" i="3"/>
  <c r="BL510" i="3"/>
  <c r="BL504" i="3"/>
  <c r="BL500" i="3"/>
  <c r="BL496" i="3"/>
  <c r="G493" i="3"/>
  <c r="BA584" i="3"/>
  <c r="BA582" i="3"/>
  <c r="BA580" i="3"/>
  <c r="AZ580" i="3" s="1"/>
  <c r="BA578" i="3"/>
  <c r="BA576" i="3"/>
  <c r="AZ576" i="3" s="1"/>
  <c r="BA574" i="3"/>
  <c r="BA572" i="3"/>
  <c r="AZ572" i="3" s="1"/>
  <c r="BA570" i="3"/>
  <c r="AZ570" i="3" s="1"/>
  <c r="BA568" i="3"/>
  <c r="AZ568" i="3" s="1"/>
  <c r="BA566" i="3"/>
  <c r="BA564" i="3"/>
  <c r="AZ564" i="3" s="1"/>
  <c r="BA562" i="3"/>
  <c r="BA560" i="3"/>
  <c r="AZ560" i="3" s="1"/>
  <c r="BA558" i="3"/>
  <c r="AZ558" i="3"/>
  <c r="BA556" i="3"/>
  <c r="BA554" i="3"/>
  <c r="AZ554" i="3"/>
  <c r="BA552" i="3"/>
  <c r="AZ552" i="3"/>
  <c r="BA548" i="3"/>
  <c r="BA546" i="3"/>
  <c r="AZ546" i="3" s="1"/>
  <c r="BA544" i="3"/>
  <c r="AZ544" i="3"/>
  <c r="BA542" i="3"/>
  <c r="AZ542" i="3"/>
  <c r="BA540" i="3"/>
  <c r="BA538" i="3"/>
  <c r="AZ538" i="3" s="1"/>
  <c r="BA536" i="3"/>
  <c r="AZ536" i="3" s="1"/>
  <c r="BA534" i="3"/>
  <c r="AZ534" i="3" s="1"/>
  <c r="BA532" i="3"/>
  <c r="AZ532" i="3" s="1"/>
  <c r="BA530" i="3"/>
  <c r="BA528" i="3"/>
  <c r="BA526" i="3"/>
  <c r="AZ526" i="3" s="1"/>
  <c r="BA524" i="3"/>
  <c r="BA522" i="3"/>
  <c r="BA520" i="3"/>
  <c r="BA518" i="3"/>
  <c r="AZ518" i="3" s="1"/>
  <c r="BA516" i="3"/>
  <c r="BA514" i="3"/>
  <c r="BA512" i="3"/>
  <c r="AZ512" i="3"/>
  <c r="BA510" i="3"/>
  <c r="AZ510" i="3"/>
  <c r="BA508" i="3"/>
  <c r="BA506" i="3"/>
  <c r="BA504" i="3"/>
  <c r="AZ504" i="3"/>
  <c r="BA502" i="3"/>
  <c r="BA500" i="3"/>
  <c r="BA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BQ571" i="3"/>
  <c r="BL571" i="3"/>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c r="BQ535" i="3"/>
  <c r="BL535" i="3" s="1"/>
  <c r="AZ535" i="3" s="1"/>
  <c r="BQ533" i="3"/>
  <c r="BL533" i="3" s="1"/>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A13" i="33"/>
  <c r="AC31" i="33"/>
  <c r="AC45" i="33"/>
  <c r="W44" i="33"/>
  <c r="U11" i="33"/>
  <c r="U19" i="21"/>
  <c r="W44" i="21"/>
  <c r="AB38" i="21"/>
  <c r="F43" i="33"/>
  <c r="AA43" i="33"/>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s="1"/>
  <c r="AT6" i="3"/>
  <c r="AA25" i="21"/>
  <c r="H19" i="40"/>
  <c r="U19" i="40" s="1"/>
  <c r="F88" i="40"/>
  <c r="G88" i="40" s="1"/>
  <c r="F19" i="40"/>
  <c r="S19" i="40" s="1"/>
  <c r="S14" i="40"/>
  <c r="AC13" i="40"/>
  <c r="AB33" i="40"/>
  <c r="W23" i="39"/>
  <c r="U45" i="39"/>
  <c r="AB45" i="39"/>
  <c r="G100" i="39"/>
  <c r="H37" i="39"/>
  <c r="U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BL394" i="3"/>
  <c r="G113" i="3"/>
  <c r="BA115" i="3"/>
  <c r="BL116" i="3"/>
  <c r="G117" i="3"/>
  <c r="BA119" i="3"/>
  <c r="BL120" i="3"/>
  <c r="G121" i="3"/>
  <c r="BA123" i="3"/>
  <c r="BL124" i="3"/>
  <c r="AZ124" i="3" s="1"/>
  <c r="G125" i="3"/>
  <c r="BA127" i="3"/>
  <c r="BL128" i="3"/>
  <c r="G129" i="3"/>
  <c r="BA131" i="3"/>
  <c r="BL132" i="3"/>
  <c r="AZ132" i="3" s="1"/>
  <c r="G133" i="3"/>
  <c r="BA135" i="3"/>
  <c r="AZ135" i="3" s="1"/>
  <c r="BL136" i="3"/>
  <c r="G137" i="3"/>
  <c r="BA139" i="3"/>
  <c r="BL140" i="3"/>
  <c r="G141" i="3"/>
  <c r="BA143" i="3"/>
  <c r="BL144" i="3"/>
  <c r="G145" i="3"/>
  <c r="BA147" i="3"/>
  <c r="BL148" i="3"/>
  <c r="G149" i="3"/>
  <c r="BA151" i="3"/>
  <c r="BL152" i="3"/>
  <c r="G153" i="3"/>
  <c r="BA155" i="3"/>
  <c r="BL156" i="3"/>
  <c r="AZ156" i="3" s="1"/>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c r="BL196" i="3"/>
  <c r="G197" i="3"/>
  <c r="BA199" i="3"/>
  <c r="BL200" i="3"/>
  <c r="G201" i="3"/>
  <c r="BA203" i="3"/>
  <c r="BL204" i="3"/>
  <c r="AZ168" i="3"/>
  <c r="AZ120" i="3"/>
  <c r="G534" i="3"/>
  <c r="G530" i="3"/>
  <c r="G522" i="3"/>
  <c r="G516" i="3"/>
  <c r="G512" i="3"/>
  <c r="G506" i="3"/>
  <c r="G498" i="3"/>
  <c r="G494" i="3"/>
  <c r="G16" i="3"/>
  <c r="G15" i="3"/>
  <c r="BA304" i="3"/>
  <c r="BA305" i="3"/>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AZ346" i="3" s="1"/>
  <c r="BA347" i="3"/>
  <c r="BL347" i="3"/>
  <c r="AZ347" i="3" s="1"/>
  <c r="G350" i="3"/>
  <c r="BA351" i="3"/>
  <c r="BL351" i="3"/>
  <c r="AZ351" i="3" s="1"/>
  <c r="G352" i="3"/>
  <c r="G354" i="3"/>
  <c r="BA355" i="3"/>
  <c r="AZ355" i="3"/>
  <c r="BA356" i="3"/>
  <c r="BL356" i="3"/>
  <c r="G357" i="3"/>
  <c r="G360" i="3"/>
  <c r="BL361" i="3"/>
  <c r="AZ361" i="3" s="1"/>
  <c r="BA363" i="3"/>
  <c r="BA364" i="3"/>
  <c r="BL364" i="3"/>
  <c r="G365" i="3"/>
  <c r="G368" i="3"/>
  <c r="BL369" i="3"/>
  <c r="BA371" i="3"/>
  <c r="BA372" i="3"/>
  <c r="AZ372" i="3" s="1"/>
  <c r="BL372" i="3"/>
  <c r="G373" i="3"/>
  <c r="G376" i="3"/>
  <c r="BL377" i="3"/>
  <c r="AZ377" i="3" s="1"/>
  <c r="BL379" i="3"/>
  <c r="BA381" i="3"/>
  <c r="AZ381" i="3"/>
  <c r="BA382" i="3"/>
  <c r="BL382" i="3"/>
  <c r="G383" i="3"/>
  <c r="G386" i="3"/>
  <c r="BL387" i="3"/>
  <c r="BA389" i="3"/>
  <c r="AZ389" i="3" s="1"/>
  <c r="BA390" i="3"/>
  <c r="BL390" i="3"/>
  <c r="AZ390" i="3" s="1"/>
  <c r="G391" i="3"/>
  <c r="G394" i="3"/>
  <c r="AZ194" i="3"/>
  <c r="AZ198" i="3"/>
  <c r="AZ500" i="3"/>
  <c r="BA16" i="3"/>
  <c r="BL303" i="3"/>
  <c r="G304" i="3"/>
  <c r="BA306" i="3"/>
  <c r="BL307" i="3"/>
  <c r="G308" i="3"/>
  <c r="BA310" i="3"/>
  <c r="BL311" i="3"/>
  <c r="AZ311" i="3" s="1"/>
  <c r="G312" i="3"/>
  <c r="BA314" i="3"/>
  <c r="BL315" i="3"/>
  <c r="AZ315" i="3"/>
  <c r="G316" i="3"/>
  <c r="BA318" i="3"/>
  <c r="AZ318" i="3" s="1"/>
  <c r="BL319" i="3"/>
  <c r="AZ319" i="3" s="1"/>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BL352" i="3"/>
  <c r="G353" i="3"/>
  <c r="BA357" i="3"/>
  <c r="BL358" i="3"/>
  <c r="G359" i="3"/>
  <c r="BA361" i="3"/>
  <c r="BL362" i="3"/>
  <c r="AZ362" i="3" s="1"/>
  <c r="G363" i="3"/>
  <c r="BA365" i="3"/>
  <c r="BL366" i="3"/>
  <c r="G367" i="3"/>
  <c r="BA369" i="3"/>
  <c r="AZ369" i="3"/>
  <c r="BL370" i="3"/>
  <c r="G371" i="3"/>
  <c r="BA373" i="3"/>
  <c r="AZ373" i="3"/>
  <c r="BL374" i="3"/>
  <c r="G375" i="3"/>
  <c r="BA377" i="3"/>
  <c r="AZ237" i="3"/>
  <c r="AZ257" i="3"/>
  <c r="AZ265" i="3"/>
  <c r="BA379" i="3"/>
  <c r="AZ379" i="3" s="1"/>
  <c r="BL380" i="3"/>
  <c r="G381" i="3"/>
  <c r="BA383" i="3"/>
  <c r="AZ383" i="3" s="1"/>
  <c r="BL384" i="3"/>
  <c r="AZ384" i="3" s="1"/>
  <c r="G385" i="3"/>
  <c r="BA387" i="3"/>
  <c r="BL388" i="3"/>
  <c r="G389" i="3"/>
  <c r="BA391" i="3"/>
  <c r="BL392" i="3"/>
  <c r="AZ392" i="3" s="1"/>
  <c r="G393" i="3"/>
  <c r="AZ283" i="3"/>
  <c r="AZ291" i="3"/>
  <c r="BO5" i="3"/>
  <c r="BM5" i="3"/>
  <c r="F29" i="6" s="1"/>
  <c r="BJ5" i="3"/>
  <c r="BH5" i="3"/>
  <c r="BF5" i="3"/>
  <c r="BD5" i="3"/>
  <c r="AZ325" i="3"/>
  <c r="AZ341" i="3"/>
  <c r="AC5" i="3"/>
  <c r="AZ506" i="3"/>
  <c r="AZ496" i="3"/>
  <c r="G548" i="3"/>
  <c r="G538" i="3"/>
  <c r="G520" i="3"/>
  <c r="G502" i="3"/>
  <c r="BS5" i="3"/>
  <c r="BP5" i="3"/>
  <c r="BN5" i="3"/>
  <c r="BK5" i="3"/>
  <c r="BI5" i="3"/>
  <c r="BG5" i="3"/>
  <c r="BE5" i="3"/>
  <c r="BC5" i="3"/>
  <c r="G17" i="3"/>
  <c r="BA17" i="3"/>
  <c r="BT5" i="3"/>
  <c r="AZ356" i="3"/>
  <c r="BA15" i="3"/>
  <c r="AZ15" i="3" s="1"/>
  <c r="BB5" i="3"/>
  <c r="BR5" i="3"/>
  <c r="AZ499" i="3"/>
  <c r="AZ509" i="3"/>
  <c r="G509" i="3"/>
  <c r="BL493" i="3"/>
  <c r="AZ493" i="3"/>
  <c r="U36" i="40"/>
  <c r="F83" i="43"/>
  <c r="H85" i="43" s="1"/>
  <c r="F50" i="43"/>
  <c r="H54" i="43" s="1"/>
  <c r="F72" i="43"/>
  <c r="H75" i="43" s="1"/>
  <c r="U17" i="39"/>
  <c r="S14" i="35"/>
  <c r="U43" i="21"/>
  <c r="U35" i="21"/>
  <c r="AC35" i="21"/>
  <c r="AC11" i="39"/>
  <c r="AZ501" i="3"/>
  <c r="W37" i="37"/>
  <c r="S15" i="37"/>
  <c r="U13" i="37"/>
  <c r="U12" i="40"/>
  <c r="AA12" i="40"/>
  <c r="J37" i="33"/>
  <c r="AC37" i="33" s="1"/>
  <c r="F106" i="33"/>
  <c r="G106" i="33" s="1"/>
  <c r="H106" i="33" s="1"/>
  <c r="I106" i="33" s="1"/>
  <c r="J106" i="33" s="1"/>
  <c r="K106" i="33" s="1"/>
  <c r="L106" i="33" s="1"/>
  <c r="M106" i="33" s="1"/>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s="1"/>
  <c r="F96" i="37"/>
  <c r="G96" i="37" s="1"/>
  <c r="H96" i="37" s="1"/>
  <c r="I96" i="37" s="1"/>
  <c r="J96" i="37" s="1"/>
  <c r="K96" i="37" s="1"/>
  <c r="L96" i="37" s="1"/>
  <c r="M96" i="37" s="1"/>
  <c r="H27" i="40"/>
  <c r="U27" i="40"/>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80" i="3"/>
  <c r="F23" i="39"/>
  <c r="AA23" i="39"/>
  <c r="H27" i="36"/>
  <c r="U27" i="36" s="1"/>
  <c r="F27" i="36"/>
  <c r="AA27" i="36" s="1"/>
  <c r="H33" i="34"/>
  <c r="U33" i="34" s="1"/>
  <c r="F32" i="37"/>
  <c r="S32" i="37" s="1"/>
  <c r="F20" i="36"/>
  <c r="AA20" i="36" s="1"/>
  <c r="J33" i="34"/>
  <c r="AC33" i="34" s="1"/>
  <c r="H23" i="39"/>
  <c r="U23" i="39" s="1"/>
  <c r="D48" i="9"/>
  <c r="M52" i="9" s="1"/>
  <c r="K9" i="1"/>
  <c r="M9" i="1" s="1"/>
  <c r="K6" i="1"/>
  <c r="AP6" i="1" s="1"/>
  <c r="G29" i="6"/>
  <c r="AC12" i="39"/>
  <c r="W12" i="39"/>
  <c r="AC39" i="40"/>
  <c r="W39" i="40"/>
  <c r="AZ433" i="3"/>
  <c r="W12" i="33"/>
  <c r="AC12" i="33"/>
  <c r="AA32" i="36"/>
  <c r="S32" i="36"/>
  <c r="AZ437" i="3"/>
  <c r="BL14" i="3"/>
  <c r="U30" i="33"/>
  <c r="AC13" i="34"/>
  <c r="AA47" i="34"/>
  <c r="W28" i="37"/>
  <c r="S19" i="39"/>
  <c r="F12" i="33"/>
  <c r="S12" i="33" s="1"/>
  <c r="H12" i="39"/>
  <c r="AB12" i="39"/>
  <c r="F39" i="40"/>
  <c r="BA14" i="3"/>
  <c r="AZ14" i="3" s="1"/>
  <c r="AZ224" i="3"/>
  <c r="AZ297" i="3"/>
  <c r="AZ173" i="3"/>
  <c r="AZ181" i="3"/>
  <c r="B12" i="1"/>
  <c r="E12" i="1" s="1"/>
  <c r="B10" i="1"/>
  <c r="E10" i="1" s="1"/>
  <c r="K12" i="1"/>
  <c r="M12" i="1" s="1"/>
  <c r="S13" i="1"/>
  <c r="AR13" i="1" s="1"/>
  <c r="R13" i="1"/>
  <c r="J51" i="67"/>
  <c r="C42" i="1"/>
  <c r="C24" i="12" s="1"/>
  <c r="AB37" i="40"/>
  <c r="S35" i="40"/>
  <c r="U35" i="40"/>
  <c r="AC36" i="40"/>
  <c r="W38" i="40"/>
  <c r="AA32" i="40"/>
  <c r="S17" i="40"/>
  <c r="S23" i="40"/>
  <c r="AC17" i="40"/>
  <c r="AC15" i="40"/>
  <c r="AB27" i="40"/>
  <c r="S30" i="40"/>
  <c r="S28" i="40"/>
  <c r="AA27" i="40"/>
  <c r="U21" i="40"/>
  <c r="AB19" i="40"/>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AB31" i="37"/>
  <c r="W30" i="37"/>
  <c r="S36" i="37"/>
  <c r="AA38" i="37"/>
  <c r="U32" i="37"/>
  <c r="W38" i="37"/>
  <c r="AC35"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U43" i="34"/>
  <c r="AC42" i="34"/>
  <c r="AB35" i="34"/>
  <c r="U39" i="34"/>
  <c r="S23" i="34"/>
  <c r="S13" i="34"/>
  <c r="H10" i="34"/>
  <c r="AB10" i="34" s="1"/>
  <c r="F11" i="34"/>
  <c r="S11" i="34" s="1"/>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F87" i="33"/>
  <c r="G87" i="33" s="1"/>
  <c r="H87" i="33" s="1"/>
  <c r="H25" i="33"/>
  <c r="F25" i="33"/>
  <c r="J23" i="33"/>
  <c r="AC23" i="33" s="1"/>
  <c r="F85" i="33"/>
  <c r="H23" i="33"/>
  <c r="F81" i="33"/>
  <c r="F19" i="33"/>
  <c r="S19" i="33" s="1"/>
  <c r="W19" i="33"/>
  <c r="J17" i="33"/>
  <c r="S15" i="33"/>
  <c r="W15" i="33"/>
  <c r="U9" i="33"/>
  <c r="J10" i="33"/>
  <c r="W10" i="33" s="1"/>
  <c r="H10" i="33"/>
  <c r="U10" i="33" s="1"/>
  <c r="AC11" i="33"/>
  <c r="AB14" i="33"/>
  <c r="W43" i="21"/>
  <c r="W36" i="21"/>
  <c r="W41" i="21"/>
  <c r="AB39" i="21"/>
  <c r="AA43" i="21"/>
  <c r="S39" i="21"/>
  <c r="AA38" i="21"/>
  <c r="AA36" i="21"/>
  <c r="AC40" i="21"/>
  <c r="J15" i="21"/>
  <c r="AC15" i="21" s="1"/>
  <c r="W15" i="21"/>
  <c r="F77" i="21"/>
  <c r="G77" i="21"/>
  <c r="F23" i="21"/>
  <c r="AA23" i="21" s="1"/>
  <c r="S23" i="21"/>
  <c r="E85" i="21"/>
  <c r="AA14" i="21"/>
  <c r="D120" i="9"/>
  <c r="D121" i="9" s="1"/>
  <c r="D7" i="52" s="1"/>
  <c r="F34" i="67"/>
  <c r="F62" i="67" s="1"/>
  <c r="BA13" i="3"/>
  <c r="BL17" i="3"/>
  <c r="AZ17" i="3"/>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AB11" i="39"/>
  <c r="U11" i="39"/>
  <c r="AA27" i="39"/>
  <c r="S27" i="39"/>
  <c r="W17" i="39"/>
  <c r="AC17" i="39"/>
  <c r="W31" i="39"/>
  <c r="AC31" i="39"/>
  <c r="S23" i="39"/>
  <c r="AA45" i="39"/>
  <c r="AB39" i="39"/>
  <c r="W34" i="39"/>
  <c r="U38" i="39"/>
  <c r="S8" i="39"/>
  <c r="AC25" i="36"/>
  <c r="U32" i="36"/>
  <c r="W29" i="36"/>
  <c r="AC20" i="36"/>
  <c r="U25" i="36"/>
  <c r="AB28" i="36"/>
  <c r="AA13" i="36"/>
  <c r="W9" i="36"/>
  <c r="W22" i="36"/>
  <c r="W23" i="36"/>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7" i="34"/>
  <c r="AC14" i="34"/>
  <c r="AC32" i="34"/>
  <c r="W46" i="34"/>
  <c r="AC46" i="34"/>
  <c r="S32" i="34"/>
  <c r="AA32" i="34"/>
  <c r="U30" i="34"/>
  <c r="AB30" i="34"/>
  <c r="S46" i="34"/>
  <c r="AA46" i="34"/>
  <c r="U32" i="34"/>
  <c r="AB32" i="34"/>
  <c r="U14" i="34"/>
  <c r="AB14" i="34"/>
  <c r="AB28"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AB31" i="21"/>
  <c r="U31" i="21"/>
  <c r="U13" i="21"/>
  <c r="AB13" i="21"/>
  <c r="S35" i="21"/>
  <c r="J37" i="21"/>
  <c r="W37" i="21" s="1"/>
  <c r="H15" i="21"/>
  <c r="U15" i="21"/>
  <c r="J17" i="21"/>
  <c r="AC17" i="21" s="1"/>
  <c r="AC19" i="21"/>
  <c r="W39" i="21"/>
  <c r="AC14" i="21"/>
  <c r="W30" i="21"/>
  <c r="S46" i="21"/>
  <c r="H45" i="21"/>
  <c r="F29" i="21"/>
  <c r="AA29" i="21" s="1"/>
  <c r="F13" i="21"/>
  <c r="AA13" i="21" s="1"/>
  <c r="AC38" i="21"/>
  <c r="H32" i="21"/>
  <c r="U32" i="21" s="1"/>
  <c r="H9" i="2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17" i="21"/>
  <c r="W25" i="21"/>
  <c r="W31" i="21"/>
  <c r="S17" i="21"/>
  <c r="AA15"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AA12" i="33"/>
  <c r="J32" i="39"/>
  <c r="W32" i="39" s="1"/>
  <c r="H32" i="39"/>
  <c r="AB32" i="39" s="1"/>
  <c r="AA32" i="39"/>
  <c r="S32" i="39"/>
  <c r="AB21" i="39"/>
  <c r="U21" i="39"/>
  <c r="AC17" i="37"/>
  <c r="S17" i="37"/>
  <c r="J19" i="37"/>
  <c r="W19" i="37" s="1"/>
  <c r="AA19" i="37"/>
  <c r="AA23" i="37"/>
  <c r="J23" i="37"/>
  <c r="W23" i="37" s="1"/>
  <c r="G79" i="37"/>
  <c r="J10" i="37"/>
  <c r="W10" i="37" s="1"/>
  <c r="G63" i="37"/>
  <c r="H63" i="37" s="1"/>
  <c r="I63" i="37" s="1"/>
  <c r="H11" i="37"/>
  <c r="AB11" i="37" s="1"/>
  <c r="H11" i="34"/>
  <c r="U11" i="34" s="1"/>
  <c r="J10" i="34"/>
  <c r="AC10" i="34" s="1"/>
  <c r="AB41" i="33"/>
  <c r="U41"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c r="J27" i="33"/>
  <c r="W27" i="33" s="1"/>
  <c r="U25" i="33"/>
  <c r="AB25" i="33"/>
  <c r="S25" i="33"/>
  <c r="AA25" i="33"/>
  <c r="I87" i="33"/>
  <c r="J87" i="33" s="1"/>
  <c r="K87" i="33" s="1"/>
  <c r="L87" i="33" s="1"/>
  <c r="M87" i="33" s="1"/>
  <c r="J25" i="33"/>
  <c r="AC25" i="33" s="1"/>
  <c r="AB23" i="33"/>
  <c r="U23" i="33"/>
  <c r="F23" i="33"/>
  <c r="G85" i="33"/>
  <c r="H19" i="33"/>
  <c r="AB19" i="33" s="1"/>
  <c r="G81" i="33"/>
  <c r="H17" i="33"/>
  <c r="U17" i="33" s="1"/>
  <c r="F17" i="33"/>
  <c r="S17" i="33" s="1"/>
  <c r="W17" i="33"/>
  <c r="AC17" i="33"/>
  <c r="S37" i="21"/>
  <c r="AB15" i="21"/>
  <c r="J23" i="21"/>
  <c r="W23" i="21" s="1"/>
  <c r="F85" i="21"/>
  <c r="G85" i="21" s="1"/>
  <c r="H23" i="21"/>
  <c r="S13" i="21"/>
  <c r="D6" i="52"/>
  <c r="AP7" i="1"/>
  <c r="AB9" i="21"/>
  <c r="U9" i="21"/>
  <c r="AA32" i="21"/>
  <c r="W9" i="21"/>
  <c r="AC9" i="21"/>
  <c r="AB32" i="21"/>
  <c r="U32" i="39"/>
  <c r="AC32" i="39"/>
  <c r="J63" i="37"/>
  <c r="K63" i="37" s="1"/>
  <c r="L63" i="37" s="1"/>
  <c r="M63" i="37" s="1"/>
  <c r="J11" i="37"/>
  <c r="AC11" i="37" s="1"/>
  <c r="K70" i="34"/>
  <c r="L70" i="34" s="1"/>
  <c r="M70" i="34" s="1"/>
  <c r="J11" i="34"/>
  <c r="W11" i="34" s="1"/>
  <c r="W25" i="33"/>
  <c r="U19" i="33"/>
  <c r="AA17" i="33"/>
  <c r="U23" i="21"/>
  <c r="AB23" i="21"/>
  <c r="H109" i="9"/>
  <c r="H112" i="9"/>
  <c r="D21" i="53" s="1"/>
  <c r="B39" i="72" s="1"/>
  <c r="H111" i="9"/>
  <c r="D126" i="9" s="1"/>
  <c r="AD3" i="71"/>
  <c r="C22" i="71"/>
  <c r="C21" i="71" s="1"/>
  <c r="D21"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26" i="15"/>
  <c r="C76" i="67"/>
  <c r="F42" i="67"/>
  <c r="B12" i="76"/>
  <c r="E9" i="76"/>
  <c r="E2" i="69"/>
  <c r="F13" i="67"/>
  <c r="B10" i="76"/>
  <c r="M28" i="15"/>
  <c r="F6" i="67"/>
  <c r="F37" i="67"/>
  <c r="M9" i="15"/>
  <c r="F20" i="31"/>
  <c r="M29" i="67"/>
  <c r="F6" i="73"/>
  <c r="F13" i="15"/>
  <c r="F7" i="15"/>
  <c r="F9" i="67"/>
  <c r="E12" i="76"/>
  <c r="AO13" i="1"/>
  <c r="E11" i="76"/>
  <c r="F38" i="15"/>
  <c r="E13" i="76"/>
  <c r="E8" i="76"/>
  <c r="M28" i="67"/>
  <c r="F9" i="15"/>
  <c r="B7" i="76"/>
  <c r="F42" i="15"/>
  <c r="F40" i="67"/>
  <c r="F36" i="67"/>
  <c r="M8" i="15"/>
  <c r="M29" i="15"/>
  <c r="F16" i="67"/>
  <c r="E7" i="76"/>
  <c r="F5" i="73"/>
  <c r="F36" i="15"/>
  <c r="B11" i="76"/>
  <c r="M24" i="15"/>
  <c r="M6" i="67"/>
  <c r="M8" i="67"/>
  <c r="F38" i="67"/>
  <c r="C76" i="15"/>
  <c r="F16" i="15"/>
  <c r="F8" i="15"/>
  <c r="F7" i="67"/>
  <c r="L48" i="15"/>
  <c r="J15" i="15"/>
  <c r="M26" i="67"/>
  <c r="F26" i="67"/>
  <c r="M23" i="67"/>
  <c r="E2" i="68"/>
  <c r="L47" i="15"/>
  <c r="F40" i="15"/>
  <c r="L48" i="67"/>
  <c r="B13" i="76"/>
  <c r="B8" i="76"/>
  <c r="M24" i="67"/>
  <c r="F26" i="15"/>
  <c r="F6" i="15"/>
  <c r="M9" i="67"/>
  <c r="F8" i="67"/>
  <c r="M22" i="15"/>
  <c r="F7" i="73"/>
  <c r="F43" i="15"/>
  <c r="F4" i="73"/>
  <c r="F43" i="67"/>
  <c r="L47" i="67"/>
  <c r="M22" i="67"/>
  <c r="J15" i="67"/>
  <c r="M23" i="15"/>
  <c r="M6" i="15"/>
  <c r="E10" i="76"/>
  <c r="B9" i="76"/>
  <c r="F37" i="15"/>
  <c r="F3" i="73"/>
  <c r="U29" i="34" l="1"/>
  <c r="AA29" i="34"/>
  <c r="W29" i="34"/>
  <c r="AC43" i="34"/>
  <c r="S8" i="34"/>
  <c r="AB45" i="34"/>
  <c r="AC45" i="34"/>
  <c r="AA45" i="34"/>
  <c r="J28" i="34"/>
  <c r="W28" i="34" s="1"/>
  <c r="W8" i="34"/>
  <c r="W41" i="34"/>
  <c r="AA40" i="34"/>
  <c r="S37" i="34"/>
  <c r="AB40" i="34"/>
  <c r="AB36" i="34"/>
  <c r="AA38" i="34"/>
  <c r="AC38" i="34"/>
  <c r="U38" i="34"/>
  <c r="AC40" i="34"/>
  <c r="AB41" i="34"/>
  <c r="S43" i="34"/>
  <c r="AC36" i="34"/>
  <c r="S36" i="34"/>
  <c r="W35" i="34"/>
  <c r="AA35" i="34"/>
  <c r="U34" i="34"/>
  <c r="AB33" i="34"/>
  <c r="W33" i="34"/>
  <c r="AA33" i="34"/>
  <c r="W27" i="34"/>
  <c r="U25" i="34"/>
  <c r="W25" i="34"/>
  <c r="AC44" i="34"/>
  <c r="S44" i="34"/>
  <c r="U28" i="34"/>
  <c r="U27" i="34"/>
  <c r="AA25" i="34"/>
  <c r="AC23" i="34"/>
  <c r="AC15" i="34"/>
  <c r="W19" i="34"/>
  <c r="S19" i="34"/>
  <c r="U15" i="34"/>
  <c r="U23" i="34"/>
  <c r="U21" i="34"/>
  <c r="U19" i="34"/>
  <c r="U17" i="34"/>
  <c r="S17" i="34"/>
  <c r="AC17" i="34"/>
  <c r="U9" i="34"/>
  <c r="AB8" i="34"/>
  <c r="C18" i="9"/>
  <c r="D18" i="9" s="1"/>
  <c r="H5" i="3"/>
  <c r="C40" i="69"/>
  <c r="C21" i="68"/>
  <c r="B41" i="1"/>
  <c r="D93" i="9"/>
  <c r="F34" i="15"/>
  <c r="F62" i="15" s="1"/>
  <c r="M20" i="67"/>
  <c r="J1" i="73"/>
  <c r="AC23" i="21"/>
  <c r="AC27" i="33"/>
  <c r="D22" i="71"/>
  <c r="AC23" i="37"/>
  <c r="U45" i="21"/>
  <c r="AB45" i="21"/>
  <c r="AB34" i="36"/>
  <c r="U34" i="36"/>
  <c r="AA21" i="39"/>
  <c r="D68" i="9"/>
  <c r="F30" i="69"/>
  <c r="F48" i="69" s="1"/>
  <c r="F31" i="12"/>
  <c r="AB20" i="35"/>
  <c r="AA19" i="40"/>
  <c r="AA32" i="37"/>
  <c r="W37" i="33"/>
  <c r="AZ357" i="3"/>
  <c r="AZ322" i="3"/>
  <c r="AZ313" i="3"/>
  <c r="AZ394" i="3"/>
  <c r="AB37" i="39"/>
  <c r="AZ519" i="3"/>
  <c r="AZ573" i="3"/>
  <c r="AA14" i="34"/>
  <c r="AA14" i="33"/>
  <c r="W11" i="40"/>
  <c r="BL585" i="3"/>
  <c r="F26" i="33"/>
  <c r="H26" i="33"/>
  <c r="H33" i="36"/>
  <c r="J33" i="36"/>
  <c r="AC33" i="36" s="1"/>
  <c r="AB31" i="36"/>
  <c r="U31" i="36"/>
  <c r="J39" i="37"/>
  <c r="F39" i="37"/>
  <c r="S39" i="37" s="1"/>
  <c r="H44" i="39"/>
  <c r="J44" i="39"/>
  <c r="AB34" i="40"/>
  <c r="U34" i="40"/>
  <c r="AC31" i="40"/>
  <c r="W31" i="40"/>
  <c r="G570" i="3"/>
  <c r="AZ515" i="3"/>
  <c r="AZ569" i="3"/>
  <c r="AZ571" i="3"/>
  <c r="AZ579" i="3"/>
  <c r="AZ516" i="3"/>
  <c r="AZ524" i="3"/>
  <c r="AB46" i="34"/>
  <c r="AC31" i="34"/>
  <c r="AC11" i="35"/>
  <c r="AB35" i="33"/>
  <c r="H36" i="35"/>
  <c r="H25" i="37"/>
  <c r="F25" i="37"/>
  <c r="U8" i="39"/>
  <c r="AB8" i="39"/>
  <c r="S9" i="40"/>
  <c r="AA9" i="40"/>
  <c r="AA31" i="35"/>
  <c r="S31" i="35"/>
  <c r="M18" i="15"/>
  <c r="M18" i="67"/>
  <c r="F30" i="11"/>
  <c r="C48" i="11" s="1"/>
  <c r="AC39" i="34"/>
  <c r="AA34" i="33"/>
  <c r="AZ387" i="3"/>
  <c r="AZ338" i="3"/>
  <c r="AZ371" i="3"/>
  <c r="AZ305" i="3"/>
  <c r="AZ360" i="3"/>
  <c r="AZ529" i="3"/>
  <c r="AZ585" i="3"/>
  <c r="AA28" i="34"/>
  <c r="S28" i="34"/>
  <c r="J12" i="34"/>
  <c r="H12" i="34"/>
  <c r="AA44" i="39"/>
  <c r="S44" i="39"/>
  <c r="AB9" i="40"/>
  <c r="U9" i="40"/>
  <c r="AB36" i="33"/>
  <c r="AA19" i="33"/>
  <c r="F54" i="9"/>
  <c r="F32" i="15"/>
  <c r="F60" i="15" s="1"/>
  <c r="F52" i="9"/>
  <c r="F30" i="68"/>
  <c r="F48" i="68" s="1"/>
  <c r="S20" i="36"/>
  <c r="S15" i="39"/>
  <c r="AC34" i="33"/>
  <c r="AZ391" i="3"/>
  <c r="AZ364" i="3"/>
  <c r="AZ329" i="3"/>
  <c r="AZ304" i="3"/>
  <c r="AZ306" i="3"/>
  <c r="AZ577" i="3"/>
  <c r="AZ557" i="3"/>
  <c r="AZ513" i="3"/>
  <c r="AZ575" i="3"/>
  <c r="AZ528" i="3"/>
  <c r="AZ566" i="3"/>
  <c r="AZ574" i="3"/>
  <c r="AZ582" i="3"/>
  <c r="AZ540" i="3"/>
  <c r="AZ502" i="3"/>
  <c r="J27" i="21"/>
  <c r="F27" i="21"/>
  <c r="B72" i="43"/>
  <c r="C15" i="39"/>
  <c r="J26" i="33"/>
  <c r="F9" i="34"/>
  <c r="AA9" i="34" s="1"/>
  <c r="J9" i="34"/>
  <c r="S44" i="33"/>
  <c r="AA44" i="33"/>
  <c r="J12" i="36"/>
  <c r="J24" i="36"/>
  <c r="J43" i="39"/>
  <c r="H43" i="39"/>
  <c r="U42" i="34"/>
  <c r="AB42" i="34"/>
  <c r="G585" i="3"/>
  <c r="BL587" i="3"/>
  <c r="AZ587" i="3" s="1"/>
  <c r="BL586" i="3"/>
  <c r="AZ586" i="3" s="1"/>
  <c r="G574" i="3"/>
  <c r="BL16" i="3"/>
  <c r="AZ16" i="3" s="1"/>
  <c r="G403" i="3"/>
  <c r="BA404" i="3"/>
  <c r="BA405" i="3"/>
  <c r="AZ405" i="3" s="1"/>
  <c r="BL409" i="3"/>
  <c r="AZ421" i="3"/>
  <c r="AZ459" i="3"/>
  <c r="AZ483" i="3"/>
  <c r="BA551" i="3"/>
  <c r="AZ551" i="3" s="1"/>
  <c r="BA550" i="3"/>
  <c r="AZ550" i="3" s="1"/>
  <c r="BL548" i="3"/>
  <c r="AZ548" i="3" s="1"/>
  <c r="AZ402" i="3"/>
  <c r="AZ414" i="3"/>
  <c r="AZ419" i="3"/>
  <c r="AZ451" i="3"/>
  <c r="AZ458" i="3"/>
  <c r="AZ462" i="3"/>
  <c r="BA470" i="3"/>
  <c r="G485" i="3"/>
  <c r="BA400" i="3"/>
  <c r="AZ400" i="3" s="1"/>
  <c r="BL401" i="3"/>
  <c r="BA406" i="3"/>
  <c r="AZ406" i="3" s="1"/>
  <c r="G409" i="3"/>
  <c r="BL417" i="3"/>
  <c r="BL418" i="3"/>
  <c r="AZ418" i="3" s="1"/>
  <c r="BA452" i="3"/>
  <c r="G460" i="3"/>
  <c r="BA480" i="3"/>
  <c r="AZ480" i="3" s="1"/>
  <c r="G551" i="3"/>
  <c r="BL550" i="3"/>
  <c r="G542" i="3"/>
  <c r="BA398" i="3"/>
  <c r="AZ398" i="3" s="1"/>
  <c r="BA399" i="3"/>
  <c r="AZ399" i="3" s="1"/>
  <c r="BA401" i="3"/>
  <c r="G404" i="3"/>
  <c r="BL404" i="3"/>
  <c r="BL405" i="3"/>
  <c r="BL408" i="3"/>
  <c r="BA412" i="3"/>
  <c r="AZ412" i="3" s="1"/>
  <c r="BL413" i="3"/>
  <c r="AZ413" i="3" s="1"/>
  <c r="AZ443" i="3"/>
  <c r="BA456" i="3"/>
  <c r="G459" i="3"/>
  <c r="G463" i="3"/>
  <c r="BA466" i="3"/>
  <c r="AZ466" i="3" s="1"/>
  <c r="BA473" i="3"/>
  <c r="BL487" i="3"/>
  <c r="AZ487" i="3" s="1"/>
  <c r="BL410" i="3"/>
  <c r="G412" i="3"/>
  <c r="G418" i="3"/>
  <c r="G419" i="3"/>
  <c r="BA422" i="3"/>
  <c r="G430" i="3"/>
  <c r="BL431" i="3"/>
  <c r="BL434" i="3"/>
  <c r="G437" i="3"/>
  <c r="BL438" i="3"/>
  <c r="BL439" i="3"/>
  <c r="BA441" i="3"/>
  <c r="AZ441" i="3" s="1"/>
  <c r="BL445" i="3"/>
  <c r="BL446" i="3"/>
  <c r="BL449" i="3"/>
  <c r="BL450" i="3"/>
  <c r="BL452" i="3"/>
  <c r="G455" i="3"/>
  <c r="BL456" i="3"/>
  <c r="BA464" i="3"/>
  <c r="AZ464" i="3" s="1"/>
  <c r="BL467" i="3"/>
  <c r="BL468" i="3"/>
  <c r="BL470" i="3"/>
  <c r="G472" i="3"/>
  <c r="G473" i="3"/>
  <c r="BL473" i="3"/>
  <c r="BL474"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22" i="3"/>
  <c r="AZ222" i="3" s="1"/>
  <c r="BA239" i="3"/>
  <c r="BL239" i="3"/>
  <c r="BA245" i="3"/>
  <c r="AZ245" i="3" s="1"/>
  <c r="BL420" i="3"/>
  <c r="BL424" i="3"/>
  <c r="BL428" i="3"/>
  <c r="BL429" i="3"/>
  <c r="BL432" i="3"/>
  <c r="BL435" i="3"/>
  <c r="AZ435" i="3" s="1"/>
  <c r="BL436" i="3"/>
  <c r="BA439" i="3"/>
  <c r="BA440" i="3"/>
  <c r="AZ440" i="3" s="1"/>
  <c r="BA442" i="3"/>
  <c r="BA445" i="3"/>
  <c r="BA447" i="3"/>
  <c r="AZ447" i="3" s="1"/>
  <c r="BA449" i="3"/>
  <c r="BL453" i="3"/>
  <c r="BL454" i="3"/>
  <c r="AZ454" i="3" s="1"/>
  <c r="G458" i="3"/>
  <c r="BL459" i="3"/>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BL219" i="3"/>
  <c r="BA225" i="3"/>
  <c r="BA226" i="3"/>
  <c r="BL240" i="3"/>
  <c r="AZ240" i="3" s="1"/>
  <c r="BL398" i="3"/>
  <c r="G402" i="3"/>
  <c r="BL403" i="3"/>
  <c r="AZ403" i="3" s="1"/>
  <c r="G405" i="3"/>
  <c r="G406" i="3"/>
  <c r="BA408" i="3"/>
  <c r="AZ408" i="3" s="1"/>
  <c r="BA409" i="3"/>
  <c r="AZ409" i="3" s="1"/>
  <c r="BA411" i="3"/>
  <c r="AZ411" i="3" s="1"/>
  <c r="BL414" i="3"/>
  <c r="BL415" i="3"/>
  <c r="AZ415" i="3" s="1"/>
  <c r="BA417" i="3"/>
  <c r="AZ417" i="3" s="1"/>
  <c r="BL421" i="3"/>
  <c r="BL422" i="3"/>
  <c r="BL425" i="3"/>
  <c r="AZ425" i="3" s="1"/>
  <c r="BL426" i="3"/>
  <c r="BA428" i="3"/>
  <c r="BA429" i="3"/>
  <c r="AZ429" i="3" s="1"/>
  <c r="BA430" i="3"/>
  <c r="AZ430" i="3" s="1"/>
  <c r="BA432" i="3"/>
  <c r="AZ432" i="3" s="1"/>
  <c r="BA434" i="3"/>
  <c r="BA436" i="3"/>
  <c r="BA438" i="3"/>
  <c r="G442" i="3"/>
  <c r="BA446" i="3"/>
  <c r="BA450" i="3"/>
  <c r="BA453" i="3"/>
  <c r="AZ453" i="3" s="1"/>
  <c r="BA455" i="3"/>
  <c r="AZ455" i="3" s="1"/>
  <c r="BL457" i="3"/>
  <c r="AZ457" i="3" s="1"/>
  <c r="BL460" i="3"/>
  <c r="AZ460" i="3" s="1"/>
  <c r="BL461" i="3"/>
  <c r="AZ461" i="3" s="1"/>
  <c r="BL463" i="3"/>
  <c r="G465" i="3"/>
  <c r="BA471" i="3"/>
  <c r="G486" i="3"/>
  <c r="G488" i="3"/>
  <c r="BL317" i="3"/>
  <c r="G318" i="3"/>
  <c r="BA349" i="3"/>
  <c r="AZ349" i="3" s="1"/>
  <c r="BA353" i="3"/>
  <c r="AZ353" i="3" s="1"/>
  <c r="BL353" i="3"/>
  <c r="BA358" i="3"/>
  <c r="AZ358" i="3" s="1"/>
  <c r="G362" i="3"/>
  <c r="BL365" i="3"/>
  <c r="AZ365" i="3" s="1"/>
  <c r="G366" i="3"/>
  <c r="BA368" i="3"/>
  <c r="BL368" i="3"/>
  <c r="BA374" i="3"/>
  <c r="AZ374" i="3" s="1"/>
  <c r="BA388" i="3"/>
  <c r="AZ388" i="3" s="1"/>
  <c r="BA396" i="3"/>
  <c r="BA209" i="3"/>
  <c r="G218" i="3"/>
  <c r="BL220" i="3"/>
  <c r="BA241" i="3"/>
  <c r="BL241" i="3"/>
  <c r="BA244" i="3"/>
  <c r="AZ244" i="3" s="1"/>
  <c r="BL244" i="3"/>
  <c r="BA246" i="3"/>
  <c r="BA252" i="3"/>
  <c r="AZ252" i="3" s="1"/>
  <c r="BA254" i="3"/>
  <c r="AZ254" i="3" s="1"/>
  <c r="BA256" i="3"/>
  <c r="BL256" i="3"/>
  <c r="BA258" i="3"/>
  <c r="BL264" i="3"/>
  <c r="BL266" i="3"/>
  <c r="BA268" i="3"/>
  <c r="BA282" i="3"/>
  <c r="AZ282" i="3" s="1"/>
  <c r="BL282" i="3"/>
  <c r="BA284" i="3"/>
  <c r="AZ284" i="3" s="1"/>
  <c r="AZ302" i="3"/>
  <c r="BL127" i="3"/>
  <c r="AZ127" i="3" s="1"/>
  <c r="BA130" i="3"/>
  <c r="BL130" i="3"/>
  <c r="BL217" i="3"/>
  <c r="AZ217" i="3" s="1"/>
  <c r="BA219" i="3"/>
  <c r="AZ219" i="3" s="1"/>
  <c r="BA221" i="3"/>
  <c r="BA223" i="3"/>
  <c r="BL228" i="3"/>
  <c r="AZ228" i="3" s="1"/>
  <c r="BA230" i="3"/>
  <c r="AZ230" i="3" s="1"/>
  <c r="BL232" i="3"/>
  <c r="BL234" i="3"/>
  <c r="BA236" i="3"/>
  <c r="BA238" i="3"/>
  <c r="BA243" i="3"/>
  <c r="BL248" i="3"/>
  <c r="AZ248" i="3" s="1"/>
  <c r="G250" i="3"/>
  <c r="BL250" i="3"/>
  <c r="AZ250" i="3" s="1"/>
  <c r="G252" i="3"/>
  <c r="G254" i="3"/>
  <c r="BA259" i="3"/>
  <c r="AZ259" i="3" s="1"/>
  <c r="BL261" i="3"/>
  <c r="BA263" i="3"/>
  <c r="BA267" i="3"/>
  <c r="AZ267" i="3" s="1"/>
  <c r="BA269" i="3"/>
  <c r="AZ269" i="3" s="1"/>
  <c r="BA271" i="3"/>
  <c r="AZ271" i="3" s="1"/>
  <c r="BL271" i="3"/>
  <c r="BA274" i="3"/>
  <c r="BL274" i="3"/>
  <c r="BA276" i="3"/>
  <c r="BA279" i="3"/>
  <c r="BA281" i="3"/>
  <c r="G286" i="3"/>
  <c r="BL286" i="3"/>
  <c r="AZ286" i="3" s="1"/>
  <c r="G291" i="3"/>
  <c r="BA296" i="3"/>
  <c r="BA116" i="3"/>
  <c r="AZ116" i="3" s="1"/>
  <c r="BA121" i="3"/>
  <c r="AZ121" i="3" s="1"/>
  <c r="BL121" i="3"/>
  <c r="BL123" i="3"/>
  <c r="AZ123" i="3" s="1"/>
  <c r="G127" i="3"/>
  <c r="BA129" i="3"/>
  <c r="BL133" i="3"/>
  <c r="AZ133" i="3" s="1"/>
  <c r="BL134" i="3"/>
  <c r="BA273" i="3"/>
  <c r="AZ273" i="3" s="1"/>
  <c r="BA278" i="3"/>
  <c r="AZ278" i="3" s="1"/>
  <c r="G288" i="3"/>
  <c r="BL292" i="3"/>
  <c r="BA294" i="3"/>
  <c r="AZ294" i="3" s="1"/>
  <c r="BL295" i="3"/>
  <c r="BA298" i="3"/>
  <c r="AZ298" i="3" s="1"/>
  <c r="BL301" i="3"/>
  <c r="AZ301" i="3" s="1"/>
  <c r="BL302" i="3"/>
  <c r="BA114" i="3"/>
  <c r="BA128" i="3"/>
  <c r="AZ128" i="3" s="1"/>
  <c r="BA137" i="3"/>
  <c r="AZ137" i="3" s="1"/>
  <c r="BL138" i="3"/>
  <c r="BA140" i="3"/>
  <c r="AZ140" i="3" s="1"/>
  <c r="BA142" i="3"/>
  <c r="BA148" i="3"/>
  <c r="AZ148" i="3" s="1"/>
  <c r="BL158" i="3"/>
  <c r="BL162" i="3"/>
  <c r="AZ162" i="3" s="1"/>
  <c r="BL221" i="3"/>
  <c r="G222" i="3"/>
  <c r="BL223" i="3"/>
  <c r="G224" i="3"/>
  <c r="BA227" i="3"/>
  <c r="AZ227" i="3" s="1"/>
  <c r="BA229" i="3"/>
  <c r="BL229" i="3"/>
  <c r="BL231" i="3"/>
  <c r="G233" i="3"/>
  <c r="BL233" i="3"/>
  <c r="AZ233" i="3" s="1"/>
  <c r="G235" i="3"/>
  <c r="BL235" i="3"/>
  <c r="AZ235" i="3" s="1"/>
  <c r="BL236" i="3"/>
  <c r="G237" i="3"/>
  <c r="BL238" i="3"/>
  <c r="G239" i="3"/>
  <c r="BL243" i="3"/>
  <c r="G244"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L122" i="3"/>
  <c r="BA126" i="3"/>
  <c r="BA134" i="3"/>
  <c r="BA146" i="3"/>
  <c r="AZ146" i="3" s="1"/>
  <c r="BL149" i="3"/>
  <c r="AZ149" i="3" s="1"/>
  <c r="BL150" i="3"/>
  <c r="AZ150" i="3" s="1"/>
  <c r="BA152" i="3"/>
  <c r="AZ152" i="3" s="1"/>
  <c r="BA154" i="3"/>
  <c r="AZ154" i="3" s="1"/>
  <c r="BL161" i="3"/>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BA31" i="3"/>
  <c r="AZ31" i="3" s="1"/>
  <c r="BA32" i="3"/>
  <c r="G38" i="3"/>
  <c r="BA38" i="3"/>
  <c r="BA41" i="3"/>
  <c r="AZ41" i="3" s="1"/>
  <c r="BA42" i="3"/>
  <c r="G46" i="3"/>
  <c r="G47" i="3"/>
  <c r="BL48" i="3"/>
  <c r="BL54" i="3"/>
  <c r="BL55" i="3"/>
  <c r="AZ55" i="3" s="1"/>
  <c r="G57" i="3"/>
  <c r="G58" i="3"/>
  <c r="BA59" i="3"/>
  <c r="AZ59" i="3" s="1"/>
  <c r="G61" i="3"/>
  <c r="BL61" i="3"/>
  <c r="AZ61" i="3" s="1"/>
  <c r="G64" i="3"/>
  <c r="BA64" i="3"/>
  <c r="AZ64" i="3" s="1"/>
  <c r="G67" i="3"/>
  <c r="BL68" i="3"/>
  <c r="BA69" i="3"/>
  <c r="AZ69" i="3" s="1"/>
  <c r="G72" i="3"/>
  <c r="BL73" i="3"/>
  <c r="BA74" i="3"/>
  <c r="AZ74" i="3" s="1"/>
  <c r="BA75" i="3"/>
  <c r="G81" i="3"/>
  <c r="BL91" i="3"/>
  <c r="BL93" i="3"/>
  <c r="BA100" i="3"/>
  <c r="AZ100" i="3" s="1"/>
  <c r="BA103" i="3"/>
  <c r="AZ103" i="3" s="1"/>
  <c r="BA104" i="3"/>
  <c r="BA109" i="3"/>
  <c r="P65" i="71"/>
  <c r="P66" i="71"/>
  <c r="V24" i="71"/>
  <c r="E23" i="71"/>
  <c r="E22" i="71" s="1"/>
  <c r="E21" i="71" s="1"/>
  <c r="E20" i="71" s="1"/>
  <c r="AZ49" i="3"/>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BL201" i="3"/>
  <c r="AZ201" i="3" s="1"/>
  <c r="BL203" i="3"/>
  <c r="AZ203" i="3" s="1"/>
  <c r="BA204" i="3"/>
  <c r="AZ204" i="3" s="1"/>
  <c r="BA18" i="3"/>
  <c r="G21" i="3"/>
  <c r="BL21" i="3"/>
  <c r="G23" i="3"/>
  <c r="G29" i="3"/>
  <c r="BL29" i="3"/>
  <c r="G33" i="3"/>
  <c r="G34" i="3"/>
  <c r="BA37" i="3"/>
  <c r="G39" i="3"/>
  <c r="BL39" i="3"/>
  <c r="G43" i="3"/>
  <c r="G44" i="3"/>
  <c r="BA45" i="3"/>
  <c r="AZ45" i="3" s="1"/>
  <c r="BA46" i="3"/>
  <c r="BL49" i="3"/>
  <c r="BL50" i="3"/>
  <c r="AZ50" i="3" s="1"/>
  <c r="BL51" i="3"/>
  <c r="AZ51" i="3" s="1"/>
  <c r="G53" i="3"/>
  <c r="BL53" i="3"/>
  <c r="BA56" i="3"/>
  <c r="BA57" i="3"/>
  <c r="BL58" i="3"/>
  <c r="AZ58" i="3" s="1"/>
  <c r="G60" i="3"/>
  <c r="BA60" i="3"/>
  <c r="BA63" i="3"/>
  <c r="AZ63" i="3" s="1"/>
  <c r="BA66" i="3"/>
  <c r="BA71" i="3"/>
  <c r="G76" i="3"/>
  <c r="BL77" i="3"/>
  <c r="AZ77" i="3" s="1"/>
  <c r="BA79" i="3"/>
  <c r="AZ79" i="3" s="1"/>
  <c r="G82" i="3"/>
  <c r="G83" i="3"/>
  <c r="BA84" i="3"/>
  <c r="AZ84" i="3" s="1"/>
  <c r="BL88" i="3"/>
  <c r="AZ88" i="3" s="1"/>
  <c r="G90" i="3"/>
  <c r="BL90" i="3"/>
  <c r="C47" i="71"/>
  <c r="D47" i="71" s="1"/>
  <c r="D46" i="71"/>
  <c r="BL167" i="3"/>
  <c r="AZ167" i="3" s="1"/>
  <c r="BL178" i="3"/>
  <c r="BA180" i="3"/>
  <c r="AZ180" i="3" s="1"/>
  <c r="BL182" i="3"/>
  <c r="AZ182" i="3" s="1"/>
  <c r="BA185" i="3"/>
  <c r="BL191" i="3"/>
  <c r="AZ191" i="3" s="1"/>
  <c r="BA193" i="3"/>
  <c r="BA196" i="3"/>
  <c r="AZ196" i="3" s="1"/>
  <c r="BA205" i="3"/>
  <c r="AZ205" i="3" s="1"/>
  <c r="BL20" i="3"/>
  <c r="BA21" i="3"/>
  <c r="AZ21" i="3" s="1"/>
  <c r="BA25" i="3"/>
  <c r="AZ25" i="3" s="1"/>
  <c r="BA26" i="3"/>
  <c r="BL28" i="3"/>
  <c r="BA29" i="3"/>
  <c r="AZ29" i="3" s="1"/>
  <c r="BA36" i="3"/>
  <c r="BL38" i="3"/>
  <c r="AZ38" i="3" s="1"/>
  <c r="BA39" i="3"/>
  <c r="BL47" i="3"/>
  <c r="AZ47" i="3" s="1"/>
  <c r="BA52" i="3"/>
  <c r="AZ52" i="3" s="1"/>
  <c r="BA53" i="3"/>
  <c r="AZ53" i="3" s="1"/>
  <c r="BA54" i="3"/>
  <c r="BL57" i="3"/>
  <c r="BL62" i="3"/>
  <c r="AZ62" i="3" s="1"/>
  <c r="BL63" i="3"/>
  <c r="BL65" i="3"/>
  <c r="AZ65" i="3" s="1"/>
  <c r="BL66" i="3"/>
  <c r="BL67" i="3"/>
  <c r="AZ67" i="3" s="1"/>
  <c r="BL70" i="3"/>
  <c r="AZ70" i="3" s="1"/>
  <c r="BL71" i="3"/>
  <c r="BL72" i="3"/>
  <c r="AZ72" i="3" s="1"/>
  <c r="BL75" i="3"/>
  <c r="BL81" i="3"/>
  <c r="BA82" i="3"/>
  <c r="AZ82" i="3" s="1"/>
  <c r="BL83" i="3"/>
  <c r="BA90" i="3"/>
  <c r="BL94" i="3"/>
  <c r="AZ94" i="3" s="1"/>
  <c r="BA105" i="3"/>
  <c r="AZ105" i="3" s="1"/>
  <c r="BA106" i="3"/>
  <c r="BL108" i="3"/>
  <c r="BA111" i="3"/>
  <c r="AZ111" i="3" s="1"/>
  <c r="K13" i="1"/>
  <c r="M13" i="1" s="1"/>
  <c r="O13" i="1" s="1"/>
  <c r="P13" i="1" s="1"/>
  <c r="AA21" i="33"/>
  <c r="S21" i="33"/>
  <c r="D31" i="71"/>
  <c r="C32" i="71"/>
  <c r="C52" i="71"/>
  <c r="D51" i="71"/>
  <c r="C55" i="71"/>
  <c r="D54" i="71"/>
  <c r="C60" i="71"/>
  <c r="D59" i="71"/>
  <c r="N67" i="71"/>
  <c r="B66" i="71"/>
  <c r="F66" i="71"/>
  <c r="Q67" i="71"/>
  <c r="G85" i="3"/>
  <c r="BL85" i="3"/>
  <c r="BA86" i="3"/>
  <c r="AZ86" i="3" s="1"/>
  <c r="BA87" i="3"/>
  <c r="BA91" i="3"/>
  <c r="AZ91" i="3" s="1"/>
  <c r="G96" i="3"/>
  <c r="BL97" i="3"/>
  <c r="AZ97" i="3" s="1"/>
  <c r="BL101" i="3"/>
  <c r="BL102" i="3"/>
  <c r="AZ102" i="3" s="1"/>
  <c r="G104" i="3"/>
  <c r="G105" i="3"/>
  <c r="BL106" i="3"/>
  <c r="BA108" i="3"/>
  <c r="BA110" i="3"/>
  <c r="AZ110" i="3" s="1"/>
  <c r="F3" i="35"/>
  <c r="S21" i="37"/>
  <c r="W29" i="39"/>
  <c r="S25" i="40"/>
  <c r="B77" i="43"/>
  <c r="AA18" i="35"/>
  <c r="O67" i="71"/>
  <c r="AA28" i="71"/>
  <c r="E79" i="71"/>
  <c r="E78" i="71" s="1"/>
  <c r="E75" i="71"/>
  <c r="E74" i="71" s="1"/>
  <c r="AB25" i="71"/>
  <c r="C43" i="71"/>
  <c r="Y25" i="71"/>
  <c r="Z25" i="71" s="1"/>
  <c r="X38" i="71"/>
  <c r="C35" i="71"/>
  <c r="N68" i="71"/>
  <c r="E38" i="71"/>
  <c r="E39" i="71" s="1"/>
  <c r="E40" i="71" s="1"/>
  <c r="U40" i="71" s="1"/>
  <c r="B34" i="71"/>
  <c r="B35" i="71" s="1"/>
  <c r="B36" i="71" s="1"/>
  <c r="S36" i="71" s="1"/>
  <c r="X33" i="71"/>
  <c r="AB37" i="71"/>
  <c r="U29" i="39"/>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L92" i="3"/>
  <c r="G101" i="3"/>
  <c r="BA101" i="3"/>
  <c r="AZ101" i="3" s="1"/>
  <c r="G108" i="3"/>
  <c r="G109" i="3"/>
  <c r="BL112" i="3"/>
  <c r="S21" i="34"/>
  <c r="B88" i="43"/>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F26" i="43" s="1"/>
  <c r="E29" i="6"/>
  <c r="K15" i="1" s="1"/>
  <c r="F30" i="6"/>
  <c r="G30" i="6"/>
  <c r="G31" i="6" s="1"/>
  <c r="E28" i="6"/>
  <c r="K14" i="1" s="1"/>
  <c r="K16" i="1"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D9" i="69"/>
  <c r="C36" i="69"/>
  <c r="D6" i="73"/>
  <c r="C16" i="67"/>
  <c r="D3" i="73"/>
  <c r="C16" i="15"/>
  <c r="D5" i="73"/>
  <c r="D4" i="73"/>
  <c r="D7" i="73"/>
  <c r="AC28" i="34" l="1"/>
  <c r="E26" i="43"/>
  <c r="G26" i="43"/>
  <c r="H26" i="43"/>
  <c r="N94" i="46"/>
  <c r="J26" i="43"/>
  <c r="Q16" i="1"/>
  <c r="N370" i="46"/>
  <c r="H16" i="1"/>
  <c r="C48" i="68"/>
  <c r="C30" i="69"/>
  <c r="C48" i="69"/>
  <c r="F48" i="9"/>
  <c r="O52" i="9" s="1"/>
  <c r="F28" i="67"/>
  <c r="C28" i="67" s="1"/>
  <c r="F28" i="15"/>
  <c r="C28" i="15" s="1"/>
  <c r="F32" i="67"/>
  <c r="F60" i="67" s="1"/>
  <c r="J7" i="36"/>
  <c r="C40" i="71"/>
  <c r="D39" i="71"/>
  <c r="D60" i="71"/>
  <c r="T60" i="71"/>
  <c r="T52" i="71"/>
  <c r="D52" i="71"/>
  <c r="AZ57" i="3"/>
  <c r="AZ28" i="3"/>
  <c r="AZ229" i="3"/>
  <c r="AZ239" i="3"/>
  <c r="AZ404" i="3"/>
  <c r="W12" i="36"/>
  <c r="AC12" i="36"/>
  <c r="AA27" i="21"/>
  <c r="S27" i="21"/>
  <c r="AB36" i="35"/>
  <c r="U36" i="35"/>
  <c r="U44" i="39"/>
  <c r="AB44" i="39"/>
  <c r="S26" i="33"/>
  <c r="AA26" i="33"/>
  <c r="C70" i="71"/>
  <c r="D70" i="71" s="1"/>
  <c r="D71" i="71"/>
  <c r="C44" i="71"/>
  <c r="D43" i="71"/>
  <c r="N65" i="71"/>
  <c r="N66" i="71"/>
  <c r="T32" i="71"/>
  <c r="D32" i="71"/>
  <c r="AZ39" i="3"/>
  <c r="AZ197" i="3"/>
  <c r="AZ178" i="3"/>
  <c r="AZ118" i="3"/>
  <c r="AZ126" i="3"/>
  <c r="AZ249" i="3"/>
  <c r="AZ274" i="3"/>
  <c r="AZ223" i="3"/>
  <c r="AZ241" i="3"/>
  <c r="AZ368" i="3"/>
  <c r="AZ471" i="3"/>
  <c r="AZ397" i="3"/>
  <c r="AZ401" i="3"/>
  <c r="U43" i="39"/>
  <c r="AB43" i="39"/>
  <c r="AC26" i="33"/>
  <c r="W26" i="33"/>
  <c r="W27" i="21"/>
  <c r="AC27" i="21"/>
  <c r="G5" i="3"/>
  <c r="B3" i="3" s="1"/>
  <c r="E539" i="3" s="1"/>
  <c r="T28" i="71"/>
  <c r="D28" i="71"/>
  <c r="U28" i="71" s="1"/>
  <c r="C27" i="71"/>
  <c r="D79" i="71"/>
  <c r="C78" i="71"/>
  <c r="D78" i="71" s="1"/>
  <c r="C36" i="71"/>
  <c r="D35" i="71"/>
  <c r="AZ108" i="3"/>
  <c r="C56" i="71"/>
  <c r="D55" i="71"/>
  <c r="AZ71" i="3"/>
  <c r="AZ263" i="3"/>
  <c r="AZ243" i="3"/>
  <c r="AZ130" i="3"/>
  <c r="AZ256" i="3"/>
  <c r="AZ428" i="3"/>
  <c r="AZ422" i="3"/>
  <c r="AZ473" i="3"/>
  <c r="W43" i="39"/>
  <c r="AC43" i="39"/>
  <c r="U12" i="34"/>
  <c r="AB12" i="34"/>
  <c r="AA25" i="37"/>
  <c r="S25" i="37"/>
  <c r="AC39" i="37"/>
  <c r="W39" i="37"/>
  <c r="AB33" i="36"/>
  <c r="U33" i="36"/>
  <c r="G16" i="1"/>
  <c r="F10" i="39" s="1"/>
  <c r="AA10" i="39" s="1"/>
  <c r="D83" i="71"/>
  <c r="C82" i="71"/>
  <c r="D82" i="71" s="1"/>
  <c r="O65" i="71"/>
  <c r="D66" i="71"/>
  <c r="O66" i="71"/>
  <c r="AZ66" i="3"/>
  <c r="AZ75" i="3"/>
  <c r="AZ238" i="3"/>
  <c r="AC24" i="36"/>
  <c r="W24" i="36"/>
  <c r="AC9" i="34"/>
  <c r="W9" i="34"/>
  <c r="W12" i="34"/>
  <c r="AC12" i="34"/>
  <c r="U25" i="37"/>
  <c r="AB25" i="37"/>
  <c r="AC44" i="39"/>
  <c r="W44" i="39"/>
  <c r="AB26" i="33"/>
  <c r="U26" i="33"/>
  <c r="J7" i="37"/>
  <c r="AC7" i="37" s="1"/>
  <c r="K1" i="73"/>
  <c r="E510" i="3"/>
  <c r="E575" i="3"/>
  <c r="E499" i="3"/>
  <c r="E502" i="3"/>
  <c r="E466" i="3"/>
  <c r="E430" i="3"/>
  <c r="E449" i="3"/>
  <c r="AP6" i="3"/>
  <c r="E554" i="3"/>
  <c r="E517" i="3"/>
  <c r="E417" i="3"/>
  <c r="E479" i="3"/>
  <c r="E37" i="3"/>
  <c r="E152" i="3"/>
  <c r="E258" i="3"/>
  <c r="E241" i="3"/>
  <c r="E349" i="3"/>
  <c r="E389" i="3"/>
  <c r="E544" i="3"/>
  <c r="E409" i="3"/>
  <c r="E484" i="3"/>
  <c r="E467" i="3"/>
  <c r="E46" i="3"/>
  <c r="E103" i="3"/>
  <c r="E160" i="3"/>
  <c r="E249" i="3"/>
  <c r="E300" i="3"/>
  <c r="E371" i="3"/>
  <c r="E492" i="3"/>
  <c r="E23" i="3"/>
  <c r="E84" i="3"/>
  <c r="E33" i="3"/>
  <c r="E144" i="3"/>
  <c r="E184" i="3"/>
  <c r="E355" i="3"/>
  <c r="E381" i="3"/>
  <c r="E68" i="3"/>
  <c r="E81" i="3"/>
  <c r="E264" i="3"/>
  <c r="E283" i="3"/>
  <c r="E513" i="3"/>
  <c r="E21" i="3"/>
  <c r="E494" i="3"/>
  <c r="E281" i="3"/>
  <c r="E332" i="3"/>
  <c r="E391" i="3"/>
  <c r="E42" i="3"/>
  <c r="E75" i="3"/>
  <c r="E482" i="3"/>
  <c r="E96" i="3"/>
  <c r="E129" i="3"/>
  <c r="E174" i="3"/>
  <c r="E383" i="3"/>
  <c r="E522" i="3"/>
  <c r="E86" i="3"/>
  <c r="E206" i="3"/>
  <c r="E251" i="3"/>
  <c r="AF6" i="3"/>
  <c r="E113" i="3"/>
  <c r="E287" i="3"/>
  <c r="E308" i="3"/>
  <c r="E205" i="3"/>
  <c r="E140" i="3"/>
  <c r="E197" i="3"/>
  <c r="E525" i="3"/>
  <c r="E534" i="3"/>
  <c r="T6" i="3"/>
  <c r="E456" i="3"/>
  <c r="E469" i="3"/>
  <c r="E512" i="3"/>
  <c r="E451" i="3"/>
  <c r="E360" i="3"/>
  <c r="E556" i="3"/>
  <c r="E13" i="3"/>
  <c r="E452" i="3"/>
  <c r="E470" i="3"/>
  <c r="E26" i="3"/>
  <c r="E104" i="3"/>
  <c r="E41" i="3"/>
  <c r="E225" i="3"/>
  <c r="E243" i="3"/>
  <c r="E356" i="3"/>
  <c r="E412" i="3"/>
  <c r="E78" i="3"/>
  <c r="E190" i="3"/>
  <c r="E324" i="3"/>
  <c r="E342" i="3"/>
  <c r="E35" i="3"/>
  <c r="E232" i="3"/>
  <c r="E370" i="3"/>
  <c r="E80" i="3"/>
  <c r="E326" i="3"/>
  <c r="E83" i="3"/>
  <c r="E329" i="3"/>
  <c r="E188" i="3"/>
  <c r="E223" i="3"/>
  <c r="E116" i="3"/>
  <c r="E393" i="3"/>
  <c r="E493" i="3"/>
  <c r="E564" i="3"/>
  <c r="E427" i="3"/>
  <c r="E486" i="3"/>
  <c r="E507" i="3"/>
  <c r="E440" i="3"/>
  <c r="E490" i="3"/>
  <c r="E37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J10" i="40"/>
  <c r="AC10" i="40" s="1"/>
  <c r="H10" i="39"/>
  <c r="U10" i="39" s="1"/>
  <c r="H10" i="40"/>
  <c r="AB10" i="40" s="1"/>
  <c r="D26" i="43"/>
  <c r="C25" i="43" s="1"/>
  <c r="C7" i="43"/>
  <c r="C5" i="43" s="1"/>
  <c r="D10" i="52"/>
  <c r="D125" i="9"/>
  <c r="D11" i="52" s="1"/>
  <c r="B7" i="74"/>
  <c r="C7" i="74" s="1"/>
  <c r="F67" i="39"/>
  <c r="F59" i="67"/>
  <c r="H7" i="37"/>
  <c r="AB7" i="37" s="1"/>
  <c r="T42" i="37" s="1"/>
  <c r="G42" i="37" s="1"/>
  <c r="S10" i="39"/>
  <c r="H7" i="33"/>
  <c r="J7" i="33"/>
  <c r="D65" i="40"/>
  <c r="E63" i="40"/>
  <c r="F48" i="35"/>
  <c r="S7" i="36"/>
  <c r="AA7" i="36"/>
  <c r="R36" i="36" s="1"/>
  <c r="U7" i="36"/>
  <c r="F7" i="33"/>
  <c r="E58" i="21"/>
  <c r="AC7" i="36"/>
  <c r="V36" i="36" s="1"/>
  <c r="I36" i="36" s="1"/>
  <c r="W7" i="36"/>
  <c r="F7" i="37"/>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27" i="69"/>
  <c r="AE6" i="1"/>
  <c r="F41" i="67"/>
  <c r="G1" i="73"/>
  <c r="C47" i="69" l="1"/>
  <c r="D45" i="69" s="1"/>
  <c r="F45" i="69"/>
  <c r="C29" i="69"/>
  <c r="D27" i="69" s="1"/>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59" i="3"/>
  <c r="E292" i="3"/>
  <c r="E95" i="3"/>
  <c r="E491" i="3"/>
  <c r="E255" i="3"/>
  <c r="E442" i="3"/>
  <c r="E199" i="3"/>
  <c r="E3" i="6"/>
  <c r="E425" i="3"/>
  <c r="E76" i="3"/>
  <c r="E363" i="3"/>
  <c r="E192" i="3"/>
  <c r="E56" i="3"/>
  <c r="E435" i="3"/>
  <c r="I3" i="6"/>
  <c r="E541" i="3"/>
  <c r="R6" i="3"/>
  <c r="E536" i="3"/>
  <c r="C32" i="67"/>
  <c r="J10" i="39"/>
  <c r="W10" i="39" s="1"/>
  <c r="F10" i="40"/>
  <c r="S10" i="40" s="1"/>
  <c r="W7" i="37"/>
  <c r="E212" i="3"/>
  <c r="C26" i="71"/>
  <c r="D26" i="71" s="1"/>
  <c r="D27" i="71"/>
  <c r="D44" i="71"/>
  <c r="T44" i="71"/>
  <c r="D36" i="71"/>
  <c r="T36" i="71"/>
  <c r="E286" i="3"/>
  <c r="D56" i="71"/>
  <c r="T56"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35" i="9"/>
  <c r="M27" i="67"/>
  <c r="F41" i="15"/>
  <c r="M27" i="15"/>
  <c r="R50" i="34" l="1"/>
  <c r="G54" i="34"/>
  <c r="H54" i="34" s="1"/>
  <c r="F22" i="68"/>
  <c r="C44" i="68" s="1"/>
  <c r="D41" i="68" s="1"/>
  <c r="AC6" i="3"/>
  <c r="E6" i="3" s="1"/>
  <c r="D116" i="43"/>
  <c r="F25" i="12"/>
  <c r="C26" i="12" s="1"/>
  <c r="D25" i="12" s="1"/>
  <c r="F22" i="11"/>
  <c r="C44" i="11" s="1"/>
  <c r="D41" i="11" s="1"/>
  <c r="F24" i="67"/>
  <c r="C24" i="67" s="1"/>
  <c r="F24" i="15"/>
  <c r="C24" i="15" s="1"/>
  <c r="F22" i="69"/>
  <c r="F41" i="69" s="1"/>
  <c r="AA10" i="40"/>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F41" i="68"/>
  <c r="C60" i="15"/>
  <c r="C34" i="9"/>
  <c r="C66" i="67"/>
  <c r="C60" i="67"/>
  <c r="D10" i="68"/>
  <c r="C34" i="69"/>
  <c r="D10" i="69"/>
  <c r="C14" i="67"/>
  <c r="C17" i="15"/>
  <c r="C17" i="67"/>
  <c r="E54" i="34" l="1"/>
  <c r="F54" i="34" s="1"/>
  <c r="C25" i="11"/>
  <c r="C26" i="68"/>
  <c r="D22" i="68" s="1"/>
  <c r="I54" i="34"/>
  <c r="J54" i="34" s="1"/>
  <c r="C23" i="11"/>
  <c r="C24" i="11"/>
  <c r="C26" i="11"/>
  <c r="D22" i="11" s="1"/>
  <c r="C44" i="69"/>
  <c r="D41" i="69" s="1"/>
  <c r="C26" i="69"/>
  <c r="D22" i="69"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5" i="69"/>
  <c r="B29" i="1"/>
  <c r="C31" i="1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8" i="68" l="1"/>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2" i="12" l="1"/>
  <c r="C30" i="12" s="1"/>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F35" i="67"/>
  <c r="F35" i="15"/>
  <c r="M21" i="15"/>
  <c r="C27" i="12" l="1"/>
  <c r="C25" i="12" s="1"/>
  <c r="C32" i="12" s="1"/>
  <c r="B2" i="12" s="1"/>
  <c r="B3" i="12"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8"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6"/>
  <c r="D2" i="35"/>
  <c r="D2" i="37"/>
  <c r="L51" i="15"/>
  <c r="D2" i="34"/>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D20" i="9"/>
  <c r="AO12" i="1"/>
  <c r="AO8" i="1"/>
  <c r="AO11" i="1"/>
  <c r="AO6" i="1"/>
  <c r="AO7" i="1"/>
  <c r="AO9" i="1"/>
  <c r="AO10" i="1"/>
  <c r="C102" i="9" l="1"/>
  <c r="C21" i="9"/>
  <c r="D22" i="9"/>
  <c r="G19" i="9"/>
  <c r="G21" i="9" s="1"/>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35" i="9"/>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E118" i="9" l="1"/>
  <c r="H118" i="9"/>
  <c r="E4" i="52"/>
  <c r="B48" i="72" s="1"/>
  <c r="D118" i="9"/>
  <c r="H102" i="9"/>
  <c r="F118" i="9"/>
  <c r="C105" i="9"/>
  <c r="I4" i="52"/>
  <c r="H119" i="9" l="1"/>
  <c r="H5" i="52" s="1"/>
  <c r="C104" i="9"/>
  <c r="H4" i="52"/>
  <c r="H101" i="9"/>
  <c r="D119" i="9"/>
  <c r="D5" i="52" s="1"/>
  <c r="B49" i="72" s="1"/>
  <c r="D4" i="52"/>
  <c r="B47" i="72" s="1"/>
  <c r="D7" i="53"/>
  <c r="B21" i="72" s="1"/>
  <c r="F4" i="52"/>
  <c r="B51" i="72" s="1"/>
  <c r="F119" i="9"/>
  <c r="F5" i="52" s="1"/>
  <c r="B53" i="72" s="1"/>
  <c r="D14" i="74" l="1"/>
  <c r="E14" i="74" s="1"/>
  <c r="B5" i="74"/>
  <c r="D5" i="53"/>
  <c r="D45" i="9"/>
  <c r="M48" i="9"/>
  <c r="H107" i="9"/>
  <c r="G14" i="74" s="1"/>
  <c r="B6" i="74" s="1"/>
  <c r="D6" i="74" s="1"/>
  <c r="F14" i="74" l="1"/>
  <c r="D5" i="74"/>
  <c r="C5" i="74"/>
  <c r="M49" i="9"/>
  <c r="H108" i="9"/>
  <c r="D13" i="53"/>
  <c r="D122" i="9"/>
  <c r="C72" i="9"/>
  <c r="D53" i="9"/>
  <c r="C93" i="9"/>
  <c r="C86" i="9" s="1"/>
  <c r="C64" i="9"/>
  <c r="C63" i="9" s="1"/>
  <c r="C67" i="9" s="1"/>
  <c r="C85" i="9"/>
  <c r="D52" i="9"/>
  <c r="C78" i="9"/>
  <c r="C73" i="9" s="1"/>
  <c r="D55" i="9"/>
  <c r="M53" i="9" s="1"/>
  <c r="B20" i="72"/>
  <c r="D6" i="53"/>
  <c r="B22" i="72" s="1"/>
  <c r="D59" i="9" l="1"/>
  <c r="M55" i="9" s="1"/>
  <c r="C68" i="9"/>
  <c r="D54" i="9" s="1"/>
  <c r="D123" i="9"/>
  <c r="D9" i="52" s="1"/>
  <c r="D8" i="52"/>
  <c r="D14" i="53"/>
  <c r="B32" i="72" s="1"/>
  <c r="B30" i="72"/>
  <c r="D15" i="53"/>
  <c r="B31" i="72" s="1"/>
  <c r="C6" i="74"/>
  <c r="C95" i="9"/>
  <c r="C79" i="9"/>
  <c r="L68" i="9"/>
  <c r="M68" i="9" s="1"/>
  <c r="L64" i="9"/>
  <c r="M64" i="9" s="1"/>
  <c r="L63" i="9"/>
  <c r="M63" i="9" s="1"/>
  <c r="L67" i="9"/>
  <c r="M67" i="9" s="1"/>
  <c r="L65" i="9"/>
  <c r="M65" i="9" s="1"/>
  <c r="L66" i="9"/>
  <c r="M66" i="9" s="1"/>
  <c r="M69" i="9" l="1"/>
  <c r="N69" i="9" s="1"/>
  <c r="C96" i="9"/>
  <c r="E96" i="9" s="1"/>
  <c r="E97" i="9" s="1"/>
  <c r="C80" i="9"/>
  <c r="E80" i="9" s="1"/>
  <c r="E81" i="9" s="1"/>
  <c r="C81" i="9" l="1"/>
  <c r="C97" i="9"/>
  <c r="D58" i="9" s="1"/>
  <c r="D56" i="9" s="1"/>
  <c r="M54" i="9" s="1"/>
  <c r="N57" i="9" s="1"/>
  <c r="P57" i="9" s="1"/>
  <c r="N59" i="9" l="1"/>
  <c r="N60" i="9" s="1"/>
  <c r="N58"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<sst xmlns="http://schemas.openxmlformats.org/spreadsheetml/2006/main" count="7984" uniqueCount="3516">
  <si>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</si>
  <si>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</si>
  <si>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</si>
  <si>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</si>
  <si>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</si>
  <si>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</si>
  <si>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</si>
  <si>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</si>
  <si>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</si>
  <si>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</si>
  <si>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</si>
  <si>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</si>
  <si>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</si>
  <si>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</si>
  <si>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</si>
  <si>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</si>
  <si>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</si>
  <si>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</si>
  <si>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</si>
  <si>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</si>
  <si>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</si>
  <si>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</si>
  <si>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</si>
  <si>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</si>
  <si>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</si>
  <si>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</si>
  <si>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</si>
  <si>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</si>
  <si>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</si>
  <si>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</si>
  <si>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</si>
  <si>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</si>
  <si>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</si>
  <si>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</si>
  <si>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</si>
  <si>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</si>
  <si>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</si>
  <si>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</si>
  <si>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</si>
  <si>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</si>
  <si>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</si>
  <si>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</si>
  <si>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</si>
  <si>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</si>
  <si>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</si>
  <si>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</si>
  <si>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</si>
  <si>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</si>
  <si>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</si>
  <si>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</si>
  <si>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</si>
  <si>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</si>
  <si>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</si>
  <si>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</si>
  <si>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</si>
  <si>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</si>
  <si>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</si>
  <si>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</si>
  <si>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</si>
  <si>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</si>
  <si>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</si>
  <si>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</si>
  <si>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</si>
  <si>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</si>
  <si>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</si>
  <si>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</si>
  <si>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</si>
  <si>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</si>
  <si>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</si>
  <si>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</si>
  <si>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</si>
  <si>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</si>
  <si>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</si>
  <si>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</si>
  <si>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</si>
  <si>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</si>
  <si>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</si>
  <si>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</si>
  <si>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</si>
  <si>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</si>
  <si>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</si>
  <si>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</si>
  <si>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</si>
  <si>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</si>
  <si>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</si>
  <si>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</si>
  <si>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</si>
  <si>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</si>
  <si>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</si>
  <si>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</si>
  <si>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</si>
  <si>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</si>
  <si>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</si>
  <si>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</si>
  <si>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</si>
  <si>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</si>
  <si>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</si>
  <si>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</si>
  <si>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</si>
  <si>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</si>
  <si>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</si>
  <si>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</si>
  <si>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</si>
  <si>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</si>
  <si>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</si>
  <si>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</si>
  <si>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</si>
  <si>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</si>
  <si>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</si>
  <si>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</si>
  <si>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</si>
  <si>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</si>
  <si>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</si>
  <si>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</si>
  <si>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</si>
  <si>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</si>
  <si>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</si>
  <si>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</si>
  <si>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</si>
  <si>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</si>
  <si>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</si>
  <si>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</si>
  <si>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</si>
  <si>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</si>
  <si>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</si>
  <si>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</si>
  <si>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</si>
  <si>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</si>
  <si>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</si>
  <si>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</si>
  <si>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</si>
  <si>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</si>
  <si>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</si>
  <si>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</si>
  <si>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</si>
  <si>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</si>
  <si>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</si>
  <si>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</si>
  <si>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</si>
  <si>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</si>
  <si>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</si>
  <si>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</si>
  <si>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</si>
  <si>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</si>
  <si>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</si>
  <si>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</si>
  <si>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</si>
  <si>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</si>
  <si>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</si>
  <si>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</si>
  <si>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</si>
  <si>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</si>
  <si>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</si>
  <si>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</si>
  <si>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</si>
  <si>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</si>
  <si>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</si>
  <si>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</si>
  <si>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</si>
  <si>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</si>
  <si>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</si>
  <si>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</si>
  <si>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</si>
  <si>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</si>
  <si>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</si>
  <si>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</si>
  <si>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</si>
  <si>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</si>
  <si>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</si>
  <si>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</si>
  <si>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</si>
  <si>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</si>
  <si>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</si>
  <si>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</si>
  <si>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</si>
  <si>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</si>
  <si>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</si>
  <si>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</si>
  <si>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</si>
  <si>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</si>
  <si>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</si>
  <si>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</si>
  <si>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</si>
  <si>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</si>
  <si>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</si>
  <si>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</si>
  <si>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</si>
  <si>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</si>
  <si>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</si>
  <si>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</si>
  <si>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</si>
  <si>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</si>
  <si>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</si>
  <si>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</si>
  <si>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</si>
  <si>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</si>
  <si>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</si>
  <si>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</si>
  <si>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</si>
  <si>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</si>
  <si>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</si>
  <si>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</si>
  <si>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</si>
  <si>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</si>
  <si>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</si>
  <si>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</si>
  <si>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</si>
  <si>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</si>
  <si>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</si>
  <si>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</si>
  <si>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</si>
  <si>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</si>
  <si>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</si>
  <si>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</si>
  <si>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</si>
  <si>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</si>
  <si>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</si>
  <si>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</si>
  <si>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</si>
  <si>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</si>
  <si>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</si>
  <si>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</si>
  <si>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</si>
  <si>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</si>
  <si>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</si>
  <si>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</si>
  <si>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</si>
  <si>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</si>
  <si>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</si>
  <si>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</si>
  <si>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</si>
  <si>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</si>
  <si>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</si>
  <si>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</si>
  <si>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</si>
  <si>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</si>
  <si>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</si>
  <si>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</si>
  <si>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</si>
  <si>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</si>
  <si>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</si>
  <si>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</si>
  <si>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</si>
  <si>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</si>
  <si>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</si>
  <si>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</si>
  <si>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</si>
  <si>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</si>
  <si>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</si>
  <si>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</si>
  <si>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</si>
  <si>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</si>
  <si>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</si>
  <si>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</si>
  <si>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</si>
  <si>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</si>
  <si>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</si>
  <si>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</si>
  <si>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</si>
  <si>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</si>
  <si>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</si>
  <si>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</si>
  <si>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</si>
  <si>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</si>
  <si>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</si>
  <si>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</si>
  <si>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</si>
  <si>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</si>
  <si>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</si>
  <si>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</si>
  <si>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</si>
  <si>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</si>
  <si>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</si>
  <si>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</si>
  <si>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</si>
  <si>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</si>
  <si>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</si>
  <si>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</si>
  <si>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</si>
  <si>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</si>
  <si>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</si>
  <si>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</si>
  <si>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</si>
  <si>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</si>
  <si>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</si>
  <si>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</si>
  <si>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</si>
  <si>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</si>
  <si>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</si>
  <si>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</si>
  <si>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</si>
  <si>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</si>
  <si>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</si>
  <si>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</si>
  <si>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</si>
  <si>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</si>
  <si>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</si>
  <si>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</si>
  <si>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</si>
  <si>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</si>
  <si>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</si>
  <si>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</si>
  <si>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</si>
  <si>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</si>
  <si>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</si>
  <si>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</si>
  <si>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</si>
  <si>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</si>
  <si>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</si>
  <si>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</si>
  <si>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</si>
  <si>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</si>
  <si>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</si>
  <si>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</si>
  <si>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</si>
  <si>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</si>
  <si>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</si>
  <si>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</si>
  <si>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</si>
  <si>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</si>
  <si>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</si>
  <si>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</si>
  <si>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</si>
  <si>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</si>
  <si>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</si>
  <si>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</si>
  <si>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</si>
  <si>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</si>
  <si>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</si>
  <si>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</si>
  <si>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</si>
  <si>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</si>
  <si>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</si>
  <si>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</si>
  <si>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</si>
  <si>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</si>
  <si>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</si>
  <si>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</si>
  <si>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</si>
  <si>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</si>
  <si>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</si>
  <si>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</si>
  <si>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</si>
  <si>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</si>
  <si>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</si>
  <si>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</si>
  <si>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</si>
  <si>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</si>
  <si>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</si>
  <si>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</si>
  <si>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</si>
  <si>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</si>
  <si>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</si>
  <si>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</si>
  <si>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</si>
  <si>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</si>
  <si>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</si>
  <si>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</si>
  <si>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</si>
  <si>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</si>
  <si>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</si>
  <si>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</si>
  <si>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</si>
  <si>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</si>
  <si>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</si>
  <si>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</si>
  <si>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</si>
  <si>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</si>
  <si>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</si>
  <si>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</si>
  <si>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</si>
  <si>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</si>
  <si>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</si>
  <si>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</si>
  <si>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</si>
  <si>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</si>
  <si>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</si>
  <si>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</si>
  <si>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</si>
  <si>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</si>
  <si>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</si>
  <si>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</si>
  <si>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</si>
  <si>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</si>
  <si>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</si>
  <si>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</si>
  <si>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</si>
  <si>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</si>
  <si>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</si>
  <si>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</si>
  <si>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</si>
  <si>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</si>
  <si>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</si>
  <si>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</si>
  <si>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</si>
  <si>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</si>
  <si>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</si>
  <si>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</si>
  <si>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</si>
  <si>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</si>
  <si>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</si>
  <si>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</si>
  <si>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</si>
  <si>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</si>
  <si>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</si>
  <si>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</si>
  <si>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</si>
  <si>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</si>
  <si>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</si>
  <si>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</si>
  <si>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</si>
  <si>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</si>
  <si>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</si>
  <si>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</si>
  <si>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</si>
  <si>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</si>
  <si>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</si>
  <si>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</si>
  <si>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</si>
  <si>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</si>
  <si>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</si>
  <si>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</si>
  <si>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</si>
  <si>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</si>
  <si>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</si>
  <si>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</si>
  <si>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</si>
  <si>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</si>
  <si>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</si>
  <si>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</si>
  <si>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</si>
  <si>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</si>
  <si>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</si>
  <si>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</si>
  <si>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</si>
  <si>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</si>
  <si>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</si>
  <si>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</si>
  <si>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</si>
  <si>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</si>
  <si>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</si>
  <si>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</si>
  <si>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</si>
  <si>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</si>
  <si>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</si>
  <si>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</si>
  <si>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</si>
  <si>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</si>
  <si>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</si>
  <si>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</si>
  <si>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</si>
  <si>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</si>
  <si>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</si>
  <si>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</si>
  <si>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</si>
  <si>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</si>
  <si>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</si>
  <si>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</si>
  <si>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</si>
  <si>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</si>
  <si>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</si>
  <si>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</si>
  <si>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</si>
  <si>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</si>
  <si>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</si>
  <si>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</si>
  <si>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</si>
  <si>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</si>
  <si>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</si>
  <si>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</si>
  <si>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</si>
  <si>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</si>
  <si>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</si>
  <si>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</si>
  <si>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</si>
  <si>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</si>
  <si>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</si>
  <si>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</si>
  <si>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</si>
  <si>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</si>
  <si>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</si>
  <si>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</si>
  <si>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</si>
  <si>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</si>
  <si>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</si>
  <si>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</si>
  <si>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</si>
  <si>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</si>
  <si>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</si>
  <si>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</si>
  <si>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</si>
  <si>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</si>
  <si>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</si>
  <si>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</si>
  <si>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</si>
  <si>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</si>
  <si>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</si>
  <si>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</si>
  <si>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</si>
  <si>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</si>
  <si>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</si>
  <si>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</si>
  <si>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</si>
  <si>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</si>
  <si>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</si>
  <si>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</si>
  <si>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</si>
  <si>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</si>
  <si>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</si>
  <si>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</si>
  <si>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</si>
  <si>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</si>
  <si>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</si>
  <si>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</si>
  <si>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</si>
  <si>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</si>
  <si>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</si>
  <si>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</si>
  <si>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</si>
  <si>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</si>
  <si>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</si>
  <si>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</si>
  <si>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</si>
  <si>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</si>
  <si>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</si>
  <si>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</si>
  <si>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</si>
  <si>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</si>
  <si>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</si>
  <si>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</si>
  <si>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</si>
  <si>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</si>
  <si>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</si>
  <si>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</si>
  <si>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</si>
  <si>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</si>
  <si>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</si>
  <si>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</si>
  <si>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</si>
  <si>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</si>
  <si>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</si>
  <si>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</si>
  <si>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</si>
  <si>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</si>
  <si>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</si>
  <si>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</si>
  <si>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</si>
  <si>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</si>
  <si>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</si>
  <si>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</si>
  <si>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</si>
  <si>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</si>
  <si>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</si>
  <si>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</si>
  <si>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</si>
  <si>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</si>
  <si>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</si>
  <si>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</si>
  <si>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</si>
  <si>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</si>
  <si>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</si>
  <si>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</si>
  <si>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</si>
  <si>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</si>
  <si>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</si>
  <si>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</si>
  <si>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</si>
  <si>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</si>
  <si>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</si>
  <si>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</si>
  <si>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</si>
  <si>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</si>
  <si>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</si>
  <si>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</si>
  <si>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</si>
  <si>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</si>
  <si>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</si>
  <si>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</si>
  <si>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</si>
  <si>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</si>
  <si>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</si>
  <si>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</si>
  <si>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</si>
  <si>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</si>
  <si>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</si>
  <si>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</si>
  <si>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</si>
  <si>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</si>
  <si>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</si>
  <si>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</si>
  <si>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</si>
  <si>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</si>
  <si>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</si>
  <si>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</si>
  <si>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</si>
  <si>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</si>
  <si>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</si>
  <si>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</si>
  <si>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</si>
  <si>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</si>
  <si>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</si>
  <si>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</si>
  <si>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</si>
  <si>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</si>
  <si>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</si>
  <si>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</si>
  <si>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</si>
  <si>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</si>
  <si>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</si>
  <si>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</si>
  <si>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</si>
  <si>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</si>
  <si>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</si>
  <si>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</si>
  <si>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</si>
  <si>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</si>
  <si>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</si>
  <si>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</si>
  <si>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</si>
  <si>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</si>
  <si>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</si>
  <si>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</si>
  <si>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</si>
  <si>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</si>
  <si>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</si>
  <si>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</si>
  <si>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</si>
  <si>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</si>
  <si>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</si>
  <si>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</si>
  <si>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</si>
  <si>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</si>
  <si>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</si>
  <si>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</si>
  <si>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</si>
  <si>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</si>
  <si>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</si>
  <si>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</si>
  <si>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</si>
  <si>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</si>
  <si>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</si>
  <si>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</si>
  <si>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</si>
  <si>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</si>
  <si>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</si>
  <si>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</si>
  <si>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</si>
  <si>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</si>
  <si>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</si>
  <si>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</si>
  <si>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</si>
  <si>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</si>
  <si>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</si>
  <si>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</si>
  <si>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</si>
  <si>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</si>
  <si>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</si>
  <si>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</si>
  <si>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</si>
  <si>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</si>
  <si>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</si>
  <si>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</si>
  <si>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</si>
  <si>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</si>
  <si>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</si>
  <si>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</si>
  <si>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</si>
  <si>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</si>
  <si>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</si>
  <si>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</si>
  <si>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</si>
  <si>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</si>
  <si>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</si>
  <si>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</si>
  <si>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</si>
  <si>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</si>
  <si>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</si>
  <si>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</si>
  <si>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</si>
  <si>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</si>
  <si>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</si>
  <si>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</si>
  <si>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</si>
  <si>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</si>
  <si>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</si>
  <si>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</si>
  <si>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</si>
  <si>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</si>
  <si>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</si>
  <si>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</si>
  <si>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</si>
  <si>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</si>
  <si>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</si>
  <si>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</si>
  <si>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</si>
  <si>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</si>
  <si>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</si>
  <si>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</si>
  <si>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</si>
  <si>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</si>
  <si>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</si>
  <si>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</si>
  <si>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</si>
  <si>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</si>
  <si>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</si>
  <si>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</si>
  <si>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</si>
  <si>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</si>
  <si>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</si>
  <si>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</si>
  <si>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</si>
  <si>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</si>
  <si>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</si>
  <si>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</si>
  <si>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</si>
  <si>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</si>
  <si>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</si>
  <si>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</si>
  <si>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</si>
  <si>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</si>
  <si>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</si>
  <si>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</si>
  <si>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</si>
  <si>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</si>
  <si>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</si>
  <si>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</si>
  <si>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</si>
  <si>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</si>
  <si>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</si>
  <si>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</si>
  <si>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</si>
  <si>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</si>
  <si>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</si>
  <si>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</si>
  <si>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</si>
  <si>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</si>
  <si>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</si>
  <si>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</si>
  <si>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</si>
  <si>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</si>
  <si>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</si>
  <si>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</si>
  <si>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</si>
  <si>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</si>
  <si>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</si>
  <si>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</si>
  <si>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</si>
  <si>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</si>
  <si>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</si>
  <si>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</si>
  <si>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</si>
  <si>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</si>
  <si>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</si>
  <si>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</si>
  <si>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</si>
  <si>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</si>
  <si>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</si>
  <si>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</si>
  <si>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</si>
  <si>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</si>
  <si>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</si>
  <si>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</si>
  <si>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</si>
  <si>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</si>
  <si>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</si>
  <si>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</si>
  <si>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</si>
  <si>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</si>
  <si>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</si>
  <si>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</si>
  <si>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</si>
  <si>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</si>
  <si>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</si>
  <si>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</si>
  <si>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</si>
  <si>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</si>
  <si>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</si>
  <si>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</si>
  <si>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</si>
  <si>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</si>
  <si>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</si>
  <si>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</si>
  <si>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</si>
  <si>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</si>
  <si>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</si>
  <si>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</si>
  <si>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</si>
  <si>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</si>
  <si>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</si>
  <si>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</si>
  <si>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</si>
  <si>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</si>
  <si>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</si>
  <si>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</si>
  <si>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</si>
  <si>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</si>
  <si>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</si>
  <si>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</si>
  <si>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</si>
  <si>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</si>
  <si>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</si>
  <si>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</si>
  <si>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</si>
  <si>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</si>
  <si>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</si>
  <si>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</si>
  <si>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</si>
  <si>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</si>
  <si>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</si>
  <si>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</si>
  <si>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</si>
  <si>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</si>
  <si>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</si>
  <si>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</si>
  <si>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</si>
  <si>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</si>
  <si>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</si>
  <si>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</si>
  <si>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</si>
  <si>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</si>
  <si>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</si>
  <si>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</si>
  <si>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</si>
  <si>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</si>
  <si>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</si>
  <si>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</si>
  <si>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</si>
  <si>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</si>
  <si>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</si>
  <si>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</si>
  <si>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</si>
  <si>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</si>
  <si>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</si>
  <si>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</si>
  <si>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</si>
  <si>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</si>
  <si>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</si>
  <si>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</si>
  <si>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</si>
  <si>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</si>
  <si>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</si>
  <si>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</si>
  <si>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</si>
  <si>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</si>
  <si>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</si>
  <si>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</si>
  <si>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</si>
  <si>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</si>
  <si>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</si>
  <si>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</si>
  <si>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</si>
  <si>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</si>
  <si>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</si>
  <si>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</si>
  <si>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</si>
  <si>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</si>
  <si>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</si>
  <si>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</si>
  <si>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</si>
  <si>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</si>
  <si>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</si>
  <si>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</si>
  <si>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</si>
  <si>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</si>
  <si>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</si>
  <si>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</si>
  <si>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</si>
  <si>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</si>
  <si>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</si>
  <si>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</si>
  <si>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</si>
  <si>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</si>
  <si>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</si>
  <si>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</si>
  <si>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</si>
  <si>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</si>
  <si>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</si>
  <si>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</si>
  <si>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</si>
  <si>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</si>
  <si>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</si>
  <si>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</si>
  <si>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</si>
  <si>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</si>
  <si>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</si>
  <si>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</si>
  <si>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</si>
  <si>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</si>
  <si>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</si>
  <si>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</si>
  <si>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</si>
  <si>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</si>
  <si>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</si>
  <si>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</si>
  <si>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</si>
  <si>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</si>
  <si>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</si>
  <si>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</si>
  <si>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</si>
  <si>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</si>
  <si>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</si>
  <si>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</si>
  <si>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</si>
  <si>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</si>
  <si>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</si>
  <si>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</si>
  <si>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</si>
  <si>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</si>
  <si>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</si>
  <si>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</si>
  <si>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</si>
  <si>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</si>
  <si>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</si>
  <si>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</si>
  <si>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</si>
  <si>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</si>
  <si>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</si>
  <si>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</si>
  <si>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</si>
  <si>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</si>
  <si>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</si>
  <si>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</si>
  <si>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</si>
  <si>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</si>
  <si>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</si>
  <si>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</si>
  <si>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</si>
  <si>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</si>
  <si>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</si>
  <si>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</si>
  <si>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</si>
  <si>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</si>
  <si>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</si>
  <si>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</si>
  <si>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</si>
  <si>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</si>
  <si>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</si>
  <si>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</si>
  <si>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</si>
  <si>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</si>
  <si>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</si>
  <si>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</si>
  <si>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</si>
  <si>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</si>
  <si>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</si>
  <si>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</si>
  <si>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</si>
  <si>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</si>
  <si>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</si>
  <si>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</si>
  <si>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</si>
  <si>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</si>
  <si>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</si>
  <si>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</si>
  <si>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</si>
  <si>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</si>
  <si>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</si>
  <si>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</si>
  <si>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</si>
  <si>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</si>
  <si>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</si>
  <si>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</si>
  <si>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</si>
  <si>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</si>
  <si>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</si>
  <si>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</si>
  <si>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</si>
  <si>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</si>
  <si>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</si>
  <si>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</si>
  <si>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</si>
  <si>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</si>
  <si>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</si>
  <si>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</si>
  <si>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</si>
  <si>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</si>
  <si>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</si>
  <si>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</si>
  <si>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</si>
  <si>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</si>
  <si>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</si>
  <si>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</si>
  <si>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</si>
  <si>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</si>
  <si>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</si>
  <si>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</si>
  <si>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</si>
  <si>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</si>
  <si>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</si>
  <si>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</si>
  <si>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</si>
  <si>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</si>
  <si>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</si>
  <si>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</si>
  <si>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</si>
  <si>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</si>
  <si>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</si>
  <si>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</si>
  <si>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</si>
  <si>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</si>
  <si>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</si>
  <si>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</si>
  <si>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</si>
  <si>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</si>
  <si>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</si>
  <si>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</si>
  <si>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</si>
  <si>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</si>
  <si>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</si>
  <si>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</si>
  <si>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</si>
  <si>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</si>
  <si>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</si>
  <si>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</si>
  <si>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</si>
  <si>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</si>
  <si>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</si>
  <si>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</si>
  <si>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</si>
  <si>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</si>
  <si>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</si>
  <si>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</si>
  <si>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</si>
  <si>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</si>
  <si>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</si>
  <si>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</si>
  <si>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</si>
  <si>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</si>
  <si>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</si>
  <si>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</si>
  <si>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</si>
  <si>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</si>
  <si>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</si>
  <si>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</si>
  <si>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</si>
  <si>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</si>
  <si>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</si>
  <si>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</si>
  <si>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</si>
  <si>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</si>
  <si>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</si>
  <si>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</si>
  <si>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</si>
  <si>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</si>
  <si>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</si>
  <si>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</si>
  <si>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</si>
  <si>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</si>
  <si>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</si>
  <si>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</si>
  <si>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</si>
  <si>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</si>
  <si>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</si>
  <si>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</si>
  <si>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</si>
  <si>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</si>
  <si>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</si>
  <si>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</si>
  <si>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</si>
  <si>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</si>
  <si>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</si>
  <si>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</si>
  <si>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</si>
  <si>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</si>
  <si>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</si>
  <si>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</si>
  <si>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</si>
  <si>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</si>
  <si>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</si>
  <si>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</si>
  <si>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</si>
  <si>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</si>
  <si>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</si>
  <si>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</si>
  <si>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</si>
  <si>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</si>
  <si>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</si>
  <si>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</si>
  <si>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</si>
  <si>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</si>
  <si>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</si>
  <si>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</si>
  <si>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</si>
  <si>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</si>
  <si>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</si>
  <si>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</si>
  <si>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</si>
  <si>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</si>
  <si>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</si>
  <si>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</si>
  <si>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</si>
  <si>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</si>
  <si>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</si>
  <si>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</si>
  <si>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</si>
  <si>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</si>
  <si>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</si>
  <si>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</si>
  <si>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</si>
  <si>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</si>
  <si>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</si>
  <si>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</si>
  <si>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</si>
  <si>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</si>
  <si>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</si>
  <si>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</si>
  <si>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</si>
  <si>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</si>
  <si>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</si>
  <si>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</si>
  <si>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</si>
  <si>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</si>
  <si>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</si>
  <si>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</si>
  <si>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</si>
  <si>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</si>
  <si>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</si>
  <si>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</si>
  <si>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</si>
  <si>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</si>
  <si>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</si>
  <si>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</si>
  <si>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</si>
  <si>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</si>
  <si>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</si>
  <si>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</si>
  <si>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</si>
  <si>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</si>
  <si>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</si>
  <si>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</si>
  <si>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</si>
  <si>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</si>
  <si>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</si>
  <si>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</si>
  <si>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</si>
  <si>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</si>
  <si>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</si>
  <si>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</si>
  <si>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</si>
  <si>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</si>
  <si>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</si>
  <si>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</si>
  <si>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</si>
  <si>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</si>
  <si>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</si>
  <si>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</si>
  <si>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</si>
  <si>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</si>
  <si>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</si>
  <si>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</si>
  <si>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</si>
  <si>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</si>
  <si>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</si>
  <si>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</si>
  <si>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</si>
  <si>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</si>
  <si>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</si>
  <si>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</si>
  <si>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</si>
  <si>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</si>
  <si>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</si>
  <si>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</si>
  <si>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</si>
  <si>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</si>
  <si>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</si>
  <si>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</si>
  <si>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</si>
  <si>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</si>
  <si>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</si>
  <si>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</si>
  <si>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</si>
  <si>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</si>
  <si>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</si>
  <si>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</si>
  <si>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</si>
  <si>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</si>
  <si>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</si>
  <si>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</si>
  <si>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</si>
  <si>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</si>
  <si>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</si>
  <si>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</si>
  <si>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</si>
  <si>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</si>
  <si>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</si>
  <si>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</si>
  <si>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</si>
  <si>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</si>
  <si>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</si>
  <si>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</si>
  <si>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</si>
  <si>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</si>
  <si>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</si>
  <si>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</si>
  <si>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</si>
  <si>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</si>
  <si>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</si>
  <si>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</si>
  <si>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</si>
  <si>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</si>
  <si>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</si>
  <si>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</si>
  <si>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</si>
  <si>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</si>
  <si>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</si>
  <si>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</si>
  <si>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</si>
  <si>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</si>
  <si>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</si>
  <si>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</si>
  <si>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</si>
  <si>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</si>
  <si>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</si>
  <si>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</si>
  <si>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</si>
  <si>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</si>
  <si>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</si>
  <si>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</si>
  <si>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</si>
  <si>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</si>
  <si>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</si>
  <si>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</si>
  <si>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</si>
  <si>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</si>
  <si>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</si>
  <si>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</si>
  <si>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</si>
  <si>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</si>
  <si>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</si>
  <si>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</si>
  <si>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</si>
  <si>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</si>
  <si>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</si>
  <si>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</si>
  <si>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</si>
  <si>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</si>
  <si>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</si>
  <si>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</si>
  <si>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</si>
  <si>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</si>
  <si>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</si>
  <si>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</si>
  <si>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</si>
  <si>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</si>
  <si>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</si>
  <si>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</si>
  <si>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</si>
  <si>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</si>
  <si>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</si>
  <si>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</si>
  <si>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</si>
  <si>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</si>
  <si>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</si>
  <si>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</si>
  <si>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</si>
  <si>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</si>
  <si>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</si>
  <si>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</si>
  <si>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</si>
  <si>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</si>
  <si>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</si>
  <si>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</si>
  <si>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</si>
  <si>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</si>
  <si>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</si>
  <si>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</si>
  <si>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</si>
  <si>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</si>
  <si>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</si>
  <si>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</si>
  <si>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</si>
  <si>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</si>
  <si>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</si>
  <si>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</si>
  <si>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</si>
  <si>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</si>
  <si>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</si>
  <si>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</si>
  <si>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</si>
  <si>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</si>
  <si>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</si>
  <si>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</si>
  <si>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</si>
  <si>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</si>
  <si>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</si>
  <si>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</si>
  <si>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</si>
  <si>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</si>
  <si>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</si>
  <si>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</si>
  <si>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</si>
  <si>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</si>
  <si>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</si>
  <si>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</si>
  <si>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</si>
  <si>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</si>
  <si>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</si>
  <si>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</si>
  <si>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</si>
  <si>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</si>
  <si>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</si>
  <si>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</si>
  <si>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</si>
  <si>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</si>
  <si>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</si>
  <si>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</si>
  <si>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</si>
  <si>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</si>
  <si>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</si>
  <si>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</si>
  <si>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</si>
  <si>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</si>
  <si>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</si>
  <si>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</si>
  <si>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</si>
  <si>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</si>
  <si>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</si>
  <si>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</si>
  <si>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</si>
  <si>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</si>
  <si>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</si>
  <si>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</si>
  <si>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</si>
  <si>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</si>
  <si>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</si>
  <si>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</si>
  <si>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</si>
  <si>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</si>
  <si>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</si>
  <si>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</si>
  <si>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</si>
  <si>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</si>
  <si>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</si>
  <si>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</si>
  <si>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</si>
  <si>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</si>
  <si>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</si>
  <si>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</si>
  <si>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</si>
  <si>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</si>
  <si>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</si>
  <si>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</si>
  <si>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</si>
  <si>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</si>
  <si>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</si>
  <si>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</si>
  <si>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</si>
  <si>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</si>
  <si>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</si>
  <si>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</si>
  <si>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</si>
  <si>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</si>
  <si>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</si>
  <si>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</si>
  <si>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</si>
  <si>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</si>
  <si>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</si>
  <si>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</si>
  <si>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</si>
  <si>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</si>
  <si>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</si>
  <si>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</si>
  <si>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</si>
  <si>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</si>
  <si>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</si>
  <si>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</si>
  <si>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</si>
  <si>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</si>
  <si>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</si>
  <si>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</si>
  <si>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</si>
  <si>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</si>
  <si>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</si>
  <si>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</si>
  <si>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</si>
  <si>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</si>
  <si>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</si>
  <si>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</si>
  <si>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</si>
  <si>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</si>
  <si>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</si>
  <si>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</si>
  <si>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</si>
  <si>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</si>
  <si>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</si>
  <si>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</si>
  <si>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</si>
  <si>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</si>
  <si>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</si>
  <si>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</si>
  <si>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</si>
  <si>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</si>
  <si>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</si>
  <si>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</si>
  <si>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</si>
  <si>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</si>
  <si>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</si>
  <si>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</si>
  <si>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</si>
  <si>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</si>
  <si>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</si>
  <si>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</si>
  <si>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</si>
  <si>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</si>
  <si>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</si>
  <si>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</si>
  <si>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</si>
  <si>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</si>
  <si>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</si>
  <si>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</si>
  <si>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</si>
  <si>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</si>
  <si>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</si>
  <si>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</si>
  <si>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</si>
  <si>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</si>
  <si>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</si>
  <si>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</si>
  <si>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</si>
  <si>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</si>
  <si>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</si>
  <si>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</si>
  <si>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</si>
  <si>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</si>
  <si>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</si>
  <si>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</si>
  <si>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</si>
  <si>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</si>
  <si>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</si>
  <si>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</si>
  <si>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</si>
  <si>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</si>
  <si>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</si>
  <si>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</si>
  <si>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</si>
  <si>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</si>
  <si>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</si>
  <si>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</si>
  <si>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</si>
  <si>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</si>
  <si>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</si>
  <si>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</si>
  <si>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</si>
  <si>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</si>
  <si>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</si>
  <si>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</si>
  <si>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</si>
  <si>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</si>
  <si>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</si>
  <si>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</si>
  <si>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</si>
  <si>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</si>
  <si>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</si>
  <si>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</si>
  <si>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</si>
  <si>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</si>
  <si>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</si>
  <si>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</si>
  <si>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</si>
  <si>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</si>
  <si>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</si>
  <si>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</si>
  <si>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</si>
  <si>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</si>
  <si>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</si>
  <si>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</si>
  <si>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</si>
  <si>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</si>
  <si>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</si>
  <si>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</si>
  <si>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</si>
  <si>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</si>
  <si>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</si>
  <si>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</si>
  <si>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</si>
  <si>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</si>
  <si>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</si>
  <si>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</si>
  <si>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</si>
  <si>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</si>
  <si>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</si>
  <si>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</si>
  <si>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</si>
  <si>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</si>
  <si>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</si>
  <si>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</si>
  <si>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</si>
  <si>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</si>
  <si>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</si>
  <si>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</si>
  <si>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</si>
  <si>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</si>
  <si>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</si>
  <si>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</si>
  <si>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</si>
  <si>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</si>
  <si>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</si>
  <si>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</si>
  <si>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</si>
  <si>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</si>
  <si>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</si>
  <si>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</si>
  <si>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</si>
  <si>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</si>
  <si>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</si>
  <si>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</si>
  <si>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</si>
  <si>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</si>
  <si>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</si>
  <si>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</si>
  <si>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</si>
  <si>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</si>
  <si>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</si>
  <si>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</si>
  <si>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</si>
  <si>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</si>
  <si>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</si>
  <si>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</si>
  <si>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</si>
  <si>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</si>
  <si>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</si>
  <si>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</si>
  <si>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</si>
  <si>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</si>
  <si>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</si>
  <si>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</si>
  <si>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</si>
  <si>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</si>
  <si>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</si>
  <si>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</si>
  <si>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</si>
  <si>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</si>
  <si>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</si>
  <si>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</si>
  <si>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</si>
  <si>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</si>
  <si>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</si>
  <si>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</si>
  <si>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</si>
  <si>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</si>
  <si>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</si>
  <si>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</si>
  <si>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</si>
  <si>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</si>
  <si>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</si>
  <si>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</si>
  <si>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</si>
  <si>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</si>
  <si>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</si>
  <si>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</si>
  <si>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</si>
  <si>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</si>
  <si>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</si>
  <si>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</si>
  <si>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</si>
  <si>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</si>
  <si>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</si>
  <si>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</si>
  <si>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</si>
  <si>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</si>
  <si>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</si>
  <si>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</si>
  <si>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</si>
  <si>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</si>
  <si>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</si>
  <si>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</si>
  <si>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</si>
  <si>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</si>
  <si>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</si>
  <si>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</si>
  <si>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</si>
  <si>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</si>
  <si>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</si>
  <si>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</si>
  <si>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</si>
  <si>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</si>
  <si>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</si>
  <si>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</si>
  <si>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</si>
  <si>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</si>
  <si>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</si>
  <si>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</si>
  <si>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</si>
  <si>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</si>
  <si>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</si>
  <si>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</si>
  <si>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</si>
  <si>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</si>
  <si>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</si>
  <si>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</si>
  <si>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</si>
  <si>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</si>
  <si>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</si>
  <si>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</si>
  <si>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</si>
  <si>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</si>
  <si>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</si>
  <si>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</si>
  <si>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</si>
  <si>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</si>
  <si>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</si>
  <si>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</si>
  <si>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</si>
  <si>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</si>
  <si>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</si>
  <si>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</si>
  <si>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</si>
  <si>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</si>
  <si>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</si>
  <si>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</si>
  <si>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</si>
  <si>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</si>
  <si>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</si>
  <si>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</si>
  <si>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</si>
  <si>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</si>
  <si>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</si>
  <si>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</si>
  <si>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</si>
  <si>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</si>
  <si>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</si>
  <si>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</si>
  <si>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</si>
  <si>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</si>
  <si>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</si>
  <si>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</si>
  <si>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</si>
  <si>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</si>
  <si>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</si>
  <si>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</si>
  <si>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</si>
  <si>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</si>
  <si>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</si>
  <si>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</si>
  <si>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</si>
  <si>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</si>
  <si>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</si>
  <si>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</si>
  <si>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</si>
  <si>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</si>
  <si>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</si>
  <si>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</si>
  <si>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</si>
  <si>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</si>
  <si>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</si>
  <si>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</si>
  <si>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</si>
  <si>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</si>
  <si>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</si>
  <si>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</si>
  <si>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</si>
  <si>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</si>
  <si>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</si>
  <si>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</si>
  <si>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</si>
  <si>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</si>
  <si>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</si>
  <si>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</si>
  <si>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</si>
  <si>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</si>
  <si>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</si>
  <si>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</si>
  <si>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</si>
  <si>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</si>
  <si>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</si>
  <si>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</si>
  <si>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</si>
  <si>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</si>
  <si>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</si>
  <si>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</si>
  <si>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</si>
  <si>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</si>
  <si>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</si>
  <si>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</si>
  <si>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</si>
  <si>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</si>
  <si>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</si>
  <si>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</si>
  <si>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</si>
  <si>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</si>
  <si>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</si>
  <si>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</si>
  <si>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</si>
  <si>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</si>
  <si>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</si>
  <si>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</si>
  <si>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</si>
  <si>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</si>
  <si>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</si>
  <si>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</si>
  <si>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</si>
  <si>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</si>
  <si>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</si>
  <si>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</si>
  <si>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</si>
  <si>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</si>
  <si>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</si>
  <si>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</si>
  <si>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</si>
  <si>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</si>
  <si>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</si>
  <si>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</si>
  <si>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</si>
  <si>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</si>
  <si>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</si>
  <si>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</si>
  <si>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</si>
  <si>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</si>
  <si>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</si>
  <si>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</si>
  <si>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</si>
  <si>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</si>
  <si>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</si>
  <si>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</si>
  <si>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</si>
  <si>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</si>
  <si>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</si>
  <si>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</si>
  <si>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</si>
  <si>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</si>
  <si>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</si>
  <si>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</si>
  <si>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</si>
  <si>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</si>
  <si>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</si>
  <si>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</si>
  <si>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</si>
  <si>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</si>
  <si>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</si>
  <si>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</si>
  <si>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</si>
  <si>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</si>
  <si>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</si>
  <si>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</si>
  <si>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</si>
  <si>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</si>
  <si>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</si>
  <si>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</si>
  <si>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</si>
  <si>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</si>
  <si>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</si>
  <si>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</si>
  <si>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</si>
  <si>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</si>
  <si>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</si>
  <si>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</si>
  <si>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</si>
  <si>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</si>
  <si>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</si>
  <si>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</si>
  <si>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</si>
  <si>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</si>
  <si>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</si>
  <si>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</si>
  <si>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</si>
  <si>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</si>
  <si>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</si>
  <si>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</si>
  <si>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</si>
  <si>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</si>
  <si>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</si>
  <si>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</si>
  <si>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</si>
  <si>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</si>
  <si>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</si>
  <si>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</si>
  <si>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</si>
  <si>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</si>
  <si>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</si>
  <si>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</si>
  <si>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</si>
  <si>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</si>
  <si>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</si>
  <si>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</si>
  <si>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</si>
  <si>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</si>
  <si>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</si>
  <si>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</si>
  <si>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</si>
  <si>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</si>
  <si>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</si>
  <si>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</si>
  <si>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</si>
  <si>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</si>
  <si>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</si>
  <si>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</si>
  <si>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</si>
  <si>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</si>
  <si>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</si>
  <si>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</si>
  <si>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</si>
  <si>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</si>
  <si>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</si>
  <si>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</si>
  <si>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</si>
  <si>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</si>
  <si>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</si>
  <si>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</si>
  <si>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</si>
  <si>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</si>
  <si>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</si>
  <si>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</si>
  <si>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</si>
  <si>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</si>
  <si>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</si>
  <si>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</si>
  <si>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</si>
  <si>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</si>
  <si>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</si>
  <si>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</si>
  <si>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</si>
  <si>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</si>
  <si>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</si>
  <si>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</si>
  <si>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</si>
  <si>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</si>
  <si>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</si>
  <si>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</si>
  <si>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</si>
  <si>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</si>
  <si>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</si>
  <si>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</si>
  <si>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</si>
  <si>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</si>
  <si>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</si>
  <si>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</si>
  <si>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</si>
  <si>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</si>
  <si>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</si>
  <si>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</si>
  <si>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</si>
  <si>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</si>
  <si>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</si>
  <si>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</si>
  <si>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</si>
  <si>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</si>
  <si>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</si>
  <si>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</si>
  <si>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</si>
  <si>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</si>
  <si>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</si>
  <si>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</si>
  <si>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</si>
  <si>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</si>
  <si>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</si>
  <si>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</si>
  <si>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</si>
  <si>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</si>
  <si>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</si>
  <si>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</si>
  <si>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</si>
  <si>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</si>
  <si>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</si>
  <si>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</si>
  <si>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</si>
  <si>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</si>
  <si>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</si>
  <si>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</si>
  <si>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</si>
  <si>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</si>
  <si>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</si>
  <si>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</si>
  <si>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</si>
  <si>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</si>
  <si>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</si>
  <si>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</si>
  <si>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</si>
  <si>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</si>
  <si>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</si>
  <si>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</si>
  <si>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</si>
  <si>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</si>
  <si>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</si>
  <si>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</si>
  <si>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</si>
  <si>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</si>
  <si>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</si>
  <si>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</si>
  <si>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</si>
  <si>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</si>
  <si>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</si>
  <si>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</si>
  <si>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</si>
  <si>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</si>
  <si>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</si>
  <si>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</si>
  <si>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</si>
  <si>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</si>
  <si>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</si>
  <si>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</si>
  <si>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</si>
  <si>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</si>
  <si>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</si>
  <si>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</si>
  <si>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</si>
  <si>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</si>
  <si>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</si>
  <si>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</si>
  <si>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</si>
  <si>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</si>
  <si>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</si>
  <si>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</si>
  <si>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</si>
  <si>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</si>
  <si>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</si>
  <si>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</si>
  <si>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</si>
  <si>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</si>
  <si>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</si>
  <si>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</si>
  <si>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</si>
  <si>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</si>
  <si>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</si>
  <si>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</si>
  <si>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</si>
  <si>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</si>
  <si>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</si>
  <si>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</si>
  <si>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</si>
  <si>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</si>
  <si>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</si>
  <si>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</si>
  <si>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</si>
  <si>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</si>
  <si>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</si>
  <si>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</si>
  <si>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</si>
  <si>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</si>
  <si>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</si>
  <si>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</si>
  <si>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</si>
  <si>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</si>
  <si>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</si>
  <si>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</si>
  <si>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</si>
  <si>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</si>
  <si>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</si>
  <si>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</si>
  <si>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</si>
  <si>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</si>
  <si>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</si>
  <si>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</si>
  <si>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</si>
  <si>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</si>
  <si>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</si>
  <si>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</si>
  <si>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</si>
  <si>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</si>
  <si>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</si>
  <si>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</si>
  <si>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</si>
  <si>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</si>
  <si>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</si>
  <si>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</si>
  <si>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</si>
  <si>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</si>
  <si>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</si>
  <si>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</si>
  <si>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</si>
  <si>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</si>
  <si>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</si>
  <si>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</si>
  <si>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</si>
  <si>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</si>
  <si>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</si>
  <si>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</si>
  <si>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</si>
  <si>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</si>
  <si>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</si>
  <si>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</si>
  <si>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</si>
  <si>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</si>
  <si>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</si>
  <si>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</si>
  <si>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</si>
  <si>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</si>
  <si>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</si>
  <si>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</si>
  <si>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</si>
  <si>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</si>
  <si>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</si>
  <si>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</si>
  <si>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</si>
  <si>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</si>
  <si>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</si>
  <si>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</si>
  <si>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</si>
  <si>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</si>
  <si>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</si>
  <si>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</si>
  <si>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</si>
  <si>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</si>
  <si>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</si>
  <si>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</si>
  <si>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</si>
  <si>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</si>
  <si>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</si>
  <si>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</si>
  <si>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</si>
  <si>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</si>
  <si>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</si>
  <si>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</si>
  <si>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</si>
  <si>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</si>
  <si>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</si>
  <si>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</si>
  <si>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</si>
  <si>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</si>
  <si>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</si>
  <si>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</si>
  <si>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</si>
  <si>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</si>
  <si>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</si>
  <si>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</si>
  <si>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</si>
  <si>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</si>
  <si>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</si>
  <si>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</si>
  <si>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</si>
  <si>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</si>
  <si>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</si>
  <si>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</si>
  <si>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</si>
  <si>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</si>
  <si>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</si>
  <si>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</si>
  <si>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</si>
  <si>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</si>
  <si>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</si>
  <si>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</si>
  <si>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</si>
  <si>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</si>
  <si>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</si>
  <si>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</si>
  <si>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</si>
  <si>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</si>
  <si>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</si>
  <si>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</si>
  <si>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</si>
  <si>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</si>
  <si>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</si>
  <si>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</si>
  <si>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</si>
  <si>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</si>
  <si>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</si>
  <si>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</si>
  <si>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</si>
  <si>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</si>
  <si>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</si>
  <si>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</si>
  <si>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</si>
  <si>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</si>
  <si>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</si>
  <si>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</si>
  <si>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</si>
  <si>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</si>
  <si>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</si>
  <si>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</si>
  <si>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</si>
  <si>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</si>
  <si>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</si>
  <si>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</si>
  <si>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</si>
  <si>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</si>
  <si>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</si>
  <si>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</si>
  <si>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</si>
  <si>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</si>
  <si>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</si>
  <si>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</si>
  <si>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</si>
  <si>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</si>
  <si>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</si>
  <si>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</si>
  <si>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</si>
  <si>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</si>
  <si>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</si>
  <si>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</si>
  <si>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</si>
  <si>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</si>
  <si>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</si>
  <si>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</si>
  <si>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</si>
  <si>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</si>
  <si>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</si>
  <si>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</si>
  <si>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</si>
  <si>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</si>
  <si>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</si>
  <si>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</si>
  <si>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</si>
  <si>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</si>
  <si>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</si>
  <si>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</si>
  <si>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</si>
  <si>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</si>
  <si>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</si>
  <si>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</si>
  <si>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</si>
  <si>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</si>
  <si>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</si>
  <si>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</si>
  <si>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</si>
  <si>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</si>
  <si>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</si>
  <si>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</si>
  <si>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</si>
  <si>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</si>
  <si>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</si>
  <si>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</si>
  <si>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</si>
  <si>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</si>
  <si>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</si>
  <si>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</si>
  <si>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</si>
  <si>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</si>
  <si>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</si>
  <si>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</si>
  <si>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</si>
  <si>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</si>
  <si>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</si>
  <si>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</si>
  <si>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</si>
  <si>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</si>
  <si>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</si>
  <si>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</si>
  <si>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</si>
  <si>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</si>
  <si>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</si>
  <si>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</si>
  <si>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</si>
  <si>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</si>
  <si>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</si>
  <si>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</si>
  <si>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</si>
  <si>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</si>
  <si>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</si>
  <si>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</si>
  <si>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</si>
  <si>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</si>
  <si>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</si>
  <si>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</si>
  <si>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</si>
  <si>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</si>
  <si>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</si>
  <si>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</si>
  <si>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</si>
  <si>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</si>
  <si>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</si>
  <si>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</si>
  <si>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</si>
  <si>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</si>
  <si>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</si>
  <si>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</si>
  <si>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</si>
  <si>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</si>
  <si>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</si>
  <si>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</si>
  <si>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</si>
  <si>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</si>
  <si>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</si>
  <si>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</si>
  <si>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</si>
  <si>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</si>
  <si>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</si>
  <si>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</si>
  <si>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</si>
  <si>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</si>
  <si>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</si>
  <si>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</si>
  <si>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</si>
  <si>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</si>
  <si>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</si>
  <si>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</si>
  <si>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</si>
  <si>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</si>
  <si>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</si>
  <si>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</si>
  <si>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</si>
  <si>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</si>
  <si>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</si>
  <si>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</si>
  <si>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</si>
  <si>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</si>
  <si>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</si>
  <si>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</si>
  <si>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</si>
  <si>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</si>
  <si>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</si>
  <si>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</si>
  <si>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</si>
  <si>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</si>
  <si>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</si>
  <si>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</si>
  <si>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</si>
  <si>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</si>
  <si>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</si>
  <si>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</si>
  <si>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</si>
  <si>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</si>
  <si>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</si>
  <si>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</si>
  <si>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</si>
  <si>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</si>
  <si>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</si>
  <si>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</si>
  <si>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</si>
  <si>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</si>
  <si>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</si>
  <si>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</si>
  <si>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</si>
  <si>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</si>
  <si>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</si>
  <si>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</si>
  <si>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</si>
  <si>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</si>
  <si>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</si>
  <si>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</si>
  <si>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</si>
  <si>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</si>
  <si>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</si>
  <si>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</si>
  <si>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</si>
  <si>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</si>
  <si>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</si>
  <si>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</si>
  <si>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</si>
  <si>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</si>
  <si>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</si>
  <si>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</si>
  <si>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</si>
  <si>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</si>
  <si>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</si>
  <si>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</si>
  <si>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</si>
  <si>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</si>
  <si>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</si>
  <si>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</si>
  <si>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</si>
  <si>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</si>
  <si>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</si>
  <si>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</si>
  <si>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</si>
  <si>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</si>
  <si>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</si>
  <si>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</si>
  <si>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</si>
  <si>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</si>
  <si>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</si>
  <si>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</si>
  <si>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</si>
  <si>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</si>
  <si>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</si>
  <si>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</si>
  <si>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</si>
  <si>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</si>
  <si>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</si>
  <si>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</si>
  <si>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</si>
  <si>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</si>
  <si>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</si>
  <si>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</si>
  <si>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</si>
  <si>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</si>
  <si>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</si>
  <si>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</si>
  <si>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</si>
  <si>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</si>
  <si>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</si>
  <si>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</si>
  <si>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</si>
  <si>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</si>
  <si>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</si>
  <si>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</si>
  <si>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</si>
  <si>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</si>
  <si>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</si>
  <si>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</si>
  <si>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</si>
  <si>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</si>
  <si>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</si>
  <si>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</si>
  <si>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</si>
  <si>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</si>
  <si>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</si>
  <si>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</si>
  <si>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</si>
  <si>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</si>
  <si>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</si>
  <si>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</si>
  <si>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</si>
  <si>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</si>
  <si>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</si>
  <si>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</si>
  <si>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</si>
  <si>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</si>
  <si>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</si>
  <si>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</si>
  <si>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</si>
  <si>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</si>
  <si>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</si>
  <si>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</si>
  <si>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</si>
  <si>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</si>
  <si>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</si>
  <si>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</si>
  <si>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</si>
  <si>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</si>
  <si>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</si>
  <si>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</si>
  <si>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</si>
  <si>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</si>
  <si>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</si>
  <si>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</si>
  <si>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</si>
  <si>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</si>
  <si>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</si>
  <si>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</si>
  <si>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</si>
  <si>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</si>
  <si>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</si>
  <si>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</si>
  <si>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</si>
  <si>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</si>
  <si>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</si>
  <si>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</si>
  <si>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</si>
  <si>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</si>
  <si>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</si>
  <si>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</si>
  <si>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</si>
  <si>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</si>
  <si>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</si>
  <si>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</si>
  <si>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</si>
  <si>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</si>
  <si>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</si>
  <si>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</si>
  <si>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</si>
  <si>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</si>
  <si>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</si>
  <si>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</si>
  <si>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</si>
  <si>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</si>
  <si>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</si>
  <si>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</si>
  <si>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</si>
  <si>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</si>
  <si>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</si>
  <si>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</si>
  <si>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</si>
  <si>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</si>
  <si>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</si>
  <si>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</si>
  <si>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</si>
  <si>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</si>
  <si>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</si>
  <si>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</si>
  <si>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</si>
  <si>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</si>
  <si>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</si>
  <si>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</si>
  <si>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</si>
  <si>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</si>
  <si>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</si>
  <si>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</si>
  <si>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</si>
  <si>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</si>
  <si>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</si>
  <si>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</si>
  <si>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</si>
  <si>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</si>
  <si>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</si>
  <si>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</si>
  <si>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</si>
  <si>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</si>
  <si>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</si>
  <si>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</si>
  <si>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</si>
  <si>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</si>
  <si>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</si>
  <si>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</si>
  <si>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</si>
  <si>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</si>
  <si>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</si>
  <si>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</si>
  <si>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</si>
  <si>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</si>
  <si>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</si>
  <si>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</si>
  <si>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</si>
  <si>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</si>
  <si>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</si>
  <si>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</si>
  <si>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</si>
  <si>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</si>
  <si>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</si>
  <si>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</si>
  <si>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</si>
  <si>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</si>
  <si>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</si>
  <si>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</si>
  <si>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</si>
  <si>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</si>
  <si>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</si>
  <si>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</si>
  <si>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</si>
  <si>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</si>
  <si>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</si>
  <si>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</si>
  <si>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</si>
  <si>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</si>
  <si>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</si>
  <si>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</si>
  <si>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</si>
  <si>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</si>
  <si>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</si>
  <si>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</si>
  <si>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</si>
  <si>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</si>
  <si>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</si>
  <si>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</si>
  <si>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</si>
  <si>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</si>
  <si>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</si>
  <si>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</si>
  <si>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</si>
  <si>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</si>
  <si>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</si>
  <si>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</si>
  <si>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</si>
  <si>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</si>
  <si>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</si>
  <si>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</si>
  <si>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</si>
  <si>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</si>
  <si>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</si>
  <si>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</si>
  <si>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</si>
  <si>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</si>
  <si>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</si>
  <si>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</si>
  <si>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</si>
  <si>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</si>
  <si>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</si>
  <si>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</si>
  <si>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</si>
  <si>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</si>
  <si>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</si>
  <si>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</si>
  <si>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</si>
  <si>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</si>
  <si>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</si>
  <si>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</si>
  <si>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</si>
  <si>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</si>
  <si>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</si>
  <si>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</si>
  <si>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</si>
  <si>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</si>
  <si>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</si>
  <si>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</si>
  <si>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</si>
  <si>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</si>
  <si>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</si>
  <si>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</si>
  <si>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</si>
  <si>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</si>
  <si>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</si>
  <si>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</si>
  <si>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</si>
  <si>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</si>
  <si>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</si>
  <si>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</si>
  <si>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</si>
  <si>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</si>
  <si>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</si>
  <si>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</si>
  <si>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</si>
  <si>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</si>
  <si>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</si>
  <si>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</si>
  <si>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</si>
  <si>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</si>
  <si>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</si>
  <si>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</si>
  <si>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</si>
  <si>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</si>
  <si>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</si>
  <si>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</si>
  <si>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</si>
  <si>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</si>
  <si>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</si>
  <si>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</si>
  <si>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</si>
  <si>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</si>
  <si>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</si>
  <si>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</si>
  <si>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</si>
  <si>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</si>
  <si>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</si>
  <si>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</si>
  <si>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</si>
  <si>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</si>
  <si>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</si>
  <si>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</si>
  <si>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</si>
  <si>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</si>
  <si>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</si>
  <si>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</si>
  <si>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</si>
  <si>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</si>
  <si>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</si>
  <si>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</si>
  <si>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</si>
  <si>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</si>
  <si>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</si>
  <si>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</si>
  <si>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</si>
  <si>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</si>
  <si>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</si>
  <si>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</si>
  <si>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</si>
  <si>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</si>
  <si>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</si>
  <si>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</si>
  <si>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</si>
  <si>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</si>
  <si>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</si>
  <si>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</si>
  <si>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</si>
  <si>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</si>
  <si>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</si>
  <si>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</si>
  <si>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</si>
  <si>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</si>
  <si>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</si>
  <si>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</si>
  <si>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</si>
  <si>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</si>
  <si>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</si>
  <si>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</si>
  <si>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</si>
  <si>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</si>
  <si>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</si>
  <si>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</si>
  <si>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</si>
  <si>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</si>
  <si>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</si>
  <si>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</si>
  <si>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</si>
  <si>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</si>
  <si>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</si>
  <si>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</si>
  <si>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</si>
  <si>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</si>
  <si>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</si>
  <si>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</si>
  <si>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</si>
  <si>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</si>
  <si>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</si>
  <si>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</si>
  <si>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</si>
  <si>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</si>
  <si>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</si>
  <si>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</si>
  <si>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</si>
  <si>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</si>
  <si>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</si>
  <si>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</si>
  <si>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</si>
  <si>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</si>
  <si>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</si>
  <si>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</si>
  <si>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</si>
  <si>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</si>
  <si>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</si>
  <si>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</si>
  <si>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</si>
  <si>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</si>
  <si>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</si>
  <si>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</si>
  <si>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</si>
  <si>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</si>
  <si>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</si>
  <si>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</si>
  <si>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</si>
  <si>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</si>
  <si>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</si>
  <si>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</si>
  <si>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</si>
  <si>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</si>
  <si>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</si>
  <si>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</si>
  <si>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</si>
  <si>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</si>
  <si>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</si>
  <si>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</si>
  <si>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</si>
  <si>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</si>
  <si>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</si>
  <si>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</si>
  <si>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</si>
  <si>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</si>
  <si>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</si>
  <si>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</si>
  <si>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</si>
  <si>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</si>
  <si>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</si>
  <si>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</si>
  <si>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</si>
  <si>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</si>
  <si>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</si>
  <si>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</si>
  <si>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</si>
  <si>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</si>
  <si>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</si>
  <si>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</si>
  <si>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</si>
  <si>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</si>
  <si>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</si>
  <si>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</si>
  <si>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</si>
  <si>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</si>
  <si>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</si>
  <si>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</si>
  <si>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</si>
  <si>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</si>
  <si>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</si>
  <si>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</si>
  <si>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</si>
  <si>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</si>
  <si>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</si>
  <si>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</si>
  <si>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</si>
  <si>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</si>
  <si>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</si>
  <si>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</si>
  <si>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</si>
  <si>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</si>
  <si>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</si>
  <si>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</si>
  <si>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</si>
  <si>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</si>
  <si>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</si>
  <si>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</si>
  <si>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</si>
  <si>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</si>
  <si>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</si>
  <si>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</si>
  <si>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</si>
  <si>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</si>
  <si>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</si>
  <si>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</si>
  <si>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</si>
  <si>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</si>
  <si>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</si>
  <si>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</si>
  <si>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</si>
  <si>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</si>
  <si>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</si>
  <si>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</si>
  <si>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</si>
  <si>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</si>
  <si>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</si>
  <si>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</si>
  <si>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</si>
  <si>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</si>
  <si>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</si>
  <si>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</si>
  <si>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</si>
  <si>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</si>
  <si>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</si>
  <si>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</si>
  <si>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</si>
  <si>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</si>
  <si>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</si>
  <si>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</si>
  <si>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</si>
  <si>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</si>
  <si>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</si>
  <si>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</si>
  <si>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</si>
  <si>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</si>
  <si>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</si>
  <si>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</si>
  <si>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</si>
  <si>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</si>
  <si>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</si>
  <si>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</si>
  <si>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</si>
  <si>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</si>
  <si>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</si>
  <si>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</si>
  <si>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</si>
  <si>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</si>
  <si>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</si>
  <si>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</si>
  <si>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</si>
  <si>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</si>
  <si>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</si>
  <si>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</si>
  <si>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</si>
  <si>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</si>
  <si>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</si>
  <si>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</si>
  <si>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</si>
  <si>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</si>
  <si>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</si>
  <si>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</si>
  <si>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</si>
  <si>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</si>
  <si>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</si>
  <si>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</si>
  <si>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</si>
  <si>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</si>
  <si>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</si>
  <si>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</si>
  <si>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</si>
  <si>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</si>
  <si>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</si>
  <si>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</si>
  <si>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</si>
  <si>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</si>
  <si>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</si>
  <si>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</si>
  <si>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</si>
  <si>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</si>
  <si>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</si>
  <si>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</si>
  <si>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</si>
  <si>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</si>
  <si>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</si>
  <si>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</si>
  <si>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</si>
  <si>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</si>
  <si>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</si>
  <si>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</si>
  <si>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</si>
  <si>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</si>
  <si>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</si>
  <si>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</si>
  <si>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</si>
  <si>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</si>
  <si>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</si>
  <si>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</si>
  <si>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</si>
  <si>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</si>
  <si>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</si>
  <si>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</si>
  <si>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</si>
  <si>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</si>
  <si>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</si>
  <si>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</si>
  <si>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</si>
  <si>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</si>
  <si>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</si>
  <si>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</si>
  <si>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</si>
  <si>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</si>
  <si>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</si>
  <si>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</si>
  <si>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</si>
  <si>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</si>
  <si>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</si>
  <si>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</si>
  <si>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</si>
  <si>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</si>
  <si>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</si>
  <si>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</si>
  <si>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</si>
  <si>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</si>
  <si>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</si>
  <si>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</si>
  <si>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</si>
  <si>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</si>
  <si>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</si>
  <si>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</si>
  <si>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</si>
  <si>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</si>
  <si>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</si>
  <si>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</si>
  <si>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</si>
  <si>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</si>
  <si>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</si>
  <si>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</si>
  <si>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</si>
  <si>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</si>
  <si>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</si>
  <si>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</si>
  <si>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</si>
  <si>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</si>
  <si>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</si>
  <si>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</si>
  <si>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</si>
  <si>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</si>
  <si>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</si>
  <si>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</si>
  <si>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</si>
  <si>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</si>
  <si>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</si>
  <si>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</si>
  <si>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</si>
  <si>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</si>
  <si>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</si>
  <si>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</si>
  <si>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</si>
  <si>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</si>
  <si>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</si>
  <si>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</si>
  <si>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</si>
  <si>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</si>
  <si>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</si>
  <si>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</si>
  <si>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</si>
  <si>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</si>
  <si>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</si>
  <si>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</si>
  <si>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</si>
  <si>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</si>
  <si>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</si>
  <si>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</si>
  <si>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</si>
  <si>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</si>
  <si>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</si>
  <si>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</si>
  <si>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</si>
  <si>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</si>
  <si>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</si>
  <si>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</si>
  <si>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</si>
  <si>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</si>
  <si>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</si>
  <si>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</si>
  <si>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</si>
  <si>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</si>
  <si>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</si>
  <si>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</si>
  <si>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</si>
  <si>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</si>
  <si>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</si>
  <si>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</si>
  <si>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</si>
  <si>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</si>
  <si>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</si>
  <si>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</si>
  <si>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</si>
  <si>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</si>
  <si>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</si>
  <si>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</si>
  <si>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</si>
  <si>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</si>
  <si>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</si>
  <si>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</si>
  <si>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</si>
  <si>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</si>
  <si>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</si>
  <si>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</si>
  <si>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</si>
  <si>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</si>
  <si>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</si>
  <si>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</si>
  <si>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</si>
  <si>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</si>
  <si>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</si>
  <si>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</si>
  <si>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</si>
  <si>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</si>
  <si>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</si>
  <si>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</si>
  <si>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</si>
  <si>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</si>
  <si>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</si>
  <si>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</si>
  <si>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</si>
  <si>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</si>
  <si>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</si>
  <si>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</si>
  <si>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</si>
  <si>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</si>
  <si>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</si>
  <si>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</si>
  <si>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</si>
  <si>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</si>
  <si>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</si>
  <si>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</si>
  <si>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</si>
  <si>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</si>
  <si>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</si>
  <si>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</si>
  <si>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</si>
  <si>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</si>
  <si>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</si>
  <si>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</si>
  <si>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</si>
  <si>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</si>
  <si>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</si>
  <si>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</si>
  <si>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</si>
  <si>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</si>
  <si>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</si>
  <si>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</si>
  <si>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</si>
  <si>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</si>
  <si>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</si>
  <si>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</si>
  <si>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</si>
  <si>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</si>
  <si>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</si>
  <si>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</si>
  <si>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</si>
  <si>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</si>
  <si>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</si>
  <si>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</si>
  <si>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</si>
  <si>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</si>
  <si>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</si>
  <si>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</si>
  <si>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</si>
  <si>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</si>
  <si>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</si>
  <si>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</si>
  <si>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</si>
  <si>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</si>
  <si>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</si>
  <si>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</si>
  <si>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</si>
  <si>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</si>
  <si>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</si>
  <si>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</si>
  <si>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</si>
  <si>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</si>
  <si>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</si>
  <si>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</si>
  <si>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</si>
  <si>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</si>
  <si>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</si>
  <si>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</si>
  <si>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</si>
  <si>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</si>
  <si>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</si>
  <si>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</si>
  <si>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</si>
  <si>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</si>
  <si>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</si>
  <si>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</si>
  <si>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</si>
  <si>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</si>
  <si>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</si>
  <si>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</si>
  <si>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</si>
  <si>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</si>
  <si>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</si>
  <si>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</si>
  <si>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</si>
  <si>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</si>
  <si>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</si>
  <si>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</si>
  <si>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</si>
  <si>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</si>
  <si>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</si>
  <si>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</si>
  <si>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</si>
  <si>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</si>
  <si>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</si>
  <si>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</si>
  <si>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</si>
  <si>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</si>
  <si>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</si>
  <si>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</si>
  <si>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</si>
  <si>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</si>
  <si>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</si>
  <si>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</si>
  <si>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</si>
  <si>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</si>
  <si>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</si>
  <si>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</si>
  <si>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</si>
  <si>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</si>
  <si>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</si>
  <si>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</si>
  <si>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</si>
  <si>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</si>
  <si>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</si>
  <si>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</si>
  <si>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</si>
  <si>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</si>
  <si>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</si>
  <si>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</si>
  <si>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</si>
  <si>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</si>
  <si>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</si>
  <si>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</si>
  <si>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</si>
  <si>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</si>
  <si>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</si>
  <si>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</si>
  <si>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</si>
  <si>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</si>
  <si>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</si>
  <si>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</si>
  <si>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</si>
  <si>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</si>
  <si>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</si>
  <si>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</si>
  <si>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</si>
  <si>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</si>
  <si>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</si>
  <si>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</si>
  <si>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</si>
  <si>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</si>
  <si>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</si>
  <si>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</si>
  <si>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</si>
  <si>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</si>
  <si>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</si>
  <si>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</si>
  <si>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</si>
  <si>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</si>
  <si>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</si>
  <si>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</si>
  <si>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</si>
  <si>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</si>
  <si>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</si>
  <si>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</si>
  <si>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</si>
  <si>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</si>
  <si>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</si>
  <si>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</si>
  <si>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</si>
  <si>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</si>
  <si>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</si>
  <si>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</si>
  <si>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</si>
  <si>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</si>
  <si>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</si>
  <si>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</si>
  <si>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</si>
  <si>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</si>
  <si>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</si>
  <si>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</si>
  <si>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</si>
  <si>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</si>
  <si>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</si>
  <si>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</si>
  <si>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</si>
  <si>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</si>
  <si>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</si>
  <si>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</si>
  <si>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</si>
  <si>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</si>
  <si>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</si>
  <si>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</si>
  <si>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</si>
  <si>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</si>
  <si>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</si>
  <si>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</si>
  <si>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</si>
  <si>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</si>
  <si>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</si>
  <si>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</si>
  <si>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</si>
  <si>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</si>
  <si>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</si>
  <si>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</si>
  <si>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</si>
  <si>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</si>
  <si>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</si>
  <si>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</si>
  <si>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</si>
  <si>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</si>
  <si>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</si>
  <si>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</si>
  <si>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</si>
  <si>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</si>
  <si>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</si>
  <si>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</si>
  <si>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</si>
  <si>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</si>
  <si>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</si>
  <si>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</si>
  <si>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</si>
  <si>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</si>
  <si>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</si>
  <si>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</si>
  <si>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</si>
  <si>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</si>
  <si>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</si>
  <si>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</si>
  <si>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</si>
  <si>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</si>
  <si>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</si>
  <si>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</si>
  <si>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</si>
  <si>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</si>
  <si>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</si>
  <si>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</si>
  <si>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</si>
  <si>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</si>
  <si>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</si>
  <si>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</si>
  <si>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</si>
  <si>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</si>
  <si>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</si>
  <si>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</si>
  <si>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</si>
  <si>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</si>
  <si>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</si>
  <si>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</si>
  <si>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</si>
  <si>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</si>
  <si>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</si>
  <si>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</si>
  <si>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</si>
  <si>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</si>
  <si>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</si>
  <si>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</si>
  <si>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</si>
  <si>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</si>
  <si>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</si>
  <si>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</si>
  <si>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</si>
  <si>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</si>
  <si>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</si>
  <si>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</si>
  <si>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</si>
  <si>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</si>
  <si>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</si>
  <si>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</si>
  <si>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</si>
  <si>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</si>
  <si>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</si>
  <si>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</si>
  <si>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</si>
  <si>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</si>
  <si>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</si>
  <si>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</si>
  <si>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</si>
  <si>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</si>
  <si>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</si>
  <si>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</si>
  <si>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</si>
  <si>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</si>
  <si>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</si>
  <si>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</si>
  <si>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</si>
  <si>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</si>
  <si>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</si>
  <si>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</si>
  <si>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</si>
  <si>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</si>
  <si>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</si>
  <si>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</si>
  <si>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</si>
  <si>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</si>
  <si>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</si>
  <si>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</si>
  <si>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</si>
  <si>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</si>
  <si>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</si>
  <si>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</si>
  <si>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</si>
  <si>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</si>
  <si>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</si>
  <si>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</si>
  <si>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</si>
  <si>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</si>
  <si>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</si>
  <si>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</si>
  <si>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</si>
  <si>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</si>
  <si>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</si>
  <si>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</si>
  <si>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</si>
  <si>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</si>
  <si>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</si>
  <si>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</si>
  <si>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</si>
  <si>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</si>
  <si>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</si>
  <si>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</si>
  <si>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</si>
  <si>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</si>
  <si>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</si>
  <si>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</si>
  <si>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</si>
  <si>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</si>
  <si>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</si>
  <si>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</si>
  <si>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</si>
  <si>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</si>
  <si>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</si>
  <si>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</si>
  <si>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</si>
  <si>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</si>
  <si>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</si>
  <si>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</si>
  <si>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</si>
  <si>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</si>
  <si>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</si>
  <si>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</si>
  <si>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</si>
  <si>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</si>
  <si>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</si>
  <si>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</si>
  <si>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</si>
  <si>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</si>
  <si>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</si>
  <si>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</si>
  <si>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</si>
  <si>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</si>
  <si>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</si>
  <si>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</si>
  <si>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</si>
  <si>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</si>
  <si>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</si>
  <si>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</si>
  <si>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</si>
  <si>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</si>
  <si>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</si>
  <si>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</si>
  <si>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</si>
  <si>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</si>
  <si>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</si>
  <si>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</si>
  <si>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</si>
  <si>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</si>
  <si>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</si>
  <si>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</si>
  <si>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</si>
  <si>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</si>
  <si>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</si>
  <si>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</si>
  <si>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</si>
  <si>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</si>
  <si>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</si>
  <si>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</si>
  <si>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</si>
  <si>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</si>
  <si>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</si>
  <si>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</si>
  <si>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</si>
  <si>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</si>
  <si>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</si>
  <si>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</si>
  <si>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</si>
  <si>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</si>
  <si>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</si>
  <si>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</si>
  <si>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</si>
  <si>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</si>
  <si>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</si>
  <si>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</si>
  <si>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</si>
  <si>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</si>
  <si>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</si>
  <si>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</si>
  <si>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</si>
  <si>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</si>
  <si>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</si>
  <si>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</si>
  <si>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</si>
  <si>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</si>
  <si>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</si>
  <si>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</si>
  <si>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</si>
  <si>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</si>
  <si>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</si>
  <si>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</si>
  <si>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</si>
  <si>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</si>
  <si>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</si>
  <si>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</si>
  <si>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</si>
  <si>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</si>
  <si>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</si>
  <si>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</si>
  <si>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</si>
  <si>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</si>
  <si>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</si>
  <si>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</si>
  <si>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</si>
  <si>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</si>
  <si>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</si>
  <si>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</si>
  <si>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</si>
  <si>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</si>
  <si>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</si>
  <si>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</si>
  <si>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</si>
  <si>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</si>
  <si>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</si>
  <si>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</si>
  <si>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</si>
  <si>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</si>
  <si>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</si>
  <si>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</si>
  <si>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</si>
  <si>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</si>
  <si>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</si>
  <si>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</si>
  <si>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</si>
  <si>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</si>
  <si>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</si>
  <si>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</si>
  <si>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</si>
  <si>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</si>
  <si>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</si>
  <si>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</si>
  <si>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</si>
  <si>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</si>
  <si>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</si>
  <si>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</si>
  <si>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</si>
  <si>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</si>
  <si>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</si>
  <si>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</si>
  <si>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</si>
  <si>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</si>
  <si>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</si>
  <si>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</si>
  <si>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</si>
  <si>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</si>
  <si>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</si>
  <si>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</si>
  <si>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</si>
  <si>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</si>
  <si>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</si>
  <si>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</si>
  <si>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</si>
  <si>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</si>
  <si>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</si>
  <si>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</si>
  <si>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</si>
  <si>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</si>
  <si>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</si>
  <si>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</si>
  <si>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</si>
  <si>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</si>
  <si>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</si>
  <si>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</si>
  <si>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</si>
  <si>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</si>
  <si>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</si>
  <si>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</si>
  <si>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</si>
  <si>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</si>
  <si>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</si>
  <si>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</si>
  <si>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</si>
  <si>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</si>
  <si>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</si>
  <si>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</si>
  <si>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</si>
  <si>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</si>
  <si>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</si>
  <si>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</si>
  <si>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</si>
  <si>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</si>
  <si>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</si>
  <si>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</si>
  <si>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</si>
  <si>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</si>
  <si>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</si>
  <si>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</si>
  <si>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</si>
  <si>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</si>
  <si>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</si>
  <si>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</si>
  <si>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</si>
  <si>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</si>
  <si>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</si>
  <si>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</si>
  <si>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</si>
  <si>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</si>
  <si>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</si>
  <si>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</si>
  <si>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</si>
  <si>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</si>
  <si>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</si>
  <si>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</si>
  <si>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</si>
  <si>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</si>
  <si>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</si>
  <si>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</si>
  <si>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</si>
  <si>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</si>
  <si>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</si>
  <si>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</si>
  <si>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</si>
  <si>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</si>
  <si>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</si>
  <si>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</si>
  <si>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</si>
  <si>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</si>
  <si>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</si>
  <si>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</si>
  <si>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</si>
  <si>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</si>
  <si>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</si>
  <si>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</si>
  <si>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</si>
  <si>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</si>
  <si>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</si>
  <si>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</si>
  <si>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</si>
  <si>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</si>
  <si>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r>
      <rPr>
        <sz val="10"/>
        <color theme="9" tint="-0.249977111117893"/>
        <rFont val="宋体"/>
        <family val="3"/>
        <charset val="134"/>
      </rPr>
      <t>通州区运河园路</t>
    </r>
    <r>
      <rPr>
        <sz val="10"/>
        <color theme="9" tint="-0.249977111117893"/>
        <rFont val="Arial"/>
        <family val="2"/>
      </rPr>
      <t>9</t>
    </r>
    <r>
      <rPr>
        <sz val="10"/>
        <color theme="9" tint="-0.249977111117893"/>
        <rFont val="宋体"/>
        <family val="3"/>
        <charset val="134"/>
      </rPr>
      <t>号院</t>
    </r>
    <r>
      <rPr>
        <sz val="10"/>
        <color theme="9" tint="-0.249977111117893"/>
        <rFont val="Arial"/>
        <family val="2"/>
      </rPr>
      <t>3</t>
    </r>
    <r>
      <rPr>
        <sz val="10"/>
        <color theme="9" tint="-0.249977111117893"/>
        <rFont val="宋体"/>
        <family val="3"/>
        <charset val="134"/>
      </rPr>
      <t>号楼</t>
    </r>
    <r>
      <rPr>
        <sz val="10"/>
        <color theme="9" tint="-0.249977111117893"/>
        <rFont val="Arial"/>
        <family val="2"/>
      </rPr>
      <t>16</t>
    </r>
    <r>
      <rPr>
        <sz val="10"/>
        <color theme="9" tint="-0.249977111117893"/>
        <rFont val="宋体"/>
        <family val="3"/>
        <charset val="134"/>
      </rPr>
      <t>层</t>
    </r>
    <r>
      <rPr>
        <sz val="10"/>
        <color theme="9" tint="-0.249977111117893"/>
        <rFont val="Arial"/>
        <family val="2"/>
      </rPr>
      <t>1606</t>
    </r>
    <phoneticPr fontId="6" type="noConversion"/>
  </si>
  <si>
    <t>办公</t>
    <phoneticPr fontId="6" type="noConversion"/>
  </si>
  <si>
    <t>否</t>
  </si>
  <si>
    <t>办公项目</t>
  </si>
  <si>
    <t>现房</t>
  </si>
  <si>
    <t>Ⅳ-通1</t>
  </si>
  <si>
    <t>是</t>
  </si>
  <si>
    <t>地上</t>
  </si>
  <si>
    <t>办公</t>
    <phoneticPr fontId="7" type="noConversion"/>
  </si>
  <si>
    <t>成新度</t>
  </si>
  <si>
    <t>收益法 (元)</t>
  </si>
  <si>
    <t>楼面单价</t>
  </si>
  <si>
    <t>自定义</t>
  </si>
  <si>
    <t>商务金融用地</t>
  </si>
  <si>
    <t>建成年代</t>
    <phoneticPr fontId="3" type="noConversion"/>
  </si>
  <si>
    <t>网上查询得知</t>
    <phoneticPr fontId="3" type="noConversion"/>
  </si>
  <si>
    <t>直线</t>
    <phoneticPr fontId="3" type="noConversion"/>
  </si>
  <si>
    <t>自定义容积率</t>
  </si>
  <si>
    <t>与级别开发程度不一致</t>
  </si>
  <si>
    <t>通路</t>
  </si>
  <si>
    <t>通电</t>
  </si>
  <si>
    <t>通讯</t>
  </si>
  <si>
    <t>通上水</t>
  </si>
  <si>
    <t>通下水</t>
  </si>
  <si>
    <t>通热</t>
  </si>
  <si>
    <t>平整</t>
  </si>
  <si>
    <t>中心城区以外</t>
  </si>
  <si>
    <t>较好</t>
  </si>
  <si>
    <t>较差</t>
  </si>
  <si>
    <t>一般</t>
  </si>
  <si>
    <t>好</t>
  </si>
  <si>
    <t>未包含在土地购买价格中</t>
  </si>
  <si>
    <t>已包含在土地取得成本中</t>
  </si>
  <si>
    <t>押一</t>
  </si>
  <si>
    <t>钢混</t>
  </si>
  <si>
    <t>非生产用房</t>
  </si>
  <si>
    <t>链家王莉莉</t>
    <phoneticPr fontId="134" type="noConversion"/>
  </si>
  <si>
    <r>
      <t>挂4</t>
    </r>
    <r>
      <rPr>
        <sz val="11"/>
        <color theme="1"/>
        <rFont val="宋体"/>
        <family val="3"/>
        <charset val="134"/>
        <scheme val="minor"/>
      </rPr>
      <t>0000没人买，之前有一个挂总价200万，朝向看不到河也没人买</t>
    </r>
    <phoneticPr fontId="134" type="noConversion"/>
  </si>
  <si>
    <t>在M5运河一号对面，富力中心，成交单价18000-19000，80平，150万</t>
    <phoneticPr fontId="134" type="noConversion"/>
  </si>
  <si>
    <t>单套模式</t>
  </si>
  <si>
    <t>售价</t>
  </si>
  <si>
    <t>M5运河一号</t>
    <phoneticPr fontId="3" type="noConversion"/>
  </si>
  <si>
    <t>正常</t>
  </si>
  <si>
    <t>办公</t>
    <phoneticPr fontId="31" type="noConversion"/>
  </si>
  <si>
    <t>七通</t>
  </si>
  <si>
    <r>
      <t>35-40</t>
    </r>
    <r>
      <rPr>
        <sz val="11"/>
        <color indexed="8"/>
        <rFont val="宋体"/>
        <family val="3"/>
        <charset val="134"/>
      </rPr>
      <t>（含）</t>
    </r>
    <phoneticPr fontId="31" type="noConversion"/>
  </si>
  <si>
    <r>
      <t>0-5</t>
    </r>
    <r>
      <rPr>
        <sz val="11"/>
        <rFont val="宋体"/>
        <family val="3"/>
        <charset val="134"/>
      </rPr>
      <t>（含）</t>
    </r>
    <phoneticPr fontId="31" type="noConversion"/>
  </si>
  <si>
    <r>
      <t>5-10</t>
    </r>
    <r>
      <rPr>
        <sz val="11"/>
        <rFont val="宋体"/>
        <family val="3"/>
        <charset val="134"/>
      </rPr>
      <t>（含）</t>
    </r>
    <phoneticPr fontId="31" type="noConversion"/>
  </si>
  <si>
    <r>
      <t>10-15</t>
    </r>
    <r>
      <rPr>
        <sz val="11"/>
        <rFont val="宋体"/>
        <family val="3"/>
        <charset val="134"/>
      </rPr>
      <t>（含）</t>
    </r>
    <phoneticPr fontId="31" type="noConversion"/>
  </si>
  <si>
    <r>
      <t>15-20</t>
    </r>
    <r>
      <rPr>
        <sz val="11"/>
        <rFont val="宋体"/>
        <family val="3"/>
        <charset val="134"/>
      </rPr>
      <t>（含）</t>
    </r>
    <phoneticPr fontId="31" type="noConversion"/>
  </si>
  <si>
    <r>
      <t>20-25</t>
    </r>
    <r>
      <rPr>
        <sz val="11"/>
        <rFont val="宋体"/>
        <family val="3"/>
        <charset val="134"/>
      </rPr>
      <t>（含）</t>
    </r>
    <phoneticPr fontId="31" type="noConversion"/>
  </si>
  <si>
    <r>
      <t>25-30</t>
    </r>
    <r>
      <rPr>
        <sz val="11"/>
        <rFont val="宋体"/>
        <family val="3"/>
        <charset val="134"/>
      </rPr>
      <t>（含）</t>
    </r>
    <phoneticPr fontId="31" type="noConversion"/>
  </si>
  <si>
    <r>
      <t>30-35</t>
    </r>
    <r>
      <rPr>
        <sz val="11"/>
        <rFont val="宋体"/>
        <family val="3"/>
        <charset val="134"/>
      </rPr>
      <t>（含）</t>
    </r>
    <phoneticPr fontId="31" type="noConversion"/>
  </si>
  <si>
    <r>
      <t>35-40</t>
    </r>
    <r>
      <rPr>
        <sz val="11"/>
        <rFont val="宋体"/>
        <family val="3"/>
        <charset val="134"/>
      </rPr>
      <t>（含）</t>
    </r>
    <phoneticPr fontId="31" type="noConversion"/>
  </si>
  <si>
    <r>
      <t>40-45</t>
    </r>
    <r>
      <rPr>
        <sz val="11"/>
        <color indexed="53"/>
        <rFont val="宋体"/>
        <family val="3"/>
        <charset val="134"/>
      </rPr>
      <t>（含）</t>
    </r>
    <phoneticPr fontId="31" type="noConversion"/>
  </si>
  <si>
    <r>
      <t>45-50</t>
    </r>
    <r>
      <rPr>
        <sz val="11"/>
        <color indexed="53"/>
        <rFont val="宋体"/>
        <family val="3"/>
        <charset val="134"/>
      </rPr>
      <t>（含）</t>
    </r>
    <phoneticPr fontId="31"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</si>
  <si>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</si>
  <si>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</si>
  <si>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phoneticPr fontId="31" type="noConversion"/>
  </si>
  <si>
    <t>支路</t>
  </si>
  <si>
    <t>支路</t>
    <phoneticPr fontId="31" type="noConversion"/>
  </si>
  <si>
    <t>高楼层</t>
  </si>
  <si>
    <t>高楼层</t>
    <phoneticPr fontId="31" type="noConversion"/>
  </si>
  <si>
    <t>中楼层</t>
    <phoneticPr fontId="31" type="noConversion"/>
  </si>
  <si>
    <t>低楼层</t>
    <phoneticPr fontId="31" type="noConversion"/>
  </si>
  <si>
    <t>写字楼</t>
  </si>
  <si>
    <t>写字楼</t>
    <phoneticPr fontId="31" type="noConversion"/>
  </si>
  <si>
    <t>钢混</t>
    <phoneticPr fontId="31" type="noConversion"/>
  </si>
  <si>
    <t>精装修</t>
  </si>
  <si>
    <t>精装修</t>
    <phoneticPr fontId="31" type="noConversion"/>
  </si>
  <si>
    <t>普通装修</t>
  </si>
  <si>
    <t>普通装修</t>
    <phoneticPr fontId="31" type="noConversion"/>
  </si>
  <si>
    <t>简单装修</t>
    <phoneticPr fontId="31" type="noConversion"/>
  </si>
  <si>
    <t>毛坯</t>
  </si>
  <si>
    <t>毛坯</t>
    <phoneticPr fontId="31" type="noConversion"/>
  </si>
  <si>
    <r>
      <rPr>
        <sz val="11"/>
        <rFont val="宋体"/>
        <family val="3"/>
        <charset val="134"/>
      </rPr>
      <t>约</t>
    </r>
    <r>
      <rPr>
        <sz val="11"/>
        <rFont val="Arial"/>
        <family val="2"/>
      </rPr>
      <t>4</t>
    </r>
    <r>
      <rPr>
        <sz val="11"/>
        <rFont val="宋体"/>
        <family val="3"/>
        <charset val="134"/>
      </rPr>
      <t>米</t>
    </r>
    <phoneticPr fontId="31" type="noConversion"/>
  </si>
  <si>
    <t>专业</t>
  </si>
  <si>
    <t>专业</t>
    <phoneticPr fontId="31" type="noConversion"/>
  </si>
  <si>
    <t>普通</t>
    <phoneticPr fontId="31" type="noConversion"/>
  </si>
  <si>
    <t>七通</t>
    <phoneticPr fontId="31" type="noConversion"/>
  </si>
  <si>
    <t>六通</t>
  </si>
  <si>
    <t>六通</t>
    <phoneticPr fontId="31" type="noConversion"/>
  </si>
  <si>
    <t>五通</t>
    <phoneticPr fontId="31" type="noConversion"/>
  </si>
  <si>
    <t>甲级</t>
  </si>
  <si>
    <t>甲级</t>
    <phoneticPr fontId="31" type="noConversion"/>
  </si>
  <si>
    <t>乙级</t>
    <phoneticPr fontId="31" type="noConversion"/>
  </si>
  <si>
    <t>丙级</t>
    <phoneticPr fontId="31" type="noConversion"/>
  </si>
  <si>
    <t>未评级</t>
    <phoneticPr fontId="31" type="noConversion"/>
  </si>
  <si>
    <t>约4米</t>
  </si>
  <si>
    <t>报价</t>
  </si>
  <si>
    <t>报价</t>
    <phoneticPr fontId="31" type="noConversion"/>
  </si>
  <si>
    <t>比较法-办公</t>
  </si>
  <si>
    <t>运河上筑中心</t>
    <phoneticPr fontId="3" type="noConversion"/>
  </si>
  <si>
    <t>南北</t>
    <phoneticPr fontId="31" type="noConversion"/>
  </si>
  <si>
    <t>东南</t>
    <phoneticPr fontId="31" type="noConversion"/>
  </si>
  <si>
    <t>南</t>
    <phoneticPr fontId="31" type="noConversion"/>
  </si>
  <si>
    <t>西南</t>
    <phoneticPr fontId="31" type="noConversion"/>
  </si>
  <si>
    <t>东西</t>
    <phoneticPr fontId="31" type="noConversion"/>
  </si>
  <si>
    <t>东</t>
    <phoneticPr fontId="31" type="noConversion"/>
  </si>
  <si>
    <t>东北</t>
    <phoneticPr fontId="31" type="noConversion"/>
  </si>
  <si>
    <t>西</t>
    <phoneticPr fontId="31" type="noConversion"/>
  </si>
  <si>
    <t>西北</t>
    <phoneticPr fontId="31" type="noConversion"/>
  </si>
  <si>
    <t>北</t>
    <phoneticPr fontId="31" type="noConversion"/>
  </si>
  <si>
    <t>在M5运河一号旁，百合湾loft，卖不出去</t>
    <phoneticPr fontId="134" type="noConversion"/>
  </si>
  <si>
    <t>住建委查到运河上筑中心与M5运河一号为同一地址</t>
    <phoneticPr fontId="31" type="noConversion"/>
  </si>
  <si>
    <t>出租率一般，不太好租，租金2.2-3.6不等</t>
    <phoneticPr fontId="134" type="noConversion"/>
  </si>
  <si>
    <t>未修朝向</t>
    <phoneticPr fontId="31" type="noConversion"/>
  </si>
  <si>
    <r>
      <rPr>
        <sz val="10"/>
        <color rgb="FFFF0000"/>
        <rFont val="宋体"/>
        <family val="3"/>
        <charset val="134"/>
      </rPr>
      <t>询价</t>
    </r>
    <r>
      <rPr>
        <sz val="10"/>
        <color rgb="FFFF0000"/>
        <rFont val="Arial"/>
        <family val="2"/>
      </rPr>
      <t>28000</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</si>
</sst>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indexed="8"/>
      <name val="Arial"/>
      <family val="3"/>
      <charset val="134"/>
    </font>
    <font>
      <sz val="11"/>
      <name val="Arial"/>
      <family val="3"/>
      <charset val="134"/>
    </font>
    <font>
      <sz val="10"/>
      <color rgb="FFFF0000"/>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49" fontId="272" fillId="12" borderId="4" xfId="0" applyNumberFormat="1" applyFont="1" applyFill="1" applyBorder="1" applyAlignment="1" applyProtection="1">
      <alignment horizontal="left" vertical="center"/>
      <protection locked="0"/>
    </xf>
    <xf numFmtId="49" fontId="222" fillId="0" borderId="4" xfId="0" applyNumberFormat="1" applyFont="1" applyBorder="1" applyAlignment="1" applyProtection="1">
      <alignment horizontal="left" vertical="center"/>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208" fillId="0" borderId="23"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74"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00" fillId="2" borderId="23" xfId="0" applyFont="1" applyFill="1" applyBorder="1" applyAlignment="1" applyProtection="1">
      <alignment horizontal="center" vertical="center" wrapText="1"/>
      <protection locked="0"/>
    </xf>
    <xf numFmtId="0" fontId="224" fillId="0" borderId="44" xfId="0" applyFont="1" applyBorder="1" applyAlignment="1" applyProtection="1">
      <alignment horizontal="center" vertical="center" wrapText="1"/>
      <protection locked="0"/>
    </xf>
    <xf numFmtId="0" fontId="224" fillId="0" borderId="44" xfId="0" applyFont="1" applyBorder="1" applyAlignment="1" applyProtection="1">
      <alignment horizontal="left" vertical="center" wrapText="1"/>
      <protection locked="0"/>
    </xf>
    <xf numFmtId="0" fontId="128" fillId="0" borderId="5"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01" fillId="6" borderId="0" xfId="0" applyFont="1" applyFill="1" applyProtection="1">
      <alignment vertical="center"/>
      <protection locked="0"/>
    </xf>
    <xf numFmtId="0" fontId="123" fillId="5" borderId="0" xfId="0" applyFont="1" applyFill="1" applyAlignment="1" applyProtection="1">
      <alignment horizontal="center" vertical="center"/>
      <protection locked="0"/>
    </xf>
    <xf numFmtId="181" fontId="209" fillId="12" borderId="0" xfId="0" applyNumberFormat="1" applyFont="1" applyFill="1" applyAlignment="1" applyProtection="1">
      <alignment horizontal="center" vertical="center" wrapText="1"/>
      <protection locked="0"/>
    </xf>
    <xf numFmtId="0" fontId="123" fillId="0" borderId="54" xfId="0" applyFont="1" applyBorder="1" applyAlignment="1" applyProtection="1">
      <alignment horizontal="center" vertical="center" wrapText="1"/>
      <protection locked="0"/>
    </xf>
    <xf numFmtId="0" fontId="123" fillId="0" borderId="41" xfId="0" applyFont="1" applyBorder="1" applyAlignment="1" applyProtection="1">
      <alignment horizontal="center" vertical="center" wrapText="1"/>
      <protection locked="0"/>
    </xf>
    <xf numFmtId="0" fontId="123" fillId="0" borderId="7" xfId="0" applyFont="1" applyBorder="1" applyAlignment="1" applyProtection="1">
      <alignment horizontal="center" vertical="center" wrapText="1"/>
      <protection locked="0"/>
    </xf>
    <xf numFmtId="0" fontId="275" fillId="6" borderId="0" xfId="0" applyFont="1" applyFill="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494248</xdr:colOff>
      <xdr:row>36</xdr:row>
      <xdr:rowOff>102034</xdr:rowOff>
    </xdr:to>
    <xdr:pic>
      <xdr:nvPicPr>
        <xdr:cNvPr id="3" name="图片 2">
          <a:extLst>
            <a:ext uri="{FF2B5EF4-FFF2-40B4-BE49-F238E27FC236}">
              <a16:creationId xmlns:a16="http://schemas.microsoft.com/office/drawing/2014/main" id="{C146C082-C08E-B534-59C6-44A39FC058E1}"/>
            </a:ext>
          </a:extLst>
        </xdr:cNvPr>
        <xdr:cNvPicPr>
          <a:picLocks noChangeAspect="1"/>
        </xdr:cNvPicPr>
      </xdr:nvPicPr>
      <xdr:blipFill>
        <a:blip xmlns:r="http://schemas.openxmlformats.org/officeDocument/2006/relationships" r:embed="rId1"/>
        <a:stretch>
          <a:fillRect/>
        </a:stretch>
      </xdr:blipFill>
      <xdr:spPr>
        <a:xfrm>
          <a:off x="0" y="0"/>
          <a:ext cx="8419048" cy="6685714"/>
        </a:xfrm>
        <a:prstGeom prst="rect">
          <a:avLst/>
        </a:prstGeom>
      </xdr:spPr>
    </xdr:pic>
    <xdr:clientData/>
  </xdr:twoCellAnchor>
  <xdr:twoCellAnchor editAs="oneCell">
    <xdr:from>
      <xdr:col>13</xdr:col>
      <xdr:colOff>586740</xdr:colOff>
      <xdr:row>0</xdr:row>
      <xdr:rowOff>0</xdr:rowOff>
    </xdr:from>
    <xdr:to>
      <xdr:col>32</xdr:col>
      <xdr:colOff>297279</xdr:colOff>
      <xdr:row>31</xdr:row>
      <xdr:rowOff>41794</xdr:rowOff>
    </xdr:to>
    <xdr:pic>
      <xdr:nvPicPr>
        <xdr:cNvPr id="4" name="图片 3">
          <a:extLst>
            <a:ext uri="{FF2B5EF4-FFF2-40B4-BE49-F238E27FC236}">
              <a16:creationId xmlns:a16="http://schemas.microsoft.com/office/drawing/2014/main" id="{9170405F-EC0D-07DD-E33E-0934B4808D3E}"/>
            </a:ext>
          </a:extLst>
        </xdr:cNvPr>
        <xdr:cNvPicPr>
          <a:picLocks noChangeAspect="1"/>
        </xdr:cNvPicPr>
      </xdr:nvPicPr>
      <xdr:blipFill>
        <a:blip xmlns:r="http://schemas.openxmlformats.org/officeDocument/2006/relationships" r:embed="rId2"/>
        <a:stretch>
          <a:fillRect/>
        </a:stretch>
      </xdr:blipFill>
      <xdr:spPr>
        <a:xfrm>
          <a:off x="8511540" y="0"/>
          <a:ext cx="13411299" cy="57110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18</xdr:col>
      <xdr:colOff>91440</xdr:colOff>
      <xdr:row>6</xdr:row>
      <xdr:rowOff>0</xdr:rowOff>
    </xdr:from>
    <xdr:to>
      <xdr:col>25</xdr:col>
      <xdr:colOff>373380</xdr:colOff>
      <xdr:row>24</xdr:row>
      <xdr:rowOff>150960</xdr:rowOff>
    </xdr:to>
    <xdr:pic>
      <xdr:nvPicPr>
        <xdr:cNvPr id="2" name="图片 1">
          <a:extLst>
            <a:ext uri="{FF2B5EF4-FFF2-40B4-BE49-F238E27FC236}">
              <a16:creationId xmlns:a16="http://schemas.microsoft.com/office/drawing/2014/main" id="{F4DC047A-082A-7EE0-ED17-3FC34ECA80B2}"/>
            </a:ext>
          </a:extLst>
        </xdr:cNvPr>
        <xdr:cNvPicPr>
          <a:picLocks noChangeAspect="1"/>
        </xdr:cNvPicPr>
      </xdr:nvPicPr>
      <xdr:blipFill>
        <a:blip xmlns:r="http://schemas.openxmlformats.org/officeDocument/2006/relationships" r:embed="rId1"/>
        <a:stretch>
          <a:fillRect/>
        </a:stretch>
      </xdr:blipFill>
      <xdr:spPr>
        <a:xfrm>
          <a:off x="11064240" y="0"/>
          <a:ext cx="4549140" cy="3442800"/>
        </a:xfrm>
        <a:prstGeom prst="rect">
          <a:avLst/>
        </a:prstGeom>
      </xdr:spPr>
    </xdr:pic>
    <xdr:clientData/>
  </xdr:twoCellAnchor>
  <xdr:twoCellAnchor editAs="oneCell">
    <xdr:from>
      <xdr:col>0</xdr:col>
      <xdr:colOff>0</xdr:colOff>
      <xdr:row>51</xdr:row>
      <xdr:rowOff>0</xdr:rowOff>
    </xdr:from>
    <xdr:to>
      <xdr:col>11</xdr:col>
      <xdr:colOff>94400</xdr:colOff>
      <xdr:row>93</xdr:row>
      <xdr:rowOff>71421</xdr:rowOff>
    </xdr:to>
    <xdr:pic>
      <xdr:nvPicPr>
        <xdr:cNvPr id="3" name="图片 2">
          <a:extLst>
            <a:ext uri="{FF2B5EF4-FFF2-40B4-BE49-F238E27FC236}">
              <a16:creationId xmlns:a16="http://schemas.microsoft.com/office/drawing/2014/main" id="{D46A3D4E-27E8-9A3E-E590-A3508243257C}"/>
            </a:ext>
          </a:extLst>
        </xdr:cNvPr>
        <xdr:cNvPicPr>
          <a:picLocks noChangeAspect="1"/>
        </xdr:cNvPicPr>
      </xdr:nvPicPr>
      <xdr:blipFill>
        <a:blip xmlns:r="http://schemas.openxmlformats.org/officeDocument/2006/relationships" r:embed="rId2"/>
        <a:stretch>
          <a:fillRect/>
        </a:stretch>
      </xdr:blipFill>
      <xdr:spPr>
        <a:xfrm>
          <a:off x="0" y="8229600"/>
          <a:ext cx="6800000" cy="7752381"/>
        </a:xfrm>
        <a:prstGeom prst="rect">
          <a:avLst/>
        </a:prstGeom>
      </xdr:spPr>
    </xdr:pic>
    <xdr:clientData/>
  </xdr:twoCellAnchor>
  <xdr:twoCellAnchor editAs="oneCell">
    <xdr:from>
      <xdr:col>0</xdr:col>
      <xdr:colOff>106680</xdr:colOff>
      <xdr:row>93</xdr:row>
      <xdr:rowOff>83820</xdr:rowOff>
    </xdr:from>
    <xdr:to>
      <xdr:col>10</xdr:col>
      <xdr:colOff>582109</xdr:colOff>
      <xdr:row>135</xdr:row>
      <xdr:rowOff>126669</xdr:rowOff>
    </xdr:to>
    <xdr:pic>
      <xdr:nvPicPr>
        <xdr:cNvPr id="4" name="图片 3">
          <a:extLst>
            <a:ext uri="{FF2B5EF4-FFF2-40B4-BE49-F238E27FC236}">
              <a16:creationId xmlns:a16="http://schemas.microsoft.com/office/drawing/2014/main" id="{63325216-9578-4F12-04C5-E7B789B28286}"/>
            </a:ext>
          </a:extLst>
        </xdr:cNvPr>
        <xdr:cNvPicPr>
          <a:picLocks noChangeAspect="1"/>
        </xdr:cNvPicPr>
      </xdr:nvPicPr>
      <xdr:blipFill>
        <a:blip xmlns:r="http://schemas.openxmlformats.org/officeDocument/2006/relationships" r:embed="rId3"/>
        <a:stretch>
          <a:fillRect/>
        </a:stretch>
      </xdr:blipFill>
      <xdr:spPr>
        <a:xfrm>
          <a:off x="106680" y="15994380"/>
          <a:ext cx="6571429" cy="7723809"/>
        </a:xfrm>
        <a:prstGeom prst="rect">
          <a:avLst/>
        </a:prstGeom>
      </xdr:spPr>
    </xdr:pic>
    <xdr:clientData/>
  </xdr:twoCellAnchor>
  <xdr:twoCellAnchor editAs="oneCell">
    <xdr:from>
      <xdr:col>0</xdr:col>
      <xdr:colOff>190500</xdr:colOff>
      <xdr:row>136</xdr:row>
      <xdr:rowOff>38100</xdr:rowOff>
    </xdr:from>
    <xdr:to>
      <xdr:col>10</xdr:col>
      <xdr:colOff>608786</xdr:colOff>
      <xdr:row>171</xdr:row>
      <xdr:rowOff>180157</xdr:rowOff>
    </xdr:to>
    <xdr:pic>
      <xdr:nvPicPr>
        <xdr:cNvPr id="5" name="图片 4">
          <a:extLst>
            <a:ext uri="{FF2B5EF4-FFF2-40B4-BE49-F238E27FC236}">
              <a16:creationId xmlns:a16="http://schemas.microsoft.com/office/drawing/2014/main" id="{8C231A37-FFE6-30BF-91F2-0E31B55361BA}"/>
            </a:ext>
          </a:extLst>
        </xdr:cNvPr>
        <xdr:cNvPicPr>
          <a:picLocks noChangeAspect="1"/>
        </xdr:cNvPicPr>
      </xdr:nvPicPr>
      <xdr:blipFill>
        <a:blip xmlns:r="http://schemas.openxmlformats.org/officeDocument/2006/relationships" r:embed="rId4"/>
        <a:stretch>
          <a:fillRect/>
        </a:stretch>
      </xdr:blipFill>
      <xdr:spPr>
        <a:xfrm>
          <a:off x="190500" y="23812500"/>
          <a:ext cx="6514286" cy="6542857"/>
        </a:xfrm>
        <a:prstGeom prst="rect">
          <a:avLst/>
        </a:prstGeom>
      </xdr:spPr>
    </xdr:pic>
    <xdr:clientData/>
  </xdr:twoCellAnchor>
  <xdr:twoCellAnchor editAs="oneCell">
    <xdr:from>
      <xdr:col>0</xdr:col>
      <xdr:colOff>0</xdr:colOff>
      <xdr:row>0</xdr:row>
      <xdr:rowOff>0</xdr:rowOff>
    </xdr:from>
    <xdr:to>
      <xdr:col>10</xdr:col>
      <xdr:colOff>288720</xdr:colOff>
      <xdr:row>26</xdr:row>
      <xdr:rowOff>12465</xdr:rowOff>
    </xdr:to>
    <xdr:pic>
      <xdr:nvPicPr>
        <xdr:cNvPr id="6" name="图片 5">
          <a:extLst>
            <a:ext uri="{FF2B5EF4-FFF2-40B4-BE49-F238E27FC236}">
              <a16:creationId xmlns:a16="http://schemas.microsoft.com/office/drawing/2014/main" id="{4802BE8C-C789-F5CC-858F-B630B9D74371}"/>
            </a:ext>
          </a:extLst>
        </xdr:cNvPr>
        <xdr:cNvPicPr>
          <a:picLocks noChangeAspect="1"/>
        </xdr:cNvPicPr>
      </xdr:nvPicPr>
      <xdr:blipFill>
        <a:blip xmlns:r="http://schemas.openxmlformats.org/officeDocument/2006/relationships" r:embed="rId5"/>
        <a:stretch>
          <a:fillRect/>
        </a:stretch>
      </xdr:blipFill>
      <xdr:spPr>
        <a:xfrm>
          <a:off x="0" y="0"/>
          <a:ext cx="6384720" cy="4767345"/>
        </a:xfrm>
        <a:prstGeom prst="rect">
          <a:avLst/>
        </a:prstGeom>
      </xdr:spPr>
    </xdr:pic>
    <xdr:clientData/>
  </xdr:twoCellAnchor>
  <xdr:twoCellAnchor editAs="oneCell">
    <xdr:from>
      <xdr:col>0</xdr:col>
      <xdr:colOff>205740</xdr:colOff>
      <xdr:row>27</xdr:row>
      <xdr:rowOff>144780</xdr:rowOff>
    </xdr:from>
    <xdr:to>
      <xdr:col>10</xdr:col>
      <xdr:colOff>240723</xdr:colOff>
      <xdr:row>52</xdr:row>
      <xdr:rowOff>81035</xdr:rowOff>
    </xdr:to>
    <xdr:pic>
      <xdr:nvPicPr>
        <xdr:cNvPr id="7" name="图片 6">
          <a:extLst>
            <a:ext uri="{FF2B5EF4-FFF2-40B4-BE49-F238E27FC236}">
              <a16:creationId xmlns:a16="http://schemas.microsoft.com/office/drawing/2014/main" id="{FD433B98-2B5E-171C-1780-305969CC0792}"/>
            </a:ext>
          </a:extLst>
        </xdr:cNvPr>
        <xdr:cNvPicPr>
          <a:picLocks noChangeAspect="1"/>
        </xdr:cNvPicPr>
      </xdr:nvPicPr>
      <xdr:blipFill>
        <a:blip xmlns:r="http://schemas.openxmlformats.org/officeDocument/2006/relationships" r:embed="rId6"/>
        <a:stretch>
          <a:fillRect/>
        </a:stretch>
      </xdr:blipFill>
      <xdr:spPr>
        <a:xfrm>
          <a:off x="205740" y="5082540"/>
          <a:ext cx="6130983" cy="4508255"/>
        </a:xfrm>
        <a:prstGeom prst="rect">
          <a:avLst/>
        </a:prstGeom>
      </xdr:spPr>
    </xdr:pic>
    <xdr:clientData/>
  </xdr:twoCellAnchor>
  <xdr:twoCellAnchor editAs="oneCell">
    <xdr:from>
      <xdr:col>17</xdr:col>
      <xdr:colOff>289560</xdr:colOff>
      <xdr:row>26</xdr:row>
      <xdr:rowOff>31556</xdr:rowOff>
    </xdr:from>
    <xdr:to>
      <xdr:col>30</xdr:col>
      <xdr:colOff>111096</xdr:colOff>
      <xdr:row>52</xdr:row>
      <xdr:rowOff>168725</xdr:rowOff>
    </xdr:to>
    <xdr:pic>
      <xdr:nvPicPr>
        <xdr:cNvPr id="8" name="图片 7">
          <a:extLst>
            <a:ext uri="{FF2B5EF4-FFF2-40B4-BE49-F238E27FC236}">
              <a16:creationId xmlns:a16="http://schemas.microsoft.com/office/drawing/2014/main" id="{5AFF81F1-7839-AA1B-2910-9C824C2D63FE}"/>
            </a:ext>
          </a:extLst>
        </xdr:cNvPr>
        <xdr:cNvPicPr>
          <a:picLocks noChangeAspect="1"/>
        </xdr:cNvPicPr>
      </xdr:nvPicPr>
      <xdr:blipFill>
        <a:blip xmlns:r="http://schemas.openxmlformats.org/officeDocument/2006/relationships" r:embed="rId7"/>
        <a:stretch>
          <a:fillRect/>
        </a:stretch>
      </xdr:blipFill>
      <xdr:spPr>
        <a:xfrm>
          <a:off x="10652760" y="3689156"/>
          <a:ext cx="7746336" cy="4892049"/>
        </a:xfrm>
        <a:prstGeom prst="rect">
          <a:avLst/>
        </a:prstGeom>
      </xdr:spPr>
    </xdr:pic>
    <xdr:clientData/>
  </xdr:twoCellAnchor>
  <xdr:twoCellAnchor editAs="oneCell">
    <xdr:from>
      <xdr:col>11</xdr:col>
      <xdr:colOff>358140</xdr:colOff>
      <xdr:row>50</xdr:row>
      <xdr:rowOff>163739</xdr:rowOff>
    </xdr:from>
    <xdr:to>
      <xdr:col>28</xdr:col>
      <xdr:colOff>282010</xdr:colOff>
      <xdr:row>77</xdr:row>
      <xdr:rowOff>92477</xdr:rowOff>
    </xdr:to>
    <xdr:pic>
      <xdr:nvPicPr>
        <xdr:cNvPr id="9" name="图片 8">
          <a:extLst>
            <a:ext uri="{FF2B5EF4-FFF2-40B4-BE49-F238E27FC236}">
              <a16:creationId xmlns:a16="http://schemas.microsoft.com/office/drawing/2014/main" id="{555FBC42-23D4-DF6A-884D-B1A69E7727B1}"/>
            </a:ext>
          </a:extLst>
        </xdr:cNvPr>
        <xdr:cNvPicPr>
          <a:picLocks noChangeAspect="1"/>
        </xdr:cNvPicPr>
      </xdr:nvPicPr>
      <xdr:blipFill>
        <a:blip xmlns:r="http://schemas.openxmlformats.org/officeDocument/2006/relationships" r:embed="rId8"/>
        <a:stretch>
          <a:fillRect/>
        </a:stretch>
      </xdr:blipFill>
      <xdr:spPr>
        <a:xfrm>
          <a:off x="7063740" y="8210459"/>
          <a:ext cx="10287070" cy="4866498"/>
        </a:xfrm>
        <a:prstGeom prst="rect">
          <a:avLst/>
        </a:prstGeom>
      </xdr:spPr>
    </xdr:pic>
    <xdr:clientData/>
  </xdr:twoCellAnchor>
  <xdr:twoCellAnchor editAs="oneCell">
    <xdr:from>
      <xdr:col>10</xdr:col>
      <xdr:colOff>548640</xdr:colOff>
      <xdr:row>14</xdr:row>
      <xdr:rowOff>137160</xdr:rowOff>
    </xdr:from>
    <xdr:to>
      <xdr:col>17</xdr:col>
      <xdr:colOff>52529</xdr:colOff>
      <xdr:row>45</xdr:row>
      <xdr:rowOff>101977</xdr:rowOff>
    </xdr:to>
    <xdr:pic>
      <xdr:nvPicPr>
        <xdr:cNvPr id="10" name="图片 9">
          <a:extLst>
            <a:ext uri="{FF2B5EF4-FFF2-40B4-BE49-F238E27FC236}">
              <a16:creationId xmlns:a16="http://schemas.microsoft.com/office/drawing/2014/main" id="{78F5D741-D13F-927A-D0B2-55B0EEA506CA}"/>
            </a:ext>
          </a:extLst>
        </xdr:cNvPr>
        <xdr:cNvPicPr>
          <a:picLocks noChangeAspect="1"/>
        </xdr:cNvPicPr>
      </xdr:nvPicPr>
      <xdr:blipFill>
        <a:blip xmlns:r="http://schemas.openxmlformats.org/officeDocument/2006/relationships" r:embed="rId9"/>
        <a:stretch>
          <a:fillRect/>
        </a:stretch>
      </xdr:blipFill>
      <xdr:spPr>
        <a:xfrm>
          <a:off x="6644640" y="2697480"/>
          <a:ext cx="3771089" cy="563409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北京市通州区运河园路9号院3号楼16层1606房地产抵押价值预评估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受贵公司委托，我公司对北京市通州区运河园路9号院3号楼16层1606房地产抵押价值进行了预评估。</v>
      </c>
    </row>
    <row r="7" spans="1:2">
      <c r="A7" s="1119" t="s">
        <v>566</v>
      </c>
      <c r="B7" s="1120" t="str">
        <f>'预评函-1'!A7</f>
        <v>估价对象为北京市通州区运河园路9号院3号楼16层1606房地产，为所有。根据《国有土地使用证》[]，估价对象（分摊）出让国有建设用地使用权面积为0平方米，建筑面积为71.03平方米。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通州区运河园路9号院3号楼16层1606房地产,属开发建设的办公项目，该项目尚在开发建设中。根据《国有土地使用证》[]，估价对象（分摊）出让国有建设用地使用权面积为0平方米，规划建筑面积为71.03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通州区运河园路9号院3号楼16层1606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2025年1月7日（评估专业人员实地查勘之日）</v>
      </c>
    </row>
    <row r="13" spans="1:2">
      <c r="A13" s="1119" t="s">
        <v>529</v>
      </c>
      <c r="B13" s="1120" t="str">
        <f>'预评函-1'!A18</f>
        <v>本次估价的“房地产价值”是指在正常市场情况下，在价值时点2025年1月7日，估价对象规划用途为办公，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199.29599999999999</v>
      </c>
    </row>
    <row r="21" spans="1:2">
      <c r="A21" s="1119" t="s">
        <v>537</v>
      </c>
      <c r="B21" s="1120">
        <f ca="1">'预评函-2'!D7</f>
        <v>28058</v>
      </c>
    </row>
    <row r="22" spans="1:2">
      <c r="A22" s="1119" t="s">
        <v>538</v>
      </c>
      <c r="B22" s="1120" t="str">
        <f ca="1">'预评函-2'!D6</f>
        <v>壹佰玖拾玖万贰仟玖佰陆拾元整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199.29599999999999</v>
      </c>
    </row>
    <row r="31" spans="1:2">
      <c r="A31" s="1119" t="s">
        <v>576</v>
      </c>
      <c r="B31" s="1120">
        <f ca="1">'预评函-2'!D15</f>
        <v>28058</v>
      </c>
    </row>
    <row r="32" spans="1:2">
      <c r="A32" s="1119" t="s">
        <v>543</v>
      </c>
      <c r="B32" s="1120" t="str">
        <f ca="1">'预评函-2'!D14</f>
        <v>壹佰玖拾玖万贰仟玖佰陆拾元整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北京市通州区运河园路9号院3号楼16层1606房地产</v>
      </c>
    </row>
    <row r="42" spans="1:2" ht="31.2">
      <c r="A42" s="1119" t="s">
        <v>590</v>
      </c>
      <c r="B42" s="1120" t="str">
        <f>'预评函-3'!B2</f>
        <v>建筑面积</v>
      </c>
    </row>
    <row r="43" spans="1:2">
      <c r="A43" s="1119" t="s">
        <v>591</v>
      </c>
      <c r="B43" s="1120">
        <f>'预评函-3'!B4</f>
        <v>71.03</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2577</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2578</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运河园路9号院3号楼16层1606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7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193"/>
      <c r="B54" s="1447" t="s">
        <v>385</v>
      </c>
      <c r="C54" s="1445" t="s">
        <v>583</v>
      </c>
    </row>
    <row r="55" spans="1:4">
      <c r="A55" s="3193"/>
      <c r="B55" s="1447" t="s">
        <v>386</v>
      </c>
      <c r="C55" s="1445" t="s">
        <v>584</v>
      </c>
    </row>
    <row r="56" spans="1:4">
      <c r="A56" s="3193"/>
      <c r="B56" s="1447" t="s">
        <v>387</v>
      </c>
      <c r="C56" s="1445" t="s">
        <v>588</v>
      </c>
    </row>
    <row r="57" spans="1:4">
      <c r="A57" s="319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194" t="s">
        <v>2580</v>
      </c>
      <c r="J2" s="3194"/>
      <c r="K2" s="3194"/>
      <c r="L2" s="3194"/>
      <c r="M2" s="3194"/>
      <c r="N2" s="3194"/>
      <c r="O2" s="3194"/>
      <c r="P2" s="3194"/>
      <c r="Q2" s="3194"/>
      <c r="R2" s="3194"/>
    </row>
    <row r="3" spans="1:18">
      <c r="A3" s="2762" t="s">
        <v>2501</v>
      </c>
      <c r="B3" s="2763">
        <f>项目基本情况!D3</f>
        <v>45664</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1.94</v>
      </c>
      <c r="D5" s="2767">
        <f>IF(ISERROR(ROUND(POWER(1+E5,A5-C5)*(POWER(1+E5,C5)-1)/(POWER(1+E5,A5)-1),3)),0,ROUND(POWER(1+E5,A5-C5)*(POWER(1+E5,C5)-1)/(POWER(1+E5,A5)-1),4))</f>
        <v>9.2499999999999999E-2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11.95</v>
      </c>
      <c r="D6" s="2767">
        <f>IF(ISERROR(ROUND(POWER(1+E6,A6-C6)*(POWER(1+E6,C6)-1)/(POWER(1+E6,A6)-1),3)),0,ROUND(POWER(1+E6,A6-C6)*(POWER(1+E6,C6)-1)/(POWER(1+E6,A6)-1),4))</f>
        <v>0.4355</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31.96</v>
      </c>
      <c r="D7" s="2767">
        <f>IF(ISERROR(ROUND(POWER(1+E7,A7-C7)*(POWER(1+E7,C7)-1)/(POWER(1+E7,A7)-1),3)),0,ROUND(POWER(1+E7,A7-C7)*(POWER(1+E7,C7)-1)/(POWER(1+E7,A7)-1),4))</f>
        <v>0.76349999999999996</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5" thickBot="1">
      <c r="A18" s="2772" t="s">
        <v>2516</v>
      </c>
      <c r="B18" s="2773">
        <f>ROUND(B17*F11/F12,2)</f>
        <v>5541.87</v>
      </c>
      <c r="C18" s="2773">
        <f>ROUND(F11/F12,4)</f>
        <v>1.1521999999999999</v>
      </c>
      <c r="D18" s="2774"/>
      <c r="E18" s="2774"/>
      <c r="F18" s="2775"/>
    </row>
    <row r="19" spans="1:14" ht="15" thickBot="1"/>
    <row r="20" spans="1:14" s="2808" customFormat="1" ht="1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5" thickBot="1"/>
    <row r="49" spans="1:4">
      <c r="A49" s="2755" t="s">
        <v>3389</v>
      </c>
    </row>
    <row r="50" spans="1:4">
      <c r="A50" s="3144" t="s">
        <v>3390</v>
      </c>
      <c r="B50" s="3144" t="s">
        <v>3391</v>
      </c>
      <c r="C50" s="3144" t="s">
        <v>3392</v>
      </c>
      <c r="D50" s="3144" t="s">
        <v>3393</v>
      </c>
    </row>
    <row r="51" spans="1:4">
      <c r="A51" s="3144" t="s">
        <v>3394</v>
      </c>
      <c r="B51" s="2764">
        <f>B52+B53</f>
        <v>15000</v>
      </c>
      <c r="C51" s="3145">
        <f>D51/B51</f>
        <v>2666.6666666666665</v>
      </c>
      <c r="D51" s="2764">
        <f>D52+D53</f>
        <v>40000000</v>
      </c>
    </row>
    <row r="52" spans="1:4">
      <c r="A52" s="3146" t="s">
        <v>3395</v>
      </c>
      <c r="B52" s="3147">
        <v>10000</v>
      </c>
      <c r="C52" s="3147">
        <v>1500</v>
      </c>
      <c r="D52" s="3148">
        <f>C52*B52</f>
        <v>15000000</v>
      </c>
    </row>
    <row r="53" spans="1:4">
      <c r="A53" s="3146" t="s">
        <v>3396</v>
      </c>
      <c r="B53" s="3147">
        <v>5000</v>
      </c>
      <c r="C53" s="3147">
        <v>5000</v>
      </c>
      <c r="D53" s="3148">
        <f>C53*B53</f>
        <v>25000000</v>
      </c>
    </row>
    <row r="54" spans="1:4">
      <c r="A54" s="3144" t="s">
        <v>3397</v>
      </c>
      <c r="B54" s="2764">
        <f>B51</f>
        <v>15000</v>
      </c>
      <c r="C54" s="2770">
        <v>700</v>
      </c>
      <c r="D54" s="2764">
        <f t="shared" ref="D54:D55" si="5">C54*B54</f>
        <v>10500000</v>
      </c>
    </row>
    <row r="55" spans="1:4">
      <c r="A55" s="3144" t="s">
        <v>3398</v>
      </c>
      <c r="B55" s="2764">
        <f>B51</f>
        <v>15000</v>
      </c>
      <c r="C55" s="2770">
        <v>1500</v>
      </c>
      <c r="D55" s="2764">
        <f t="shared" si="5"/>
        <v>22500000</v>
      </c>
    </row>
    <row r="56" spans="1:4">
      <c r="A56" s="3144" t="s">
        <v>3399</v>
      </c>
      <c r="B56" s="2764">
        <f>B51</f>
        <v>15000</v>
      </c>
      <c r="C56" s="3149">
        <f>C51+C54+C55</f>
        <v>4866.6666666666661</v>
      </c>
      <c r="D56" s="2764">
        <f>D51+D54+D55</f>
        <v>73000000</v>
      </c>
    </row>
    <row r="58" spans="1:4">
      <c r="A58" s="3144" t="s">
        <v>3400</v>
      </c>
      <c r="B58" s="3150">
        <v>0.05</v>
      </c>
      <c r="C58" s="2764">
        <f>C56*(1+B58)</f>
        <v>5110</v>
      </c>
      <c r="D58" s="2764">
        <f>D56*B58</f>
        <v>3650000</v>
      </c>
    </row>
    <row r="60" spans="1:4">
      <c r="A60" s="3144" t="s">
        <v>3401</v>
      </c>
      <c r="B60" s="2770">
        <v>3500</v>
      </c>
      <c r="C60" s="2770">
        <f>C53</f>
        <v>5000</v>
      </c>
      <c r="D60" s="2764">
        <f>C60*B60</f>
        <v>17500000</v>
      </c>
    </row>
    <row r="62" spans="1:4">
      <c r="A62" s="3144" t="s">
        <v>3402</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E15" sqref="E15"/>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02" t="str">
        <f>IF(B10="北京市","北京市",C10)&amp;F10&amp;IF(结果表!G1="在建","出让国有建设用地使用权及在建建筑物",IF(结果表!G1="土地","出让国有建设用地使用权",))&amp;B9&amp;"预评估"</f>
        <v>北京市通州区运河园路9号院3号楼16层1606房地产抵押价值预评估</v>
      </c>
      <c r="C1" s="3203"/>
      <c r="D1" s="3203"/>
      <c r="E1" s="3203"/>
      <c r="F1" s="3203"/>
      <c r="G1" s="3203"/>
      <c r="H1" s="3203"/>
      <c r="I1" s="3204"/>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北京市通州区运河园路9号院3号楼16层1606房地产抵押价值</v>
      </c>
      <c r="T1" s="1618"/>
      <c r="U1" s="1618"/>
      <c r="V1" s="1618"/>
      <c r="W1" s="1618"/>
      <c r="X1" s="1618"/>
      <c r="Y1" s="1618"/>
      <c r="Z1" s="1618"/>
      <c r="AA1" s="1618"/>
      <c r="AB1" s="1618"/>
    </row>
    <row r="2" spans="1:30">
      <c r="A2" s="2182" t="s">
        <v>2169</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北京市通州区运河园路9号院3号楼16层1606房地产</v>
      </c>
      <c r="T2" s="1618"/>
      <c r="U2" s="1618"/>
      <c r="V2" s="1618"/>
      <c r="W2" s="1618"/>
      <c r="X2" s="1618"/>
      <c r="Y2" s="1618"/>
      <c r="Z2" s="1618"/>
      <c r="AA2" s="1618"/>
      <c r="AB2" s="1618"/>
    </row>
    <row r="3" spans="1:30">
      <c r="A3" s="294" t="s">
        <v>2170</v>
      </c>
      <c r="B3" s="2185">
        <v>45664</v>
      </c>
      <c r="C3" s="2186" t="s">
        <v>2171</v>
      </c>
      <c r="D3" s="2185">
        <f>B3</f>
        <v>45664</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3404</v>
      </c>
      <c r="C8" s="2201"/>
      <c r="D8" s="3205" t="s">
        <v>2177</v>
      </c>
      <c r="E8" s="2202" t="s">
        <v>3405</v>
      </c>
      <c r="F8" s="2203"/>
      <c r="G8" s="2442"/>
      <c r="H8" s="2442"/>
      <c r="I8" s="2442"/>
      <c r="J8" s="2245"/>
      <c r="K8" s="2400"/>
      <c r="L8" s="2399"/>
      <c r="M8" s="2399"/>
      <c r="N8" s="2245"/>
      <c r="O8" s="1670"/>
      <c r="P8" s="2245"/>
      <c r="Q8" s="2245"/>
      <c r="R8" s="2245"/>
    </row>
    <row r="9" spans="1:30" ht="13.8" thickBot="1">
      <c r="A9" s="2204" t="s">
        <v>2178</v>
      </c>
      <c r="B9" s="2205" t="s">
        <v>3405</v>
      </c>
      <c r="C9" s="2206"/>
      <c r="D9" s="3206"/>
      <c r="E9" s="2205" t="s">
        <v>43</v>
      </c>
      <c r="F9" s="2207"/>
      <c r="G9" s="2443"/>
      <c r="H9" s="2443"/>
      <c r="I9" s="2443"/>
      <c r="J9" s="2245"/>
      <c r="K9" s="2402"/>
      <c r="L9" s="2399"/>
      <c r="M9" s="2399"/>
      <c r="N9" s="2245"/>
      <c r="O9" s="1670"/>
      <c r="P9" s="2245"/>
      <c r="Q9" s="2245"/>
      <c r="R9" s="2245"/>
    </row>
    <row r="10" spans="1:30" ht="13.8" thickTop="1">
      <c r="A10" s="2208" t="s">
        <v>2179</v>
      </c>
      <c r="B10" s="2209" t="s">
        <v>3406</v>
      </c>
      <c r="C10" s="2210"/>
      <c r="D10" s="2193"/>
      <c r="E10" s="2211" t="s">
        <v>2180</v>
      </c>
      <c r="F10" s="3487" t="s">
        <v>3408</v>
      </c>
      <c r="G10" s="2444"/>
      <c r="H10" s="2445"/>
      <c r="I10" s="2446"/>
      <c r="J10" s="2245"/>
      <c r="K10" s="2402"/>
      <c r="L10" s="2399"/>
      <c r="M10" s="2399"/>
      <c r="N10" s="2245"/>
      <c r="O10" s="1670"/>
      <c r="P10" s="2245"/>
      <c r="Q10" s="2245"/>
      <c r="R10" s="2245"/>
    </row>
    <row r="11" spans="1:30">
      <c r="A11" s="2212" t="s">
        <v>2181</v>
      </c>
      <c r="B11" s="2213" t="s">
        <v>3407</v>
      </c>
      <c r="C11" s="2214"/>
      <c r="D11" s="2215"/>
      <c r="E11" s="2182"/>
      <c r="F11" s="2182"/>
      <c r="G11" s="2182"/>
      <c r="H11" s="2182"/>
      <c r="I11" s="2182"/>
      <c r="J11" s="2801"/>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2576</v>
      </c>
      <c r="J12" s="2802"/>
      <c r="K12" s="2399"/>
      <c r="L12" s="2399"/>
      <c r="M12" s="2245"/>
      <c r="N12" s="1670"/>
      <c r="O12" s="2245"/>
      <c r="P12" s="2245"/>
      <c r="Q12" s="2245"/>
      <c r="AD12" s="1618"/>
    </row>
    <row r="13" spans="1:30">
      <c r="A13" s="3121" t="s">
        <v>3331</v>
      </c>
      <c r="B13" s="2218" t="s">
        <v>2190</v>
      </c>
      <c r="C13" s="803"/>
      <c r="D13" s="803"/>
      <c r="E13" s="803">
        <v>58861</v>
      </c>
      <c r="F13" s="803"/>
      <c r="G13" s="803"/>
      <c r="H13" s="803"/>
      <c r="I13" s="803"/>
      <c r="J13" s="2802"/>
      <c r="K13" s="2399"/>
      <c r="L13" s="2399"/>
      <c r="M13" s="2245"/>
      <c r="N13" s="1670"/>
      <c r="O13" s="2245"/>
      <c r="P13" s="2245"/>
      <c r="Q13" s="2245"/>
      <c r="AD13" s="1618"/>
    </row>
    <row r="14" spans="1:30">
      <c r="A14" s="1018"/>
      <c r="B14" s="2218" t="s">
        <v>2191</v>
      </c>
      <c r="C14" s="2219"/>
      <c r="D14" s="2219"/>
      <c r="E14" s="2219">
        <v>50</v>
      </c>
      <c r="F14" s="2219"/>
      <c r="G14" s="2219"/>
      <c r="H14" s="2219"/>
      <c r="I14" s="2219"/>
      <c r="J14" s="2803"/>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f>IF(A13="出让",IF(E13="","",ROUNDDOWN(MIN((E13-$D$3)/365,E14),2)),E14)</f>
        <v>36.15</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c r="A16" s="2211" t="s">
        <v>2193</v>
      </c>
      <c r="B16" s="3488" t="s">
        <v>3409</v>
      </c>
      <c r="C16" s="3212"/>
      <c r="D16" s="3213"/>
      <c r="E16" s="2222" t="s">
        <v>2194</v>
      </c>
      <c r="F16" s="3214"/>
      <c r="G16" s="3215"/>
      <c r="H16" s="3215"/>
      <c r="I16" s="3216"/>
      <c r="J16" s="2245"/>
      <c r="K16" s="2403"/>
      <c r="L16" s="1670"/>
      <c r="M16" s="1670"/>
      <c r="N16" s="2245"/>
      <c r="O16" s="1670"/>
      <c r="P16" s="2245"/>
      <c r="Q16" s="2245"/>
      <c r="R16" s="2245"/>
    </row>
    <row r="17" spans="1:28">
      <c r="A17" s="305" t="s">
        <v>2195</v>
      </c>
      <c r="B17" s="294" t="s">
        <v>2196</v>
      </c>
      <c r="C17" s="8">
        <f>'数据-汇总表'!E3</f>
        <v>71.03</v>
      </c>
      <c r="D17" s="1256" t="s">
        <v>2197</v>
      </c>
      <c r="E17" s="3217" t="s">
        <v>2198</v>
      </c>
      <c r="F17" s="3218"/>
      <c r="G17" s="3218"/>
      <c r="H17" s="3218"/>
      <c r="I17" s="3219"/>
      <c r="J17" s="2245"/>
      <c r="K17" s="2404"/>
      <c r="L17" s="1670"/>
      <c r="M17" s="1670"/>
      <c r="N17" s="2245"/>
      <c r="O17" s="1670"/>
      <c r="P17" s="2245"/>
      <c r="Q17" s="2245"/>
      <c r="R17" s="2245"/>
      <c r="S17" s="2245"/>
      <c r="T17" s="2245"/>
      <c r="U17" s="2245"/>
      <c r="V17" s="2245"/>
    </row>
    <row r="18" spans="1:28" ht="24.6" thickBot="1">
      <c r="A18" s="2223" t="s">
        <v>2199</v>
      </c>
      <c r="B18" s="1027" t="s">
        <v>2200</v>
      </c>
      <c r="C18" s="2224">
        <f>'数据-汇总表'!D3</f>
        <v>0</v>
      </c>
      <c r="D18" s="1029" t="s">
        <v>2201</v>
      </c>
      <c r="E18" s="3220" t="s">
        <v>2202</v>
      </c>
      <c r="F18" s="3221"/>
      <c r="G18" s="3221"/>
      <c r="H18" s="3221"/>
      <c r="I18" s="3222"/>
      <c r="J18" s="2245"/>
      <c r="K18" s="2404"/>
      <c r="L18" s="1670"/>
      <c r="M18" s="1670"/>
      <c r="N18" s="2245"/>
      <c r="O18" s="1670"/>
      <c r="P18" s="2245"/>
      <c r="Q18" s="2245"/>
      <c r="R18" s="2245"/>
      <c r="S18" s="2245"/>
      <c r="T18" s="2245"/>
      <c r="U18" s="2245"/>
      <c r="V18" s="2245"/>
    </row>
    <row r="19" spans="1:28" ht="37.200000000000003" thickTop="1" thickBot="1">
      <c r="A19" s="319" t="s">
        <v>1055</v>
      </c>
      <c r="B19" s="299" t="s">
        <v>2203</v>
      </c>
      <c r="C19" s="1455" t="s">
        <v>3410</v>
      </c>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08" t="s">
        <v>2206</v>
      </c>
      <c r="C20" s="3209"/>
      <c r="D20" s="3210" t="s">
        <v>2207</v>
      </c>
      <c r="E20" s="3211"/>
      <c r="F20" s="2430" t="s">
        <v>1056</v>
      </c>
      <c r="G20" s="2442"/>
      <c r="H20" s="2442"/>
      <c r="I20" s="2442"/>
      <c r="J20" s="2245"/>
      <c r="K20" s="3207"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2209</v>
      </c>
      <c r="C21" s="2296" t="s">
        <v>1057</v>
      </c>
      <c r="D21" s="1460" t="s">
        <v>2210</v>
      </c>
      <c r="E21" s="2419" t="s">
        <v>1057</v>
      </c>
      <c r="F21" s="2431"/>
      <c r="G21" s="2442"/>
      <c r="H21" s="2442"/>
      <c r="I21" s="2442"/>
      <c r="J21" s="2245"/>
      <c r="K21" s="320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2211</v>
      </c>
      <c r="C22" s="2296" t="s">
        <v>1058</v>
      </c>
      <c r="D22" s="2442"/>
      <c r="E22" s="2442"/>
      <c r="F22" s="2442"/>
      <c r="G22" s="2442"/>
      <c r="H22" s="2442"/>
      <c r="I22" s="2442"/>
      <c r="J22" s="2245"/>
      <c r="K22" s="320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196" t="s">
        <v>2214</v>
      </c>
      <c r="B27" s="312" t="s">
        <v>2215</v>
      </c>
      <c r="C27" s="2225" t="s">
        <v>3411</v>
      </c>
      <c r="D27" s="2226"/>
      <c r="E27" s="2442"/>
      <c r="F27" s="2442"/>
      <c r="G27" s="2442"/>
      <c r="H27" s="2442"/>
      <c r="I27" s="2442"/>
      <c r="J27" s="2245"/>
      <c r="K27" s="2403"/>
      <c r="L27" s="1670"/>
      <c r="M27" s="1670"/>
      <c r="N27" s="2245"/>
      <c r="O27" s="1670"/>
      <c r="P27" s="2245"/>
      <c r="Q27" s="2245"/>
      <c r="R27" s="2245"/>
      <c r="S27" s="2245"/>
      <c r="T27" s="2245"/>
      <c r="U27" s="2245"/>
      <c r="V27" s="2245"/>
    </row>
    <row r="28" spans="1:28">
      <c r="A28" s="3196"/>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196"/>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197"/>
      <c r="B30" s="294" t="s">
        <v>2218</v>
      </c>
      <c r="C30" s="3198"/>
      <c r="D30" s="3199"/>
      <c r="E30" s="2442"/>
      <c r="F30" s="2442"/>
      <c r="G30" s="2442"/>
      <c r="H30" s="2442"/>
      <c r="I30" s="2442"/>
      <c r="J30" s="2245"/>
      <c r="K30" s="2402"/>
      <c r="L30" s="2399"/>
      <c r="M30" s="2399"/>
      <c r="N30" s="2245"/>
      <c r="O30" s="1670"/>
      <c r="P30" s="2245"/>
      <c r="Q30" s="2245"/>
      <c r="R30" s="2245"/>
      <c r="S30" s="2245"/>
      <c r="T30" s="2245"/>
      <c r="U30" s="2245"/>
      <c r="V30" s="2245"/>
    </row>
    <row r="31" spans="1:28">
      <c r="A31" s="3200" t="s">
        <v>2219</v>
      </c>
      <c r="B31" s="2231" t="s">
        <v>3412</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01"/>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01"/>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195" t="s">
        <v>2228</v>
      </c>
      <c r="T34" s="315" t="str">
        <f>NUMBERSTRING(7-K34,1)&amp;"通"</f>
        <v>七通</v>
      </c>
      <c r="U34" s="2245"/>
      <c r="V34" s="2245"/>
    </row>
    <row r="35" spans="1:30">
      <c r="A35" s="2236"/>
      <c r="B35" s="3195" t="s">
        <v>2229</v>
      </c>
      <c r="C35" s="3195"/>
      <c r="D35" s="3195"/>
      <c r="E35" s="3195"/>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95"/>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t="s">
        <v>110</v>
      </c>
      <c r="D37" s="2237"/>
      <c r="E37" s="2237"/>
      <c r="F37" s="2237"/>
      <c r="G37" s="2442"/>
      <c r="H37" s="2442"/>
      <c r="I37" s="2442"/>
      <c r="J37" s="2245"/>
      <c r="K37" s="2402"/>
      <c r="L37" s="2399"/>
      <c r="M37" s="2399"/>
      <c r="N37" s="2245"/>
      <c r="O37" s="1670"/>
      <c r="P37" s="2245"/>
      <c r="Q37" s="2245"/>
      <c r="R37" s="2245"/>
      <c r="S37" s="2245"/>
      <c r="T37" s="2245"/>
      <c r="U37" s="2245"/>
      <c r="V37" s="2245"/>
    </row>
    <row r="38" spans="1:30" ht="13.8" thickBot="1">
      <c r="A38" s="2416" t="s">
        <v>2231</v>
      </c>
      <c r="B38" s="2238"/>
      <c r="C38" s="2238" t="s">
        <v>3413</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71.03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71.03</v>
      </c>
      <c r="H5" s="13">
        <f t="shared" ref="H5:AT5" si="0">SUM(H13:H656)</f>
        <v>71.03</v>
      </c>
      <c r="I5" s="13">
        <f t="shared" si="0"/>
        <v>71.03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71.03</v>
      </c>
      <c r="BA5" s="15">
        <f t="shared" si="1"/>
        <v>71.03</v>
      </c>
      <c r="BB5" s="15">
        <f t="shared" si="1"/>
        <v>71.03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3415</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v>1606</v>
      </c>
      <c r="D13" s="1513" t="s">
        <v>3414</v>
      </c>
      <c r="E13" s="13">
        <f>IF($C$3="是",ROUND($A$3*G13/$B$3,2),ROUND($A$3*(G13-AT13)/$B$3,2))</f>
        <v>0</v>
      </c>
      <c r="F13" s="29"/>
      <c r="G13" s="30">
        <f>H13+AC13+AT13</f>
        <v>71.03</v>
      </c>
      <c r="H13" s="17">
        <f>SUMIF(I$12:AB$12,"总值",I13:AB13)</f>
        <v>71.03</v>
      </c>
      <c r="I13" s="1514">
        <v>71.03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1606</v>
      </c>
      <c r="AY13" s="1260">
        <f>ROUND($AY$6*AZ13/$AZ$5,2)</f>
        <v>0</v>
      </c>
      <c r="AZ13" s="13">
        <f>BA13+BL13</f>
        <v>71.03</v>
      </c>
      <c r="BA13" s="13">
        <f>SUM(BB13:BK13)</f>
        <v>71.03</v>
      </c>
      <c r="BB13" s="13">
        <f>IF($D13="是",I13-J13,0)</f>
        <v>71.03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32" t="s">
        <v>1131</v>
      </c>
      <c r="B2" s="3232"/>
      <c r="C2" s="3232"/>
      <c r="D2" s="748" t="s">
        <v>1107</v>
      </c>
      <c r="E2" s="1523" t="s">
        <v>1108</v>
      </c>
      <c r="F2" s="2439"/>
      <c r="G2" s="2432"/>
      <c r="H2" s="2433"/>
      <c r="I2" s="2146" t="s">
        <v>1132</v>
      </c>
      <c r="J2" s="2439"/>
      <c r="K2" s="2439"/>
      <c r="L2" s="2439"/>
      <c r="M2" s="2439"/>
      <c r="N2" s="2440"/>
      <c r="O2" s="2439"/>
      <c r="P2" s="2439"/>
    </row>
    <row r="3" spans="1:16" ht="15" thickBot="1">
      <c r="A3" s="3233" t="s">
        <v>1105</v>
      </c>
      <c r="B3" s="3233"/>
      <c r="C3" s="3233"/>
      <c r="D3" s="41">
        <f>'数据-基础表'!AY6</f>
        <v>0</v>
      </c>
      <c r="E3" s="41">
        <f>'数据-基础表'!AZ5</f>
        <v>71.03</v>
      </c>
      <c r="F3" s="2439"/>
      <c r="G3" s="42"/>
      <c r="H3" s="43" t="s">
        <v>1106</v>
      </c>
      <c r="I3" s="802" t="e">
        <f>ROUND('数据-基础表'!B3/'数据-基础表'!A3,2)</f>
        <v>#DIV/0!</v>
      </c>
      <c r="J3" s="2439"/>
      <c r="K3" s="2439"/>
      <c r="L3" s="2439"/>
      <c r="M3" s="2439"/>
      <c r="N3" s="2440"/>
      <c r="O3" s="2439"/>
      <c r="P3" s="2439"/>
    </row>
    <row r="4" spans="1:16" ht="14.4">
      <c r="A4" s="3234"/>
      <c r="B4" s="3235"/>
      <c r="C4" s="3236"/>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ht="14.4">
      <c r="A5" s="42" t="s">
        <v>1109</v>
      </c>
      <c r="B5" s="3237" t="s">
        <v>1110</v>
      </c>
      <c r="C5" s="3237"/>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37" t="s">
        <v>1111</v>
      </c>
      <c r="C6" s="3237"/>
      <c r="D6" s="43">
        <f>ROUND($D$3*E6/$E$3,2)</f>
        <v>0</v>
      </c>
      <c r="E6" s="44">
        <f>E3-E5</f>
        <v>71.03</v>
      </c>
      <c r="F6" s="2439"/>
      <c r="G6" s="1529" t="s">
        <v>1112</v>
      </c>
      <c r="H6" s="45" t="s">
        <v>1113</v>
      </c>
      <c r="I6" s="2435" t="e">
        <f>ROUND(F31/D31,2)</f>
        <v>#DIV/0!</v>
      </c>
      <c r="J6" s="2439"/>
      <c r="K6" s="2439"/>
      <c r="L6" s="2439"/>
      <c r="M6" s="2439"/>
      <c r="N6" s="2439"/>
      <c r="O6" s="2439"/>
      <c r="P6" s="2439"/>
    </row>
    <row r="7" spans="1:16" ht="15" thickBot="1">
      <c r="A7" s="3229"/>
      <c r="B7" s="3230"/>
      <c r="C7" s="3231"/>
      <c r="D7" s="1524" t="s">
        <v>1107</v>
      </c>
      <c r="E7" s="1528" t="s">
        <v>1114</v>
      </c>
      <c r="F7" s="2439"/>
      <c r="G7" s="2436" t="s">
        <v>1115</v>
      </c>
      <c r="H7" s="95"/>
      <c r="I7" s="2437">
        <v>3</v>
      </c>
      <c r="J7" s="2439"/>
      <c r="K7" s="2439"/>
      <c r="L7" s="2439"/>
      <c r="M7" s="2439"/>
      <c r="N7" s="2439"/>
      <c r="O7" s="2439"/>
      <c r="P7" s="2439"/>
    </row>
    <row r="8" spans="1:16" ht="14.4">
      <c r="A8" s="42" t="s">
        <v>1116</v>
      </c>
      <c r="B8" s="45" t="s">
        <v>1117</v>
      </c>
      <c r="C8" s="43" t="s">
        <v>1118</v>
      </c>
      <c r="D8" s="43">
        <f t="shared" ref="D8:D15" si="0">ROUND($D$3*E8/$E$3,2)</f>
        <v>0</v>
      </c>
      <c r="E8" s="46">
        <f>SUMIF('数据-基础表'!BB10:BK10,"地上",'数据-基础表'!BB5:BK5)</f>
        <v>71.03</v>
      </c>
      <c r="F8" s="2439"/>
      <c r="G8" s="2439"/>
      <c r="H8" s="2439"/>
      <c r="I8" s="2439"/>
      <c r="J8" s="2439"/>
      <c r="K8" s="2439"/>
      <c r="L8" s="2439"/>
      <c r="M8" s="2439"/>
      <c r="N8" s="2439"/>
      <c r="O8" s="2439"/>
      <c r="P8" s="2439"/>
    </row>
    <row r="9" spans="1:16" ht="14.4">
      <c r="A9" s="1529"/>
      <c r="B9" s="1530"/>
      <c r="C9" s="43" t="s">
        <v>1119</v>
      </c>
      <c r="D9" s="43">
        <f t="shared" si="0"/>
        <v>0</v>
      </c>
      <c r="E9" s="47">
        <v>0</v>
      </c>
      <c r="F9" s="2439"/>
      <c r="G9" s="2439"/>
      <c r="H9" s="2439"/>
      <c r="I9" s="2439"/>
      <c r="J9" s="2439"/>
      <c r="K9" s="2439"/>
      <c r="L9" s="2439"/>
      <c r="M9" s="2439"/>
      <c r="N9" s="2439"/>
      <c r="O9" s="2439"/>
      <c r="P9" s="2439"/>
    </row>
    <row r="10" spans="1:16" ht="14.4">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f>SUM(D8:D15)</f>
        <v>0</v>
      </c>
      <c r="E16" s="48">
        <f>SUM(E8:E15)</f>
        <v>71.03</v>
      </c>
      <c r="F16" s="2439"/>
      <c r="G16" s="2439"/>
      <c r="H16" s="1531" t="s">
        <v>1135</v>
      </c>
      <c r="I16" s="1532"/>
      <c r="J16" s="1071"/>
      <c r="K16" s="3226" t="s">
        <v>1135</v>
      </c>
      <c r="L16" s="3227"/>
      <c r="M16" s="3227"/>
      <c r="N16" s="3227"/>
      <c r="O16" s="3227"/>
      <c r="P16" s="3228"/>
    </row>
    <row r="17" spans="1:19" ht="14.4">
      <c r="A17" s="1533" t="s">
        <v>1136</v>
      </c>
      <c r="B17" s="1534" t="s">
        <v>1137</v>
      </c>
      <c r="C17" s="1535" t="s">
        <v>1138</v>
      </c>
      <c r="D17" s="1536" t="s">
        <v>1126</v>
      </c>
      <c r="E17" s="1537" t="s">
        <v>1127</v>
      </c>
      <c r="F17" s="1538"/>
      <c r="G17" s="1539"/>
      <c r="H17" s="1540" t="s">
        <v>1139</v>
      </c>
      <c r="I17" s="1541" t="s">
        <v>1124</v>
      </c>
      <c r="J17" s="1071"/>
      <c r="K17" s="3223" t="s">
        <v>1140</v>
      </c>
      <c r="L17" s="3224"/>
      <c r="M17" s="3225"/>
      <c r="N17" s="3223" t="s">
        <v>1141</v>
      </c>
      <c r="O17" s="3224"/>
      <c r="P17" s="3225"/>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5" t="s">
        <v>3416</v>
      </c>
      <c r="D19" s="43">
        <f>ROUND($D$3*E19/$E$3,2)</f>
        <v>0</v>
      </c>
      <c r="E19" s="51">
        <f t="shared" ref="E19:E26" si="1">SUM(F19:G19)</f>
        <v>71.03</v>
      </c>
      <c r="F19" s="2557">
        <f>'数据-基础表'!G13</f>
        <v>71.03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71.03</v>
      </c>
    </row>
    <row r="20" spans="1:19" ht="14.4">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71.03</v>
      </c>
      <c r="F27" s="1072">
        <f>IF(SUM(F19:F26)=E8,SUM(F19:F26),"地上面积有误")</f>
        <v>71.03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71.03</v>
      </c>
    </row>
    <row r="28" spans="1:19" ht="14.4">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f>D27+D30</f>
        <v>0</v>
      </c>
      <c r="E31" s="643">
        <f>E27+E30</f>
        <v>71.03</v>
      </c>
      <c r="F31" s="644">
        <f>F27+F30</f>
        <v>71.03</v>
      </c>
      <c r="G31" s="645">
        <f>G27+G30</f>
        <v>0</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45664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办公</v>
      </c>
      <c r="B6" s="1587" t="str">
        <f>IF(A6=0,"","经营性")</f>
        <v>经营性</v>
      </c>
      <c r="C6" s="1588" t="s">
        <v>21</v>
      </c>
      <c r="D6" s="805">
        <f>SUMIF(项目基本情况!C$12:I$12,C6,项目基本情况!C$14:I$14)</f>
        <v>50</v>
      </c>
      <c r="E6" s="804">
        <f>IF(B6="","",SUMIF(项目基本情况!C$12:I$12,C6,项目基本情况!C$13:I$13))</f>
        <v>58861</v>
      </c>
      <c r="F6" s="61">
        <f>SUMIF(项目基本情况!C$12:I$12,C6,项目基本情况!C$15:I$15)</f>
        <v>36.15</v>
      </c>
      <c r="G6" s="62">
        <f>IF(ISERROR(ROUND(POWER(1+H6,D6-F6)*(POWER(1+H6,F6)-1)/(POWER(1+H6,D6)-1),3)),0,ROUND(POWER(1+H6,D6-F6)*(POWER(1+H6,F6)-1)/(POWER(1+H6,D6)-1),3))</f>
        <v>0.90800000000000003</v>
      </c>
      <c r="H6" s="691">
        <v>0.05</v>
      </c>
      <c r="I6" s="691">
        <v>5.5E-2</v>
      </c>
      <c r="J6" s="63">
        <v>7.0000000000000007E-2</v>
      </c>
      <c r="K6" s="970">
        <f>SUMIF('数据-汇总表'!C$19:C$33,A6,'数据-汇总表'!E$19:E$33)</f>
        <v>71.03</v>
      </c>
      <c r="L6" s="692">
        <v>4500</v>
      </c>
      <c r="M6" s="64">
        <f t="shared" ref="M6:M14" si="0">ROUND(K6*L6/10000,0)</f>
        <v>32</v>
      </c>
      <c r="N6" s="690">
        <f>M19</f>
        <v>0.92</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6">
        <v>2.8</v>
      </c>
      <c r="V6" s="67">
        <v>0.02</v>
      </c>
      <c r="W6" s="67">
        <v>0.1</v>
      </c>
      <c r="X6" s="979"/>
      <c r="Y6" s="68">
        <f>N6</f>
        <v>0.92</v>
      </c>
      <c r="Z6" s="69"/>
      <c r="AA6" s="63"/>
      <c r="AB6" s="63"/>
      <c r="AC6" s="979"/>
      <c r="AD6" s="70"/>
      <c r="AE6" s="980">
        <f ca="1">IF(AN6="",0,SUMIF(INDIRECT("'"&amp;AN6&amp;"'"&amp;"!E:E"),$AE$5,INDIRECT("'"&amp;AN6&amp;"'"&amp;"!F:F")))</f>
        <v>36.15</v>
      </c>
      <c r="AF6" s="74"/>
      <c r="AG6" s="130">
        <f>IF(AF6="",0,AE6-AF6)</f>
        <v>0</v>
      </c>
      <c r="AH6" s="71"/>
      <c r="AI6" s="73">
        <v>365</v>
      </c>
      <c r="AJ6" s="74"/>
      <c r="AK6" s="75">
        <v>0.01</v>
      </c>
      <c r="AL6" s="76">
        <v>1E-3</v>
      </c>
      <c r="AM6" s="77">
        <v>0.01</v>
      </c>
      <c r="AN6" s="1589" t="s">
        <v>3418</v>
      </c>
      <c r="AO6" s="50">
        <f ca="1">SUMIF(INDIRECT("'"&amp;AN6&amp;"'"&amp;"!A:A"),"总价",INDIRECT("'"&amp;AN6&amp;"'"&amp;"!B:B"))</f>
        <v>99.476399999999998</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0.90800000000000003</v>
      </c>
      <c r="H16" s="84">
        <f>ROUND(SUMPRODUCT(H6:H13,K6:K13)/SUMPRODUCT((H6:H13&gt;0)*(K6:K13)),3)</f>
        <v>0.05</v>
      </c>
      <c r="I16" s="85"/>
      <c r="J16" s="85"/>
      <c r="K16" s="86">
        <f>SUM(K6:K15)</f>
        <v>71.03</v>
      </c>
      <c r="L16" s="87">
        <f>ROUND(M16*10000/SUM(K6:K14),0)</f>
        <v>4505</v>
      </c>
      <c r="M16" s="87">
        <f>SUM(M6:M14)</f>
        <v>32</v>
      </c>
      <c r="N16" s="88">
        <f>ROUND(SUMPRODUCT(M6:M14,N6:N14)/M16,3)</f>
        <v>0.92</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9"/>
      <c r="D18" s="2451"/>
      <c r="E18" s="2439"/>
      <c r="F18" s="2439"/>
      <c r="G18" s="2439"/>
      <c r="H18" s="2439"/>
      <c r="I18" s="2439"/>
      <c r="J18" s="2439"/>
      <c r="K18" s="2449"/>
      <c r="L18" s="3489" t="s">
        <v>3422</v>
      </c>
      <c r="M18" s="2448">
        <v>2019</v>
      </c>
      <c r="N18" s="3490" t="s">
        <v>3423</v>
      </c>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6" t="s">
        <v>1211</v>
      </c>
      <c r="B19" s="97">
        <v>0</v>
      </c>
      <c r="C19" s="2560" t="s">
        <v>2302</v>
      </c>
      <c r="D19" s="2451"/>
      <c r="E19" s="2439"/>
      <c r="F19" s="2439"/>
      <c r="G19" s="2439"/>
      <c r="H19" s="2439"/>
      <c r="I19" s="2439"/>
      <c r="J19" s="2439"/>
      <c r="K19" s="2449"/>
      <c r="L19" s="3489" t="s">
        <v>3424</v>
      </c>
      <c r="M19" s="2448">
        <f>ROUND(1-(1-0)*(2024-M18)/60,2)</f>
        <v>0.92</v>
      </c>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7" t="s">
        <v>1212</v>
      </c>
      <c r="B20" s="98">
        <v>2</v>
      </c>
      <c r="C20" s="2561" t="s">
        <v>2300</v>
      </c>
      <c r="D20" s="2451"/>
      <c r="E20" s="2439"/>
      <c r="F20" s="2439"/>
      <c r="G20" s="2439"/>
      <c r="H20" s="2439"/>
      <c r="I20" s="2439"/>
      <c r="J20" s="2439"/>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8" t="s">
        <v>1213</v>
      </c>
      <c r="B21" s="98">
        <f>B20</f>
        <v>2</v>
      </c>
      <c r="C21" s="2439"/>
      <c r="D21" s="2451"/>
      <c r="E21" s="2439"/>
      <c r="F21" s="2439"/>
      <c r="G21" s="2439"/>
      <c r="H21" s="2439"/>
      <c r="I21" s="2439"/>
      <c r="J21" s="2439"/>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7" t="s">
        <v>1214</v>
      </c>
      <c r="B22" s="99">
        <f>B19+B20</f>
        <v>2</v>
      </c>
      <c r="C22" s="2439"/>
      <c r="D22" s="2451"/>
      <c r="E22" s="2439"/>
      <c r="F22" s="2439"/>
      <c r="G22" s="2439"/>
      <c r="H22" s="2439"/>
      <c r="I22" s="2439"/>
      <c r="J22" s="2439"/>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8" t="s">
        <v>1215</v>
      </c>
      <c r="B23" s="99">
        <f>B19+B21</f>
        <v>2</v>
      </c>
      <c r="C23" s="2439"/>
      <c r="D23" s="2451"/>
      <c r="E23" s="2439"/>
      <c r="F23" s="2439"/>
      <c r="G23" s="2439"/>
      <c r="H23" s="2439"/>
      <c r="I23" s="2439"/>
      <c r="J23" s="2439"/>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9"/>
      <c r="D24" s="2451"/>
      <c r="E24" s="2439"/>
      <c r="F24" s="2439"/>
      <c r="G24" s="2439"/>
      <c r="H24" s="2439"/>
      <c r="I24" s="2439"/>
      <c r="J24" s="2439"/>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9"/>
      <c r="B25" s="1542"/>
      <c r="C25" s="2439"/>
      <c r="D25" s="2451"/>
      <c r="E25" s="2439"/>
      <c r="F25" s="2439"/>
      <c r="G25" s="2439"/>
      <c r="H25" s="2439"/>
      <c r="I25" s="2439"/>
      <c r="J25" s="2439"/>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9"/>
      <c r="F26" s="2439"/>
      <c r="G26" s="2439"/>
      <c r="H26" s="2439"/>
      <c r="I26" s="2439"/>
      <c r="J26" s="2439"/>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1" t="s">
        <v>1220</v>
      </c>
      <c r="B27" s="101">
        <v>160</v>
      </c>
      <c r="C27" s="2562" t="s">
        <v>2304</v>
      </c>
      <c r="D27" s="2454"/>
      <c r="E27" s="2440"/>
      <c r="F27" s="2440"/>
      <c r="G27" s="2439"/>
      <c r="H27" s="2439"/>
      <c r="I27" s="2439"/>
      <c r="J27" s="2439"/>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2" t="s">
        <v>1221</v>
      </c>
      <c r="B28" s="103">
        <v>200</v>
      </c>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3" t="s">
        <v>1222</v>
      </c>
      <c r="B29" s="105">
        <f ca="1">'成本法 (元)'!C8/10000</f>
        <v>1.4206000000000001</v>
      </c>
      <c r="C29" s="2563" t="s">
        <v>2294</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4" t="s">
        <v>1223</v>
      </c>
      <c r="B30" s="638">
        <v>200</v>
      </c>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2" t="s">
        <v>1224</v>
      </c>
      <c r="B31" s="104">
        <f>B30-B32</f>
        <v>200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5" t="s">
        <v>1225</v>
      </c>
      <c r="B32" s="639"/>
      <c r="C32" s="2455"/>
      <c r="D32" s="2451"/>
      <c r="E32" s="2439"/>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1" t="s">
        <v>1226</v>
      </c>
      <c r="B33" s="640">
        <v>0.05</v>
      </c>
      <c r="C33" s="2564" t="s">
        <v>3385</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2" t="s">
        <v>1227</v>
      </c>
      <c r="B34" s="106">
        <v>0</v>
      </c>
      <c r="C34" s="2564" t="s">
        <v>2295</v>
      </c>
      <c r="D34" s="2459" t="s">
        <v>2301</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2" t="s">
        <v>1228</v>
      </c>
      <c r="B35" s="103">
        <v>200</v>
      </c>
      <c r="C35" s="2564" t="s">
        <v>2296</v>
      </c>
      <c r="D35" s="2454"/>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3403</v>
      </c>
      <c r="D36" s="2451"/>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4" t="s">
        <v>1230</v>
      </c>
      <c r="B37" s="108">
        <v>0.02</v>
      </c>
      <c r="C37" s="2564" t="s">
        <v>3386</v>
      </c>
      <c r="D37" s="2451"/>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2" t="s">
        <v>1231</v>
      </c>
      <c r="B38" s="106">
        <v>0.02</v>
      </c>
      <c r="C38" s="2564" t="s">
        <v>3387</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5" t="s">
        <v>1232</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4" thickBot="1">
      <c r="A40" s="2573" t="s">
        <v>2310</v>
      </c>
      <c r="B40" s="1015">
        <f ca="1">IF(A40="利息：取LPR",存贷款利率!G1,存贷款利率!G1+C40)</f>
        <v>3.1E-2</v>
      </c>
      <c r="C40" s="2572">
        <v>5.0000000000000001E-3</v>
      </c>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1" t="s">
        <v>1233</v>
      </c>
      <c r="B41" s="109">
        <f>B42+B43</f>
        <v>5.6000000000000001E-2</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6" t="s">
        <v>1234</v>
      </c>
      <c r="B42" s="110">
        <v>0.05</v>
      </c>
      <c r="C42" s="2458">
        <f>IF(B2&lt;DATE(2016,5,1),0,B42)</f>
        <v>0.05</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6" t="s">
        <v>1235</v>
      </c>
      <c r="B43" s="111">
        <f>B42*(B44+B45+B46)+B47</f>
        <v>6.000000000000001E-3</v>
      </c>
      <c r="C43" s="2453"/>
      <c r="D43" s="2451"/>
      <c r="E43" s="2439"/>
      <c r="F43" s="2439"/>
      <c r="G43" s="2439"/>
      <c r="H43" s="2439"/>
      <c r="I43" s="2439"/>
      <c r="J43" s="2439"/>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7" t="s">
        <v>1236</v>
      </c>
      <c r="B44" s="112">
        <v>7.0000000000000007E-2</v>
      </c>
      <c r="C44" s="2564" t="s">
        <v>3388</v>
      </c>
      <c r="D44" s="2451"/>
      <c r="E44" s="2439"/>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7" t="s">
        <v>1237</v>
      </c>
      <c r="B45" s="110">
        <v>0.03</v>
      </c>
      <c r="C45" s="2563" t="s">
        <v>2297</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7" t="s">
        <v>1238</v>
      </c>
      <c r="B46" s="110">
        <v>0.02</v>
      </c>
      <c r="C46" s="2563" t="s">
        <v>2298</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2305</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9" t="s">
        <v>1240</v>
      </c>
      <c r="B48" s="114">
        <v>0.03</v>
      </c>
      <c r="C48" s="2563" t="s">
        <v>2297</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2299</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10" t="s">
        <v>1242</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10" t="s">
        <v>1244</v>
      </c>
      <c r="B52" s="117">
        <f>SUMIF(A54:A63,B53,B54:B63)</f>
        <v>1.5</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2" t="s">
        <v>1245</v>
      </c>
      <c r="B53" s="1611" t="s">
        <v>29</v>
      </c>
      <c r="C53" s="2440" t="s">
        <v>1246</v>
      </c>
      <c r="D53" s="2565" t="s">
        <v>2303</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2" t="s">
        <v>1247</v>
      </c>
      <c r="B54" s="72"/>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2" t="s">
        <v>1248</v>
      </c>
      <c r="B55" s="72"/>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2" t="s">
        <v>1249</v>
      </c>
      <c r="B56" s="72"/>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2" t="s">
        <v>1250</v>
      </c>
      <c r="B57" s="72"/>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2" t="s">
        <v>1251</v>
      </c>
      <c r="B58" s="72"/>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2" t="s">
        <v>1252</v>
      </c>
      <c r="B59" s="72">
        <f>C59</f>
        <v>1.5</v>
      </c>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2" t="s">
        <v>1253</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2" t="s">
        <v>1254</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2" t="s">
        <v>1255</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38" t="s">
        <v>2286</v>
      </c>
      <c r="B1" s="3239"/>
      <c r="C1" s="3239"/>
      <c r="D1" s="3239"/>
      <c r="E1" s="3239"/>
      <c r="F1" s="3239"/>
      <c r="G1" s="3239"/>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7.200000000000003">
      <c r="A4" s="2248"/>
      <c r="B4" s="315" t="s">
        <v>2254</v>
      </c>
      <c r="C4" s="2269" t="s">
        <v>2255</v>
      </c>
      <c r="D4" s="2266"/>
      <c r="E4" s="2270"/>
      <c r="F4" s="1281" t="s">
        <v>2256</v>
      </c>
      <c r="G4" s="2271" t="s">
        <v>2257</v>
      </c>
      <c r="H4" s="751"/>
      <c r="I4" s="751"/>
      <c r="J4" s="751"/>
      <c r="K4" s="751"/>
      <c r="L4" s="751"/>
      <c r="M4" s="751"/>
      <c r="N4" s="751"/>
      <c r="O4" s="751"/>
      <c r="P4" s="751"/>
      <c r="Q4" s="751"/>
    </row>
    <row r="5" spans="1:29" ht="37.200000000000003">
      <c r="A5" s="2248"/>
      <c r="B5" s="315" t="s">
        <v>2258</v>
      </c>
      <c r="C5" s="2269" t="s">
        <v>2259</v>
      </c>
      <c r="D5" s="2266"/>
      <c r="E5" s="2270"/>
      <c r="F5" s="315" t="s">
        <v>2260</v>
      </c>
      <c r="G5" s="2271" t="s">
        <v>2261</v>
      </c>
      <c r="H5" s="751"/>
      <c r="I5" s="751"/>
      <c r="J5" s="751"/>
      <c r="K5" s="751"/>
      <c r="L5" s="751"/>
      <c r="M5" s="751"/>
      <c r="N5" s="751"/>
      <c r="O5" s="751"/>
      <c r="P5" s="751"/>
      <c r="Q5" s="751"/>
    </row>
    <row r="6" spans="1:29" ht="48">
      <c r="A6" s="2248"/>
      <c r="B6" s="315" t="s">
        <v>2262</v>
      </c>
      <c r="C6" s="2271" t="s">
        <v>2257</v>
      </c>
      <c r="D6" s="2266"/>
      <c r="E6" s="2270"/>
      <c r="F6" s="315" t="s">
        <v>2263</v>
      </c>
      <c r="G6" s="2271" t="s">
        <v>2264</v>
      </c>
      <c r="H6" s="751"/>
      <c r="I6" s="751"/>
      <c r="J6" s="751"/>
      <c r="K6" s="751"/>
      <c r="L6" s="751"/>
      <c r="M6" s="751"/>
      <c r="N6" s="751"/>
      <c r="O6" s="751"/>
      <c r="P6" s="751"/>
      <c r="Q6" s="751"/>
    </row>
    <row r="7" spans="1:29" ht="36.6" thickBot="1">
      <c r="A7" s="2248"/>
      <c r="B7" s="315" t="s">
        <v>2260</v>
      </c>
      <c r="C7" s="2271" t="s">
        <v>2261</v>
      </c>
      <c r="D7" s="2245"/>
      <c r="E7" s="2272"/>
      <c r="F7" s="2273" t="s">
        <v>2265</v>
      </c>
      <c r="G7" s="2274" t="s">
        <v>2266</v>
      </c>
      <c r="H7" s="751"/>
      <c r="I7" s="751"/>
      <c r="J7" s="751"/>
      <c r="K7" s="751"/>
      <c r="L7" s="751"/>
      <c r="M7" s="751"/>
      <c r="N7" s="751"/>
      <c r="O7" s="751"/>
      <c r="P7" s="751"/>
      <c r="Q7" s="751"/>
    </row>
    <row r="8" spans="1:29" ht="24">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4.4"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2287</v>
      </c>
      <c r="B13" s="2280"/>
      <c r="C13" s="2280"/>
      <c r="D13" s="2279"/>
      <c r="E13" s="2280"/>
      <c r="F13" s="2280"/>
      <c r="G13" s="2280"/>
    </row>
    <row r="14" spans="1:29" ht="14.4" thickBot="1">
      <c r="A14" s="2285"/>
      <c r="B14" s="2285"/>
      <c r="C14" s="2286" t="s">
        <v>2270</v>
      </c>
      <c r="D14" s="2266"/>
      <c r="E14" s="2287"/>
      <c r="F14" s="2287"/>
      <c r="G14" s="2262" t="s">
        <v>2271</v>
      </c>
    </row>
    <row r="15" spans="1:29" ht="52.8">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9.6">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9.6">
      <c r="A17" s="2252"/>
      <c r="B17" s="2291" t="s">
        <v>2258</v>
      </c>
      <c r="C17" s="2292" t="str">
        <f>C5</f>
        <v>估价对象位于XX商圈，周边办公楼项目较多，入驻率高，办公集聚程度较好</v>
      </c>
      <c r="D17" s="2245"/>
      <c r="E17" s="2253"/>
      <c r="F17" s="2293" t="s">
        <v>2275</v>
      </c>
      <c r="G17" s="2295"/>
    </row>
    <row r="18" spans="1:17" ht="52.8">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6.4">
      <c r="A19" s="2252"/>
      <c r="B19" s="2293" t="s">
        <v>2276</v>
      </c>
      <c r="C19" s="2295"/>
      <c r="D19" s="2266"/>
      <c r="E19" s="2253"/>
      <c r="F19" s="315" t="s">
        <v>2260</v>
      </c>
      <c r="G19" s="2294" t="str">
        <f>G5</f>
        <v>估价对象所在区域公共配套设施齐备情况</v>
      </c>
    </row>
    <row r="20" spans="1:17" ht="26.4">
      <c r="A20" s="2252"/>
      <c r="B20" s="2293" t="s">
        <v>2277</v>
      </c>
      <c r="C20" s="2292" t="str">
        <f>C9</f>
        <v>区域自然环境：；人文环境；综合评价环境状况一般</v>
      </c>
      <c r="D20" s="2245"/>
      <c r="E20" s="2253"/>
      <c r="F20" s="315" t="s">
        <v>2263</v>
      </c>
      <c r="G20" s="2294" t="str">
        <f>G6</f>
        <v>估价对象所在区域基础设施水平</v>
      </c>
    </row>
    <row r="21" spans="1:17" ht="26.4">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4"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4"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4.4"/>
  <cols>
    <col min="1" max="1" width="25" style="2301" customWidth="1"/>
    <col min="2" max="9" width="15.77734375" style="2301" customWidth="1"/>
    <col min="10" max="16384" width="9" style="2301"/>
  </cols>
  <sheetData>
    <row r="1" spans="1:11" ht="16.2">
      <c r="A1" s="2300" t="s">
        <v>665</v>
      </c>
      <c r="B1" s="2300">
        <f>SUM(B14:B23)</f>
        <v>71.03</v>
      </c>
      <c r="C1" s="2461"/>
      <c r="D1" s="2461"/>
      <c r="E1" s="2461"/>
      <c r="F1" s="2461"/>
      <c r="G1" s="2462"/>
      <c r="H1" s="2462"/>
      <c r="I1" s="2462"/>
      <c r="J1" s="2462"/>
      <c r="K1" s="2462"/>
    </row>
    <row r="2" spans="1:11" ht="16.2">
      <c r="A2" s="2300" t="s">
        <v>653</v>
      </c>
      <c r="B2" s="2300">
        <f>SUM(C14:C23)</f>
        <v>0</v>
      </c>
      <c r="C2" s="2461"/>
      <c r="D2" s="2461"/>
      <c r="E2" s="2461"/>
      <c r="F2" s="2461"/>
      <c r="G2" s="2462"/>
      <c r="H2" s="2462"/>
      <c r="I2" s="2462"/>
      <c r="J2" s="2462"/>
      <c r="K2" s="2462"/>
    </row>
    <row r="3" spans="1:11" ht="15.6">
      <c r="A3" s="2300" t="s">
        <v>662</v>
      </c>
      <c r="B3" s="2302">
        <f>项目基本情况!D3</f>
        <v>45664</v>
      </c>
      <c r="C3" s="2461"/>
      <c r="D3" s="2461"/>
      <c r="E3" s="2461"/>
      <c r="F3" s="2461"/>
      <c r="G3" s="2462"/>
      <c r="H3" s="2462"/>
      <c r="I3" s="2462"/>
      <c r="J3" s="2462"/>
      <c r="K3" s="2462"/>
    </row>
    <row r="4" spans="1:11" ht="31.2">
      <c r="A4" s="2300" t="s">
        <v>661</v>
      </c>
      <c r="B4" s="2300" t="s">
        <v>660</v>
      </c>
      <c r="C4" s="2300" t="s">
        <v>659</v>
      </c>
      <c r="D4" s="2300" t="s">
        <v>658</v>
      </c>
      <c r="E4" s="2461"/>
      <c r="F4" s="2462"/>
      <c r="G4" s="2462"/>
      <c r="H4" s="2462"/>
      <c r="I4" s="2462"/>
      <c r="J4" s="2462"/>
      <c r="K4" s="2462"/>
    </row>
    <row r="5" spans="1:11" ht="15.6">
      <c r="A5" s="2300" t="s">
        <v>657</v>
      </c>
      <c r="B5" s="2300">
        <f ca="1">SUM(D14:D23)</f>
        <v>199.29599999999999</v>
      </c>
      <c r="C5" s="2300">
        <f ca="1">IF(B5=D14,结果表!H102,ROUND(B5*10000/$B$1,0))</f>
        <v>28058</v>
      </c>
      <c r="D5" s="2300" t="e">
        <f ca="1">ROUND(B5*10000/$B$2,0)</f>
        <v>#DIV/0!</v>
      </c>
      <c r="E5" s="2461"/>
      <c r="F5" s="2462"/>
      <c r="G5" s="2462"/>
      <c r="H5" s="2462"/>
      <c r="I5" s="2462"/>
      <c r="J5" s="2462"/>
      <c r="K5" s="2462"/>
    </row>
    <row r="6" spans="1:11" ht="15.6">
      <c r="A6" s="2300" t="s">
        <v>656</v>
      </c>
      <c r="B6" s="2300">
        <f ca="1">SUM(G14:G23)</f>
        <v>199.29599999999999</v>
      </c>
      <c r="C6" s="2300">
        <f ca="1">IF(B6=G14,结果表!H108,ROUND(B6*10000/$B$1,0))</f>
        <v>28058</v>
      </c>
      <c r="D6" s="2300" t="e">
        <f ca="1">ROUND(B6*10000/$B$2,0)</f>
        <v>#DIV/0!</v>
      </c>
      <c r="E6" s="2461"/>
      <c r="F6" s="2462"/>
      <c r="G6" s="2462"/>
      <c r="H6" s="2462"/>
      <c r="I6" s="2462"/>
      <c r="J6" s="2462"/>
      <c r="K6" s="2462"/>
    </row>
    <row r="7" spans="1:11" ht="15.6">
      <c r="A7" s="2300" t="s">
        <v>664</v>
      </c>
      <c r="B7" s="2300">
        <f>SUM(H14:H23)</f>
        <v>0</v>
      </c>
      <c r="C7" s="2300" t="str">
        <f>IF(B7=H14,结果表!H110,ROUND(B7*10000/$B$1,0))</f>
        <v>——</v>
      </c>
      <c r="D7" s="2300" t="e">
        <f>ROUND(B7*10000/$B$2,0)</f>
        <v>#DIV/0!</v>
      </c>
      <c r="E7" s="2461"/>
      <c r="F7" s="2462"/>
      <c r="G7" s="2462"/>
      <c r="H7" s="2462"/>
      <c r="I7" s="2462"/>
      <c r="J7" s="2462"/>
      <c r="K7" s="2462"/>
    </row>
    <row r="8" spans="1:11" ht="15.6">
      <c r="A8" s="2300" t="s">
        <v>587</v>
      </c>
      <c r="B8" s="2300">
        <f>SUM(I14:I23)</f>
        <v>0</v>
      </c>
      <c r="C8" s="2300" t="str">
        <f>IF(B8=I14,结果表!H112,ROUND(B8*10000/$B$1,0))</f>
        <v>——</v>
      </c>
      <c r="D8" s="2300" t="e">
        <f>ROUND(B8*10000/$B$2,0)</f>
        <v>#DIV/0!</v>
      </c>
      <c r="E8" s="2461"/>
      <c r="F8" s="2462"/>
      <c r="G8" s="2462"/>
      <c r="H8" s="2462"/>
      <c r="I8" s="2462"/>
      <c r="J8" s="2462"/>
      <c r="K8" s="2462"/>
    </row>
    <row r="9" spans="1:11" ht="15.6">
      <c r="A9" s="2300" t="s">
        <v>655</v>
      </c>
      <c r="B9" s="1244"/>
      <c r="C9" s="2461"/>
      <c r="D9" s="2461"/>
      <c r="E9" s="2461"/>
      <c r="F9" s="2462"/>
      <c r="G9" s="2462"/>
      <c r="H9" s="2462"/>
      <c r="I9" s="2462"/>
      <c r="J9" s="2462"/>
      <c r="K9" s="2462"/>
    </row>
    <row r="10" spans="1:11" ht="15.6">
      <c r="A10" s="2300" t="s">
        <v>654</v>
      </c>
      <c r="B10" s="2300">
        <f>IF(E10="",0,ROUND(B1*(E10*365/G10)/10000,0))</f>
        <v>0</v>
      </c>
      <c r="C10" s="2300" t="s">
        <v>3355</v>
      </c>
      <c r="D10" s="2300" t="s">
        <v>3356</v>
      </c>
      <c r="E10" s="3136"/>
      <c r="F10" s="3140" t="s">
        <v>3357</v>
      </c>
      <c r="G10" s="3137"/>
      <c r="H10" s="2462"/>
      <c r="I10" s="2462"/>
      <c r="J10" s="2462"/>
      <c r="K10" s="2462"/>
    </row>
    <row r="11" spans="1:11" ht="15.6">
      <c r="A11" s="2300" t="s">
        <v>670</v>
      </c>
      <c r="B11" s="1244"/>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3" t="s">
        <v>669</v>
      </c>
      <c r="B13" s="2304" t="s">
        <v>666</v>
      </c>
      <c r="C13" s="2304" t="s">
        <v>668</v>
      </c>
      <c r="D13" s="2304" t="s">
        <v>667</v>
      </c>
      <c r="E13" s="2300" t="s">
        <v>659</v>
      </c>
      <c r="F13" s="2300" t="s">
        <v>658</v>
      </c>
      <c r="G13" s="2304" t="s">
        <v>652</v>
      </c>
      <c r="H13" s="2304" t="s">
        <v>663</v>
      </c>
      <c r="I13" s="2304" t="s">
        <v>651</v>
      </c>
      <c r="J13" s="2462"/>
      <c r="K13" s="2462"/>
    </row>
    <row r="14" spans="1:11" ht="15.6">
      <c r="A14" s="2305" t="s">
        <v>650</v>
      </c>
      <c r="B14" s="2306">
        <f>'数据-汇总表'!E19</f>
        <v>71.03</v>
      </c>
      <c r="C14" s="2306"/>
      <c r="D14" s="2306">
        <f ca="1">结果表!H101</f>
        <v>199.29599999999999</v>
      </c>
      <c r="E14" s="2306">
        <f ca="1">ROUND(D14*10000/B14,0)</f>
        <v>28058</v>
      </c>
      <c r="F14" s="2306" t="e">
        <f ca="1">ROUND(D14*10000/C14,0)</f>
        <v>#DIV/0!</v>
      </c>
      <c r="G14" s="2306">
        <f ca="1">结果表!H107</f>
        <v>199.29599999999999</v>
      </c>
      <c r="H14" s="2306"/>
      <c r="I14" s="2306"/>
      <c r="J14" s="2462"/>
      <c r="K14" s="2462"/>
    </row>
    <row r="15" spans="1:11" ht="15.6">
      <c r="A15" s="2305" t="s">
        <v>649</v>
      </c>
      <c r="B15" s="2307"/>
      <c r="C15" s="2307"/>
      <c r="D15" s="2307"/>
      <c r="E15" s="2306" t="e">
        <f t="shared" ref="E15:E23" si="0">ROUND(D15*10000/B15,0)</f>
        <v>#DIV/0!</v>
      </c>
      <c r="F15" s="2306" t="e">
        <f t="shared" ref="F15:F23" si="1">ROUND(D15*10000/C15,0)</f>
        <v>#DIV/0!</v>
      </c>
      <c r="G15" s="1244"/>
      <c r="H15" s="1244"/>
      <c r="I15" s="2307"/>
      <c r="J15" s="2462"/>
      <c r="K15" s="2462"/>
    </row>
    <row r="16" spans="1:11" ht="15.6">
      <c r="A16" s="2305" t="s">
        <v>648</v>
      </c>
      <c r="B16" s="2307"/>
      <c r="C16" s="2307"/>
      <c r="D16" s="2307"/>
      <c r="E16" s="2306" t="e">
        <f t="shared" si="0"/>
        <v>#DIV/0!</v>
      </c>
      <c r="F16" s="2306" t="e">
        <f t="shared" si="1"/>
        <v>#DIV/0!</v>
      </c>
      <c r="G16" s="1244"/>
      <c r="H16" s="1244"/>
      <c r="I16" s="2307"/>
      <c r="J16" s="2462"/>
      <c r="K16" s="2462"/>
    </row>
    <row r="17" spans="1:11" ht="15.6">
      <c r="A17" s="2305" t="s">
        <v>647</v>
      </c>
      <c r="B17" s="2307"/>
      <c r="C17" s="2307"/>
      <c r="D17" s="2307"/>
      <c r="E17" s="2306" t="e">
        <f t="shared" si="0"/>
        <v>#DIV/0!</v>
      </c>
      <c r="F17" s="2306" t="e">
        <f t="shared" si="1"/>
        <v>#DIV/0!</v>
      </c>
      <c r="G17" s="1244"/>
      <c r="H17" s="1244"/>
      <c r="I17" s="2307"/>
      <c r="J17" s="2462"/>
      <c r="K17" s="2462"/>
    </row>
    <row r="18" spans="1:11" ht="15.6">
      <c r="A18" s="2305" t="s">
        <v>646</v>
      </c>
      <c r="B18" s="2307"/>
      <c r="C18" s="2307"/>
      <c r="D18" s="2307"/>
      <c r="E18" s="2306" t="e">
        <f t="shared" si="0"/>
        <v>#DIV/0!</v>
      </c>
      <c r="F18" s="2306" t="e">
        <f t="shared" si="1"/>
        <v>#DIV/0!</v>
      </c>
      <c r="G18" s="2307"/>
      <c r="H18" s="2307"/>
      <c r="I18" s="2307"/>
      <c r="J18" s="2462"/>
      <c r="K18" s="2462"/>
    </row>
    <row r="19" spans="1:11" ht="15.6">
      <c r="A19" s="2305" t="s">
        <v>645</v>
      </c>
      <c r="B19" s="2307"/>
      <c r="C19" s="2307"/>
      <c r="D19" s="2307"/>
      <c r="E19" s="2306" t="e">
        <f t="shared" si="0"/>
        <v>#DIV/0!</v>
      </c>
      <c r="F19" s="2306" t="e">
        <f t="shared" si="1"/>
        <v>#DIV/0!</v>
      </c>
      <c r="G19" s="2307"/>
      <c r="H19" s="2307"/>
      <c r="I19" s="2307"/>
      <c r="J19" s="2462"/>
      <c r="K19" s="2462"/>
    </row>
    <row r="20" spans="1:11" ht="15.6">
      <c r="A20" s="2305" t="s">
        <v>644</v>
      </c>
      <c r="B20" s="2307"/>
      <c r="C20" s="2307"/>
      <c r="D20" s="2307"/>
      <c r="E20" s="2306" t="e">
        <f t="shared" si="0"/>
        <v>#DIV/0!</v>
      </c>
      <c r="F20" s="2306" t="e">
        <f t="shared" si="1"/>
        <v>#DIV/0!</v>
      </c>
      <c r="G20" s="2307"/>
      <c r="H20" s="2307"/>
      <c r="I20" s="2307"/>
      <c r="J20" s="2462"/>
      <c r="K20" s="2462"/>
    </row>
    <row r="21" spans="1:11" ht="15.6">
      <c r="A21" s="2305" t="s">
        <v>643</v>
      </c>
      <c r="B21" s="2307"/>
      <c r="C21" s="2307"/>
      <c r="D21" s="2307"/>
      <c r="E21" s="2306" t="e">
        <f t="shared" si="0"/>
        <v>#DIV/0!</v>
      </c>
      <c r="F21" s="2306" t="e">
        <f t="shared" si="1"/>
        <v>#DIV/0!</v>
      </c>
      <c r="G21" s="2307"/>
      <c r="H21" s="2307"/>
      <c r="I21" s="2307"/>
      <c r="J21" s="2462"/>
      <c r="K21" s="2462"/>
    </row>
    <row r="22" spans="1:11" ht="15.6">
      <c r="A22" s="2305" t="s">
        <v>642</v>
      </c>
      <c r="B22" s="2307"/>
      <c r="C22" s="2307"/>
      <c r="D22" s="2307"/>
      <c r="E22" s="2306" t="e">
        <f t="shared" si="0"/>
        <v>#DIV/0!</v>
      </c>
      <c r="F22" s="2306" t="e">
        <f t="shared" si="1"/>
        <v>#DIV/0!</v>
      </c>
      <c r="G22" s="2307"/>
      <c r="H22" s="2307"/>
      <c r="I22" s="2307"/>
      <c r="J22" s="2462"/>
      <c r="K22" s="2462"/>
    </row>
    <row r="23" spans="1:11" ht="15.6">
      <c r="A23" s="2305" t="s">
        <v>641</v>
      </c>
      <c r="B23" s="2307"/>
      <c r="C23" s="2307"/>
      <c r="D23" s="2307"/>
      <c r="E23" s="1244" t="e">
        <f t="shared" si="0"/>
        <v>#DIV/0!</v>
      </c>
      <c r="F23" s="1244" t="e">
        <f t="shared" si="1"/>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18" zoomScale="70" zoomScaleNormal="100" zoomScaleSheetLayoutView="70" zoomScalePageLayoutView="80" workbookViewId="0">
      <selection activeCell="D17" sqref="D17"/>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21</v>
      </c>
      <c r="D1" s="646"/>
      <c r="E1" s="646"/>
      <c r="F1" s="1621" t="s">
        <v>1263</v>
      </c>
      <c r="G1" s="1453" t="s">
        <v>3412</v>
      </c>
      <c r="H1" s="1621" t="str">
        <f>IF(G1="现房","——","估价对象范围")</f>
        <v>——</v>
      </c>
      <c r="I1" s="1622"/>
    </row>
    <row r="2" spans="1:12" ht="21.75" customHeight="1" thickBot="1">
      <c r="A2" s="3274" t="str">
        <f>项目基本情况!S2</f>
        <v>北京市通州区运河园路9号院3号楼16层1606房地产</v>
      </c>
      <c r="B2" s="3275"/>
      <c r="C2" s="3275"/>
      <c r="D2" s="3275"/>
      <c r="E2" s="3275"/>
      <c r="F2" s="3275"/>
      <c r="G2" s="3275"/>
      <c r="H2" s="3275"/>
      <c r="I2" s="3276"/>
    </row>
    <row r="3" spans="1:12" ht="13.2">
      <c r="A3" s="3278" t="s">
        <v>1264</v>
      </c>
      <c r="B3" s="3279"/>
      <c r="C3" s="3279"/>
      <c r="D3" s="3279"/>
      <c r="E3" s="3279"/>
      <c r="F3" s="3279"/>
      <c r="G3" s="3279"/>
      <c r="H3" s="3279"/>
      <c r="I3" s="3279"/>
    </row>
    <row r="4" spans="1:12" ht="14.4">
      <c r="A4" s="1624" t="s">
        <v>1265</v>
      </c>
      <c r="B4" s="1625" t="s">
        <v>1266</v>
      </c>
      <c r="C4" s="1626" t="s">
        <v>3499</v>
      </c>
      <c r="D4" s="1626" t="s">
        <v>3418</v>
      </c>
      <c r="E4" s="3280" t="s">
        <v>1267</v>
      </c>
      <c r="F4" s="3281"/>
      <c r="G4" s="3281"/>
      <c r="H4" s="3281"/>
      <c r="I4" s="3282"/>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54" t="s">
        <v>1268</v>
      </c>
      <c r="B5" s="3241">
        <v>25</v>
      </c>
      <c r="C5" s="3257"/>
      <c r="D5" s="3277"/>
      <c r="E5" s="123" t="s">
        <v>1269</v>
      </c>
      <c r="F5" s="1627"/>
      <c r="G5" s="1627"/>
      <c r="H5" s="1627"/>
      <c r="I5" s="1281"/>
    </row>
    <row r="6" spans="1:12" ht="13.2">
      <c r="A6" s="3254"/>
      <c r="B6" s="3241"/>
      <c r="C6" s="3258"/>
      <c r="D6" s="3277"/>
      <c r="E6" s="123" t="s">
        <v>1270</v>
      </c>
      <c r="F6" s="1627"/>
      <c r="G6" s="1627"/>
      <c r="H6" s="1627"/>
      <c r="I6" s="1281"/>
    </row>
    <row r="7" spans="1:12" ht="13.2">
      <c r="A7" s="3254"/>
      <c r="B7" s="3241"/>
      <c r="C7" s="3259"/>
      <c r="D7" s="3277"/>
      <c r="E7" s="123" t="s">
        <v>1271</v>
      </c>
      <c r="F7" s="1627"/>
      <c r="G7" s="1627"/>
      <c r="H7" s="1627"/>
      <c r="I7" s="1281"/>
    </row>
    <row r="8" spans="1:12" ht="13.2">
      <c r="A8" s="3254" t="s">
        <v>1272</v>
      </c>
      <c r="B8" s="3241">
        <v>15</v>
      </c>
      <c r="C8" s="3257"/>
      <c r="D8" s="3277"/>
      <c r="E8" s="123" t="s">
        <v>1273</v>
      </c>
      <c r="F8" s="1627"/>
      <c r="G8" s="1627"/>
      <c r="H8" s="1627"/>
      <c r="I8" s="1281"/>
    </row>
    <row r="9" spans="1:12" ht="13.2">
      <c r="A9" s="3254"/>
      <c r="B9" s="3241"/>
      <c r="C9" s="3259"/>
      <c r="D9" s="3277"/>
      <c r="E9" s="123" t="s">
        <v>1274</v>
      </c>
      <c r="F9" s="1627"/>
      <c r="G9" s="1627"/>
      <c r="H9" s="1627"/>
      <c r="I9" s="1281"/>
    </row>
    <row r="10" spans="1:12" ht="13.2">
      <c r="A10" s="3254" t="s">
        <v>1275</v>
      </c>
      <c r="B10" s="3241">
        <v>15</v>
      </c>
      <c r="C10" s="3257"/>
      <c r="D10" s="3277"/>
      <c r="E10" s="123" t="s">
        <v>1276</v>
      </c>
      <c r="F10" s="1627"/>
      <c r="G10" s="1627"/>
      <c r="H10" s="1627"/>
      <c r="I10" s="1281"/>
    </row>
    <row r="11" spans="1:12" ht="13.2">
      <c r="A11" s="3254"/>
      <c r="B11" s="3241"/>
      <c r="C11" s="3259"/>
      <c r="D11" s="3277"/>
      <c r="E11" s="123" t="s">
        <v>1277</v>
      </c>
      <c r="F11" s="1627"/>
      <c r="G11" s="1627"/>
      <c r="H11" s="1627"/>
      <c r="I11" s="1281"/>
    </row>
    <row r="12" spans="1:12" ht="13.2">
      <c r="A12" s="3254" t="s">
        <v>1278</v>
      </c>
      <c r="B12" s="3241">
        <v>15</v>
      </c>
      <c r="C12" s="3257"/>
      <c r="D12" s="3277"/>
      <c r="E12" s="123" t="s">
        <v>1279</v>
      </c>
      <c r="F12" s="1627"/>
      <c r="G12" s="1627"/>
      <c r="H12" s="1627"/>
      <c r="I12" s="1281"/>
    </row>
    <row r="13" spans="1:12" ht="13.2">
      <c r="A13" s="3254"/>
      <c r="B13" s="3241"/>
      <c r="C13" s="3259"/>
      <c r="D13" s="3277"/>
      <c r="E13" s="123" t="s">
        <v>1280</v>
      </c>
      <c r="F13" s="1627"/>
      <c r="G13" s="1627"/>
      <c r="H13" s="1627"/>
      <c r="I13" s="1281"/>
    </row>
    <row r="14" spans="1:12" ht="13.2">
      <c r="A14" s="3254" t="s">
        <v>1281</v>
      </c>
      <c r="B14" s="3241">
        <v>30</v>
      </c>
      <c r="C14" s="3257">
        <v>6</v>
      </c>
      <c r="D14" s="3277">
        <v>4</v>
      </c>
      <c r="E14" s="123" t="s">
        <v>1282</v>
      </c>
      <c r="F14" s="1627"/>
      <c r="G14" s="1627"/>
      <c r="H14" s="1627"/>
      <c r="I14" s="1281"/>
    </row>
    <row r="15" spans="1:12" ht="13.2">
      <c r="A15" s="3254"/>
      <c r="B15" s="3241"/>
      <c r="C15" s="3258"/>
      <c r="D15" s="3277"/>
      <c r="E15" s="123" t="s">
        <v>1283</v>
      </c>
      <c r="F15" s="1627"/>
      <c r="G15" s="1627"/>
      <c r="H15" s="1627"/>
      <c r="I15" s="1281"/>
    </row>
    <row r="16" spans="1:12" ht="13.2">
      <c r="A16" s="3254"/>
      <c r="B16" s="3241"/>
      <c r="C16" s="3259"/>
      <c r="D16" s="3277"/>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264" t="s">
        <v>2131</v>
      </c>
      <c r="F18" s="3265"/>
      <c r="G18" s="3265"/>
      <c r="H18" s="3265"/>
      <c r="I18" s="3265"/>
      <c r="K18" s="294" t="s">
        <v>1289</v>
      </c>
      <c r="L18" s="294">
        <f>IF(C1="",'数据-汇总表'!E3,SUMIF(项目类型,C1,'数据-汇总表'!E17:E26)+SUMIF(项目类型,C1,'数据-汇总表'!I17:I26))</f>
        <v>71.03</v>
      </c>
      <c r="M18" s="294">
        <f>IF(C1="",'数据-汇总表'!E3,SUMIF(项目类型,C1,'数据-汇总表'!E17:E26))</f>
        <v>71.03</v>
      </c>
    </row>
    <row r="19" spans="1:36" ht="14.4">
      <c r="A19" s="1630" t="s">
        <v>1290</v>
      </c>
      <c r="B19" s="1631" t="s">
        <v>1291</v>
      </c>
      <c r="C19" s="126">
        <f ca="1">SUMIF(INDIRECT("'"&amp;C4&amp;"'"&amp;"!A:A"),结果表!B19,INDIRECT("'"&amp;C4&amp;"'"&amp;"!B:B"))</f>
        <v>265.83690000000001</v>
      </c>
      <c r="D19" s="127">
        <f ca="1">SUMIF(INDIRECT("'"&amp;D4&amp;"'"&amp;"!A:A"),结果表!B19,INDIRECT("'"&amp;D4&amp;"'"&amp;"!B:B"))</f>
        <v>99.476399999999998</v>
      </c>
      <c r="E19" s="1630" t="s">
        <v>1292</v>
      </c>
      <c r="F19" s="1631" t="s">
        <v>1291</v>
      </c>
      <c r="G19" s="128">
        <f ca="1">ROUND(C19*$C$18+D19*$D$18,0)</f>
        <v>199</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37426</v>
      </c>
      <c r="D20" s="130">
        <f ca="1">SUMIF(INDIRECT("'"&amp;D4&amp;"'"&amp;"!A:A"),结果表!B20,INDIRECT("'"&amp;D4&amp;"'"&amp;"!B:B"))</f>
        <v>14005</v>
      </c>
      <c r="E20" s="1633"/>
      <c r="F20" s="43" t="s">
        <v>1295</v>
      </c>
      <c r="G20" s="131">
        <f ca="1">ROUND(C20*$C$18+D20*$D$18,0)</f>
        <v>28058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1.672361484734068</v>
      </c>
      <c r="E22" s="121"/>
      <c r="F22" s="121"/>
      <c r="G22" s="121"/>
      <c r="H22" s="121"/>
      <c r="I22" s="121"/>
    </row>
    <row r="23" spans="1:36" ht="13.8" thickBot="1">
      <c r="A23" s="646"/>
      <c r="B23" s="646"/>
      <c r="C23" s="646"/>
      <c r="D23" s="646"/>
      <c r="E23" s="121"/>
      <c r="F23" s="121"/>
      <c r="G23" s="121"/>
      <c r="H23" s="121"/>
      <c r="I23" s="121"/>
    </row>
    <row r="24" spans="1:36" ht="14.4">
      <c r="A24" s="3248" t="s">
        <v>1299</v>
      </c>
      <c r="B24" s="1631" t="s">
        <v>1291</v>
      </c>
      <c r="C24" s="128">
        <f>IF(B30=0,0,D30)</f>
        <v>0</v>
      </c>
      <c r="D24" s="1637"/>
      <c r="E24" s="121"/>
      <c r="F24" s="121"/>
      <c r="G24" s="3510" t="s">
        <v>3515</v>
      </c>
      <c r="H24" s="121"/>
      <c r="I24" s="121"/>
    </row>
    <row r="25" spans="1:36" ht="14.4">
      <c r="A25" s="324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28058</v>
      </c>
      <c r="D32" s="1641" t="s">
        <v>3419</v>
      </c>
      <c r="E32" s="121"/>
      <c r="F32" s="121"/>
      <c r="G32" s="121"/>
      <c r="H32" s="121"/>
      <c r="I32" s="121"/>
    </row>
    <row r="33" spans="1:15" ht="14.4">
      <c r="A33" s="740" t="s">
        <v>1306</v>
      </c>
      <c r="B33" s="123"/>
      <c r="C33" s="1642" t="s">
        <v>3420</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68" t="s">
        <v>1312</v>
      </c>
      <c r="B36" s="1652" t="s">
        <v>1313</v>
      </c>
      <c r="C36" s="137"/>
      <c r="D36" s="1653"/>
      <c r="E36" s="1567"/>
      <c r="F36" s="1654"/>
      <c r="G36" s="121"/>
      <c r="H36" s="121"/>
      <c r="I36" s="121"/>
    </row>
    <row r="37" spans="1:15" ht="15" thickBot="1">
      <c r="A37" s="3269"/>
      <c r="B37" s="1555" t="s">
        <v>1314</v>
      </c>
      <c r="C37" s="139"/>
      <c r="D37" s="1071"/>
      <c r="E37" s="1071"/>
      <c r="F37" s="1654"/>
      <c r="G37" s="121"/>
      <c r="H37" s="121"/>
      <c r="I37" s="121"/>
    </row>
    <row r="38" spans="1:15" ht="15" thickBot="1">
      <c r="A38" s="3270"/>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45" t="s">
        <v>1326</v>
      </c>
      <c r="B45" s="3246"/>
      <c r="C45" s="3247"/>
      <c r="D45" s="147">
        <f ca="1">ROUND(H101*F45,0)</f>
        <v>199</v>
      </c>
      <c r="E45" s="148" t="s">
        <v>1327</v>
      </c>
      <c r="F45" s="149">
        <v>1</v>
      </c>
      <c r="G45" s="150" t="s">
        <v>1328</v>
      </c>
      <c r="H45" s="121"/>
      <c r="I45" s="121"/>
      <c r="J45" s="3323" t="s">
        <v>1329</v>
      </c>
      <c r="K45" s="3323"/>
      <c r="L45" s="3323"/>
      <c r="M45" s="3323"/>
      <c r="N45" s="3323"/>
      <c r="O45" s="3323"/>
    </row>
    <row r="46" spans="1:15" ht="14.25" customHeight="1">
      <c r="A46" s="3242" t="s">
        <v>1330</v>
      </c>
      <c r="B46" s="3243"/>
      <c r="C46" s="3243"/>
      <c r="D46" s="3243"/>
      <c r="E46" s="3243"/>
      <c r="F46" s="3243"/>
      <c r="G46" s="3244"/>
      <c r="H46" s="1668"/>
      <c r="I46" s="151"/>
      <c r="J46" s="2310">
        <v>1</v>
      </c>
      <c r="K46" s="3304" t="s">
        <v>1331</v>
      </c>
      <c r="L46" s="3304"/>
      <c r="M46" s="3324"/>
      <c r="N46" s="3324"/>
      <c r="O46" s="3324"/>
    </row>
    <row r="47" spans="1:15" ht="12" customHeight="1">
      <c r="A47" s="152" t="s">
        <v>1332</v>
      </c>
      <c r="B47" s="153"/>
      <c r="C47" s="154"/>
      <c r="D47" s="1024" t="s">
        <v>1333</v>
      </c>
      <c r="E47" s="294" t="s">
        <v>1334</v>
      </c>
      <c r="F47" s="155" t="s">
        <v>1335</v>
      </c>
      <c r="G47" s="2333" t="s">
        <v>1336</v>
      </c>
      <c r="H47" s="2334"/>
      <c r="I47" s="151"/>
      <c r="J47" s="2310">
        <v>2</v>
      </c>
      <c r="K47" s="3304" t="s">
        <v>1337</v>
      </c>
      <c r="L47" s="3304"/>
      <c r="M47" s="3325">
        <f>'数据-取费表'!B2</f>
        <v>45664</v>
      </c>
      <c r="N47" s="3325"/>
      <c r="O47" s="3325"/>
    </row>
    <row r="48" spans="1:15" ht="26.4">
      <c r="A48" s="3273" t="s">
        <v>1338</v>
      </c>
      <c r="B48" s="3256"/>
      <c r="C48" s="3256"/>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04" t="s">
        <v>1340</v>
      </c>
      <c r="L48" s="3304"/>
      <c r="M48" s="3326">
        <f ca="1">H101</f>
        <v>199.29599999999999</v>
      </c>
      <c r="N48" s="3326"/>
      <c r="O48" s="3326"/>
    </row>
    <row r="49" spans="1:35" ht="25.5" customHeight="1">
      <c r="A49" s="2152" t="s">
        <v>1341</v>
      </c>
      <c r="B49" s="3240" t="s">
        <v>1342</v>
      </c>
      <c r="C49" s="3240"/>
      <c r="D49" s="1478">
        <v>0</v>
      </c>
      <c r="E49" s="316" t="s">
        <v>1343</v>
      </c>
      <c r="F49" s="2233" t="s">
        <v>28</v>
      </c>
      <c r="G49" s="3310"/>
      <c r="H49" s="2134" t="s">
        <v>2134</v>
      </c>
      <c r="I49" s="2135"/>
      <c r="J49" s="2310">
        <v>4</v>
      </c>
      <c r="K49" s="3304" t="str">
        <f>IF(项目基本情况!E8="房地产抵押价值","房地产抵押价值","抵押担保权已注销时的房地产抵押价值")</f>
        <v>房地产抵押价值</v>
      </c>
      <c r="L49" s="3304"/>
      <c r="M49" s="3326">
        <f ca="1">IF(项目基本情况!E8="房地产抵押价值",H107,H109)</f>
        <v>199.29599999999999</v>
      </c>
      <c r="N49" s="3326"/>
      <c r="O49" s="3326"/>
    </row>
    <row r="50" spans="1:35" ht="25.5" customHeight="1">
      <c r="A50" s="2338"/>
      <c r="B50" s="3240" t="s">
        <v>1344</v>
      </c>
      <c r="C50" s="3240"/>
      <c r="D50" s="2189"/>
      <c r="E50" s="323"/>
      <c r="F50" s="2233"/>
      <c r="G50" s="3311"/>
      <c r="H50" s="2136" t="s">
        <v>2135</v>
      </c>
      <c r="I50" s="2135"/>
      <c r="J50" s="3323" t="s">
        <v>1345</v>
      </c>
      <c r="K50" s="3323"/>
      <c r="L50" s="3323"/>
      <c r="M50" s="3323"/>
      <c r="N50" s="3323"/>
      <c r="O50" s="3323"/>
    </row>
    <row r="51" spans="1:35" ht="20.399999999999999" customHeight="1">
      <c r="A51" s="2339"/>
      <c r="B51" s="3240" t="s">
        <v>1346</v>
      </c>
      <c r="C51" s="3240"/>
      <c r="D51" s="1024"/>
      <c r="E51" s="319"/>
      <c r="F51" s="2233"/>
      <c r="G51" s="3312"/>
      <c r="H51" s="2136" t="s">
        <v>2136</v>
      </c>
      <c r="I51" s="2135"/>
      <c r="J51" s="2311" t="s">
        <v>1347</v>
      </c>
      <c r="K51" s="3304" t="s">
        <v>1348</v>
      </c>
      <c r="L51" s="3304"/>
      <c r="M51" s="2311" t="s">
        <v>1349</v>
      </c>
      <c r="N51" s="2311" t="s">
        <v>1350</v>
      </c>
      <c r="O51" s="2311" t="s">
        <v>1351</v>
      </c>
    </row>
    <row r="52" spans="1:35" ht="24" customHeight="1">
      <c r="A52" s="2153" t="s">
        <v>1352</v>
      </c>
      <c r="B52" s="3240" t="s">
        <v>1353</v>
      </c>
      <c r="C52" s="3240"/>
      <c r="D52" s="1024">
        <f ca="1">ROUND(D45*'数据-取费表'!B41/(1+'数据-取费表'!C42),0)</f>
        <v>11</v>
      </c>
      <c r="E52" s="1256" t="s">
        <v>1354</v>
      </c>
      <c r="F52" s="2340">
        <f>'数据-取费表'!B41</f>
        <v>5.6000000000000001E-2</v>
      </c>
      <c r="G52" s="2341"/>
      <c r="H52" s="2331"/>
      <c r="I52" s="1669"/>
      <c r="J52" s="2310">
        <v>1</v>
      </c>
      <c r="K52" s="3305" t="s">
        <v>1355</v>
      </c>
      <c r="L52" s="3305"/>
      <c r="M52" s="2312" t="b">
        <f>D48</f>
        <v>0</v>
      </c>
      <c r="N52" s="2310" t="str">
        <f>E48</f>
        <v>销售额×税（费）率</v>
      </c>
      <c r="O52" s="2313">
        <f>F48</f>
        <v>5.6000000000000001E-2</v>
      </c>
    </row>
    <row r="53" spans="1:35" ht="12" customHeight="1">
      <c r="A53" s="2153" t="s">
        <v>1356</v>
      </c>
      <c r="B53" s="3266" t="s">
        <v>2291</v>
      </c>
      <c r="C53" s="3267"/>
      <c r="D53" s="1024">
        <f ca="1">ROUND(D45*'数据-取费表'!B41/(1+'数据-取费表'!C42),0)</f>
        <v>11</v>
      </c>
      <c r="E53" s="1256" t="s">
        <v>1354</v>
      </c>
      <c r="F53" s="2340">
        <f>'数据-取费表'!B41</f>
        <v>5.6000000000000001E-2</v>
      </c>
      <c r="G53" s="2341"/>
      <c r="H53" s="2331"/>
      <c r="I53" s="1669"/>
      <c r="J53" s="2310">
        <v>2</v>
      </c>
      <c r="K53" s="3305" t="s">
        <v>1357</v>
      </c>
      <c r="L53" s="3305"/>
      <c r="M53" s="2312">
        <f t="shared" ref="M53:O54" ca="1" si="0">D55</f>
        <v>0</v>
      </c>
      <c r="N53" s="2310" t="str">
        <f t="shared" si="0"/>
        <v>销售额×税（费）率</v>
      </c>
      <c r="O53" s="2313" t="str">
        <f t="shared" si="0"/>
        <v>免征</v>
      </c>
    </row>
    <row r="54" spans="1:35" ht="12" customHeight="1">
      <c r="A54" s="2153" t="s">
        <v>1358</v>
      </c>
      <c r="B54" s="3266" t="s">
        <v>2292</v>
      </c>
      <c r="C54" s="3267"/>
      <c r="D54" s="1024">
        <f ca="1">C68</f>
        <v>11</v>
      </c>
      <c r="E54" s="319" t="s">
        <v>1359</v>
      </c>
      <c r="F54" s="2340">
        <f>'数据-取费表'!B41</f>
        <v>5.6000000000000001E-2</v>
      </c>
      <c r="G54" s="2341"/>
      <c r="H54" s="2342"/>
      <c r="I54" s="1669"/>
      <c r="J54" s="2310">
        <v>3</v>
      </c>
      <c r="K54" s="3305" t="s">
        <v>1360</v>
      </c>
      <c r="L54" s="3305"/>
      <c r="M54" s="2312">
        <f t="shared" ca="1" si="0"/>
        <v>113</v>
      </c>
      <c r="N54" s="2310" t="str">
        <f t="shared" si="0"/>
        <v>增值额×税（费）率</v>
      </c>
      <c r="O54" s="2314" t="str">
        <f t="shared" si="0"/>
        <v>免征</v>
      </c>
    </row>
    <row r="55" spans="1:35" ht="24" customHeight="1">
      <c r="A55" s="3255" t="s">
        <v>1361</v>
      </c>
      <c r="B55" s="3256"/>
      <c r="C55" s="3256"/>
      <c r="D55" s="12">
        <f ca="1">IF(H55="个人住宅",0,ROUND(D45*I55,0))</f>
        <v>0</v>
      </c>
      <c r="E55" s="1256" t="s">
        <v>1362</v>
      </c>
      <c r="F55" s="2340" t="str">
        <f>IF(H55="正常",I55,"免征")</f>
        <v>免征</v>
      </c>
      <c r="G55" s="2341"/>
      <c r="H55" s="2337"/>
      <c r="I55" s="157">
        <f>'数据-取费表'!B49</f>
        <v>5.0000000000000001E-4</v>
      </c>
      <c r="J55" s="2310">
        <f>IF(H59="非个人房产","",4)</f>
        <v>4</v>
      </c>
      <c r="K55" s="3305" t="str">
        <f>IF(H59="非个人房产","——","个人所得税")</f>
        <v>个人所得税</v>
      </c>
      <c r="L55" s="3305"/>
      <c r="M55" s="2315">
        <f ca="1">D59</f>
        <v>2</v>
      </c>
      <c r="N55" s="1883" t="str">
        <f>E59</f>
        <v>差额计税</v>
      </c>
      <c r="O55" s="2316">
        <f>F59</f>
        <v>0.01</v>
      </c>
    </row>
    <row r="56" spans="1:35" ht="25.2">
      <c r="A56" s="3255" t="s">
        <v>1363</v>
      </c>
      <c r="B56" s="3256"/>
      <c r="C56" s="3256"/>
      <c r="D56" s="12">
        <f ca="1">IF(H56="个人住宅",D57,D58)</f>
        <v>113</v>
      </c>
      <c r="E56" s="1256" t="s">
        <v>1364</v>
      </c>
      <c r="F56" s="2340" t="str">
        <f>IF(H56="正常",F58,"免征")</f>
        <v>免征</v>
      </c>
      <c r="G56" s="2343" t="s">
        <v>1365</v>
      </c>
      <c r="H56" s="2344"/>
      <c r="I56" s="1670"/>
      <c r="J56" s="2310" t="str">
        <f>IF(项目基本情况!K6="上海银行",IF(J55="",4,J55+1),"")</f>
        <v/>
      </c>
      <c r="K56" s="3328" t="str">
        <f>IF(项目基本情况!K6="上海银行","其他处置费用","")</f>
        <v/>
      </c>
      <c r="L56" s="3329"/>
      <c r="M56" s="2312" t="str">
        <f>IF(项目基本情况!K6="上海银行",M69,"")</f>
        <v/>
      </c>
      <c r="N56" s="3328" t="str">
        <f>IF(项目基本情况!K6="上海银行","包含处置中涉及的律师、诉讼、拍卖、评估等费用","")</f>
        <v/>
      </c>
      <c r="O56" s="3331"/>
    </row>
    <row r="57" spans="1:35" ht="13.2">
      <c r="A57" s="2153" t="s">
        <v>1341</v>
      </c>
      <c r="B57" s="3266" t="s">
        <v>1366</v>
      </c>
      <c r="C57" s="3267"/>
      <c r="D57" s="1478">
        <v>0</v>
      </c>
      <c r="E57" s="316" t="s">
        <v>1343</v>
      </c>
      <c r="F57" s="294"/>
      <c r="G57" s="2341"/>
      <c r="H57" s="2345"/>
      <c r="I57" s="1670"/>
      <c r="J57" s="3305">
        <f>IF(AND(J55="",J56=""),4,IF(项目基本情况!K6="上海银行",结果表!J56+1,结果表!J55+1))</f>
        <v>5</v>
      </c>
      <c r="K57" s="3305" t="s">
        <v>1367</v>
      </c>
      <c r="L57" s="2317" t="s">
        <v>1368</v>
      </c>
      <c r="M57" s="2318"/>
      <c r="N57" s="2319">
        <f ca="1">SUMIF(M52:M56,"&lt;9e307")</f>
        <v>115</v>
      </c>
      <c r="O57" s="2320"/>
      <c r="P57" s="2464">
        <f ca="1">N57/M49</f>
        <v>0.57703114964675661</v>
      </c>
    </row>
    <row r="58" spans="1:35" ht="25.2">
      <c r="A58" s="2153" t="s">
        <v>1352</v>
      </c>
      <c r="B58" s="3266" t="s">
        <v>1369</v>
      </c>
      <c r="C58" s="3240"/>
      <c r="D58" s="12">
        <f ca="1">IF(H58="转让取得",C81,C97)</f>
        <v>113</v>
      </c>
      <c r="E58" s="1256" t="s">
        <v>1364</v>
      </c>
      <c r="F58" s="294" t="s">
        <v>28</v>
      </c>
      <c r="G58" s="2341"/>
      <c r="H58" s="2344"/>
      <c r="I58" s="1670"/>
      <c r="J58" s="3305"/>
      <c r="K58" s="3305"/>
      <c r="L58" s="2317" t="s">
        <v>1370</v>
      </c>
      <c r="M58" s="2321"/>
      <c r="N58" s="2322" t="str">
        <f ca="1">NUMBERSTRING(INT(N57*10000),2)&amp;"元整"</f>
        <v>壹佰壹拾伍万元整</v>
      </c>
      <c r="O58" s="2323"/>
    </row>
    <row r="59" spans="1:35" ht="24.6" thickBot="1">
      <c r="A59" s="3308" t="s">
        <v>1371</v>
      </c>
      <c r="B59" s="3309"/>
      <c r="C59" s="3309"/>
      <c r="D59" s="2346">
        <f ca="1">IF(H59="非个人房产","——",IF(H59="个人住宅（满五唯一有凭证）",0,IF(H59="个人其他（无凭证）",ROUND(D45*F59,0),ROUND(C67*F59,0))))</f>
        <v>2</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06">
        <f>J57+1</f>
        <v>6</v>
      </c>
      <c r="K59" s="3305" t="s">
        <v>1372</v>
      </c>
      <c r="L59" s="2310" t="s">
        <v>1368</v>
      </c>
      <c r="M59" s="2324"/>
      <c r="N59" s="2325">
        <f ca="1">M49-N57</f>
        <v>84.295999999999992</v>
      </c>
      <c r="O59" s="2326"/>
    </row>
    <row r="60" spans="1:35" ht="12" customHeight="1">
      <c r="A60" s="1671"/>
      <c r="B60" s="646"/>
      <c r="C60" s="646"/>
      <c r="D60" s="646"/>
      <c r="E60" s="1466"/>
      <c r="F60" s="1670"/>
      <c r="G60" s="1670"/>
      <c r="H60" s="151"/>
      <c r="I60" s="121"/>
      <c r="J60" s="3307"/>
      <c r="K60" s="3305"/>
      <c r="L60" s="2317" t="s">
        <v>1370</v>
      </c>
      <c r="M60" s="2321"/>
      <c r="N60" s="2322" t="str">
        <f ca="1">NUMBERSTRING(INT(N59*10000),2)&amp;"元整"</f>
        <v>捌拾肆万贰仟玖佰陆拾元整</v>
      </c>
      <c r="O60" s="2323"/>
    </row>
    <row r="61" spans="1:35" ht="13.8" thickBot="1">
      <c r="A61" s="3253" t="s">
        <v>1373</v>
      </c>
      <c r="B61" s="3253"/>
      <c r="C61" s="3253"/>
      <c r="D61" s="3253"/>
      <c r="E61" s="3253"/>
      <c r="F61" s="1670"/>
      <c r="G61" s="1670"/>
      <c r="H61" s="151"/>
      <c r="I61" s="121"/>
      <c r="J61" s="2310">
        <f>J59+1</f>
        <v>7</v>
      </c>
      <c r="K61" s="3305" t="s">
        <v>1374</v>
      </c>
      <c r="L61" s="3305"/>
      <c r="M61" s="2327"/>
      <c r="N61" s="2328">
        <f ca="1">ROUND(N59*10000/'数据-汇总表'!E3,0)</f>
        <v>11868</v>
      </c>
      <c r="O61" s="2329"/>
    </row>
    <row r="62" spans="1:35" ht="13.2">
      <c r="A62" s="3271" t="s">
        <v>1375</v>
      </c>
      <c r="B62" s="3272"/>
      <c r="C62" s="1865"/>
      <c r="D62" s="1865" t="s">
        <v>1376</v>
      </c>
      <c r="E62" s="158" t="s">
        <v>1377</v>
      </c>
      <c r="F62" s="1670"/>
      <c r="G62" s="1670"/>
      <c r="H62" s="151"/>
      <c r="I62" s="121"/>
    </row>
    <row r="63" spans="1:35" ht="13.2">
      <c r="A63" s="165" t="s">
        <v>330</v>
      </c>
      <c r="B63" s="159" t="s">
        <v>1378</v>
      </c>
      <c r="C63" s="2350">
        <f ca="1">ROUND((C64+C65)/(1+'数据-取费表'!C42),0)</f>
        <v>190</v>
      </c>
      <c r="D63" s="159"/>
      <c r="E63" s="160"/>
      <c r="F63" s="1670"/>
      <c r="G63" s="1670"/>
      <c r="H63" s="151"/>
      <c r="I63" s="121"/>
      <c r="J63" s="3330" t="s">
        <v>1379</v>
      </c>
      <c r="K63" s="1245" t="s">
        <v>1380</v>
      </c>
      <c r="L63" s="1245">
        <f ca="1">IF(M49&gt;10000,M49*0.5%,IF(AND(M49&gt;1000,M49&lt;=10000),M49*1%,IF(AND(M49&gt;100,M49&lt;=1000),M49*3%,IF(AND(M49&gt;10,M49&lt;=100),M49*5%,M49*8%))))</f>
        <v>5.9788799999999993</v>
      </c>
      <c r="M63" s="294">
        <f ca="1">ROUND(L63,1)</f>
        <v>6</v>
      </c>
      <c r="N63" s="2330"/>
      <c r="Z63" s="1623"/>
      <c r="AI63" s="1561"/>
    </row>
    <row r="64" spans="1:35" ht="14.25" customHeight="1">
      <c r="A64" s="161" t="s">
        <v>325</v>
      </c>
      <c r="B64" s="162" t="s">
        <v>1381</v>
      </c>
      <c r="C64" s="2351">
        <f ca="1">D45</f>
        <v>199</v>
      </c>
      <c r="D64" s="162" t="s">
        <v>26</v>
      </c>
      <c r="E64" s="164"/>
      <c r="F64" s="1670"/>
      <c r="G64" s="1670"/>
      <c r="H64" s="151"/>
      <c r="I64" s="121"/>
      <c r="J64" s="3330"/>
      <c r="K64" s="1245" t="s">
        <v>1382</v>
      </c>
      <c r="L64" s="1245">
        <f ca="1">IF(M49&gt;2000,M49*0.5%,IF(AND(M49&gt;1000,M49&lt;=2000),M49*0.6%,IF(AND(M49&gt;500,M49&lt;=1000),M49*0.7%,IF(AND(M49&gt;200,M49&lt;=500),M49*0.8%,IF(AND(M49&gt;100,M49&lt;=200),M49*0.9%,IF(AND(M49&gt;50,M49&lt;=100),M49*1%,IF(AND(M49&gt;20,M49&lt;=50),M49*1.5%,IF(AND(M49&gt;10,M49&lt;=20),M49*2%,IF(AND(M49&gt;1,M49&lt;=10),M49*2.5%)))))))))</f>
        <v>1.7936640000000001</v>
      </c>
      <c r="M64" s="294">
        <f t="shared" ref="M64:M65" ca="1" si="1">ROUND(L64,1)</f>
        <v>1.8</v>
      </c>
      <c r="N64" s="2331" t="s">
        <v>1383</v>
      </c>
      <c r="Z64" s="1623"/>
      <c r="AI64" s="1561"/>
    </row>
    <row r="65" spans="1:35" ht="14.25" customHeight="1">
      <c r="A65" s="161" t="s">
        <v>326</v>
      </c>
      <c r="B65" s="162" t="s">
        <v>1384</v>
      </c>
      <c r="C65" s="2352"/>
      <c r="D65" s="162"/>
      <c r="E65" s="164"/>
      <c r="F65" s="1670"/>
      <c r="G65" s="1670"/>
      <c r="H65" s="151"/>
      <c r="I65" s="121"/>
      <c r="J65" s="3330"/>
      <c r="K65" s="1245" t="s">
        <v>1385</v>
      </c>
      <c r="L65" s="1245">
        <f ca="1">IF(M49&gt;1000,M49*0.1%,IF(AND(M49&gt;500,M49&lt;=1000),M49*0.5%,IF(AND(M49&gt;50,M49&lt;=500),M49*1%,IF(AND(M49&gt;1,M49&lt;=50),M49*1.5%))))</f>
        <v>1.9929600000000001</v>
      </c>
      <c r="M65" s="294">
        <f t="shared" ca="1" si="1"/>
        <v>2</v>
      </c>
      <c r="N65" s="2331" t="s">
        <v>1383</v>
      </c>
      <c r="Z65" s="1623"/>
      <c r="AI65" s="1561"/>
    </row>
    <row r="66" spans="1:35" ht="14.25" customHeight="1">
      <c r="A66" s="165" t="s">
        <v>327</v>
      </c>
      <c r="B66" s="166" t="s">
        <v>1386</v>
      </c>
      <c r="C66" s="2353"/>
      <c r="D66" s="166" t="s">
        <v>26</v>
      </c>
      <c r="E66" s="1251" t="s">
        <v>671</v>
      </c>
      <c r="F66" s="1670"/>
      <c r="G66" s="1670"/>
      <c r="H66" s="151"/>
      <c r="I66" s="121"/>
      <c r="J66" s="3330"/>
      <c r="K66" s="1245" t="s">
        <v>1387</v>
      </c>
      <c r="L66" s="1245">
        <f ca="1">M49*0.5%</f>
        <v>0.99648000000000003</v>
      </c>
      <c r="M66" s="294">
        <f ca="1">IF(L66&gt;0.5,0.5,ROUND(L66,0))</f>
        <v>0.5</v>
      </c>
      <c r="N66" s="2331" t="s">
        <v>1388</v>
      </c>
      <c r="Z66" s="1623"/>
      <c r="AI66" s="1561"/>
    </row>
    <row r="67" spans="1:35" ht="14.25" customHeight="1">
      <c r="A67" s="165" t="s">
        <v>328</v>
      </c>
      <c r="B67" s="166" t="s">
        <v>1389</v>
      </c>
      <c r="C67" s="2354">
        <f ca="1">C63-C66</f>
        <v>190</v>
      </c>
      <c r="D67" s="162" t="s">
        <v>26</v>
      </c>
      <c r="E67" s="164"/>
      <c r="F67" s="1670"/>
      <c r="G67" s="1670"/>
      <c r="H67" s="151"/>
      <c r="I67" s="121"/>
      <c r="J67" s="3330"/>
      <c r="K67" s="1245" t="s">
        <v>1390</v>
      </c>
      <c r="L67" s="1245">
        <f ca="1">IF(M49&gt;=10000,(8.25+(M49-10000)*0.01%),IF(AND(M49&gt;=8000,M49&lt;10000),(7.85+(M49-8000)*0.02%),IF(AND(M49&gt;=5000,M49&lt;8000),(6.65+(M49-5000)*0.04%),IF(AND(M49&gt;=2000,M49&lt;5000),(4.25+(PM49-2000)*0.08%),IF(AND(M49&gt;=1000,M49&lt;2000),(2.75+(M49-1000)*0.15%),IF(AND(M49&gt;=100,M49&lt;1000),(0.5+(M49-100)*0.25%),IF(AND(M49&gt;0,M49&lt;100),M49*0.5%)))))))</f>
        <v>0.74824000000000002</v>
      </c>
      <c r="M67" s="294">
        <f ca="1">ROUND(L67*0.9,1)</f>
        <v>0.7</v>
      </c>
      <c r="N67" s="2330"/>
      <c r="Z67" s="1623"/>
      <c r="AI67" s="1561"/>
    </row>
    <row r="68" spans="1:35" ht="14.25" customHeight="1" thickBot="1">
      <c r="A68" s="168" t="s">
        <v>329</v>
      </c>
      <c r="B68" s="169" t="s">
        <v>1391</v>
      </c>
      <c r="C68" s="2355">
        <f ca="1">IF(C67&lt;=0,0,ROUND(C67*D68,0))</f>
        <v>11</v>
      </c>
      <c r="D68" s="2356">
        <f>'数据-取费表'!B41</f>
        <v>5.6000000000000001E-2</v>
      </c>
      <c r="E68" s="170"/>
      <c r="F68" s="1670"/>
      <c r="G68" s="1670"/>
      <c r="H68" s="151"/>
      <c r="I68" s="121"/>
      <c r="J68" s="3330"/>
      <c r="K68" s="1245" t="s">
        <v>1392</v>
      </c>
      <c r="L68" s="1245">
        <f ca="1">IF(M49&gt;10000,M49*0.5%,IF(AND(M49&gt;5000,M49&lt;=10000),M49*1%,IF(AND(M49&gt;1000,M49&lt;=5000),M49*2%,IF(AND(M49&gt;200,M49&lt;=1000),M49*3%,M49*5%))))</f>
        <v>9.9648000000000003</v>
      </c>
      <c r="M68" s="294">
        <f ca="1">ROUND(L68,1)</f>
        <v>10</v>
      </c>
      <c r="N68" s="2330"/>
      <c r="Z68" s="1623"/>
      <c r="AI68" s="1561"/>
    </row>
    <row r="69" spans="1:35" ht="16.5" customHeight="1">
      <c r="A69" s="1672"/>
      <c r="B69" s="1673"/>
      <c r="C69" s="1674"/>
      <c r="D69" s="1675"/>
      <c r="E69" s="1676"/>
      <c r="F69" s="1466"/>
      <c r="G69" s="1466"/>
      <c r="H69" s="1467"/>
      <c r="I69" s="646"/>
      <c r="J69" s="3330"/>
      <c r="K69" s="1245" t="s">
        <v>1393</v>
      </c>
      <c r="L69" s="1245"/>
      <c r="M69" s="294">
        <f ca="1">ROUND(SUM(M63:M68),0)</f>
        <v>21</v>
      </c>
      <c r="N69" s="2332">
        <f ca="1">M69/M49</f>
        <v>0.1053709055876686</v>
      </c>
      <c r="Z69" s="1623"/>
      <c r="AI69" s="1561"/>
    </row>
    <row r="70" spans="1:35" s="642" customFormat="1" ht="14.4" thickBot="1">
      <c r="A70" s="3292" t="s">
        <v>1394</v>
      </c>
      <c r="B70" s="3293"/>
      <c r="C70" s="3293"/>
      <c r="D70" s="3293"/>
      <c r="E70" s="3293"/>
      <c r="F70" s="3293"/>
      <c r="G70" s="3293"/>
      <c r="H70" s="329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71" t="s">
        <v>1375</v>
      </c>
      <c r="B71" s="327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f ca="1">ROUND(D45/(1+'数据-取费表'!C42),0)</f>
        <v>190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66" t="s">
        <v>1402</v>
      </c>
      <c r="F76" s="3240"/>
      <c r="G76" s="3240"/>
      <c r="H76" s="329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1</v>
      </c>
      <c r="D78" s="2363">
        <f>'数据-取费表'!B43</f>
        <v>6.000000000000001E-3</v>
      </c>
      <c r="E78" s="3250" t="s">
        <v>1406</v>
      </c>
      <c r="F78" s="3251"/>
      <c r="G78" s="3251"/>
      <c r="H78" s="326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f ca="1">C72-C73</f>
        <v>189</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189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f ca="1">ROUND(IF(C79&lt;=0,0,IF(C80&gt;=200%,C79*60%-C73*35%,IF(C80&gt;=100%,C79*50%-C73*15%,IF(C80&gt;=50%,C79*40%-C73*5%,IF(C80&lt;50%,C79*30%,0))))),0)</f>
        <v>113</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292" t="s">
        <v>1410</v>
      </c>
      <c r="B83" s="3293"/>
      <c r="C83" s="3293"/>
      <c r="D83" s="3293"/>
      <c r="E83" s="3293"/>
      <c r="F83" s="3293"/>
      <c r="G83" s="3293"/>
      <c r="H83" s="329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71" t="s">
        <v>1375</v>
      </c>
      <c r="B84" s="327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f ca="1">ROUND(D45/(1+'数据-取费表'!C42),0)</f>
        <v>190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f ca="1">IF(H88="仅含出让金",C87+C90+C91+C92+C93+C94,C87+C91+C92+C93+C94)</f>
        <v>1</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332" t="s">
        <v>2129</v>
      </c>
      <c r="H90" s="3333"/>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50" t="s">
        <v>1419</v>
      </c>
      <c r="F91" s="3251"/>
      <c r="G91" s="325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50" t="s">
        <v>1422</v>
      </c>
      <c r="F92" s="3251"/>
      <c r="G92" s="3251"/>
      <c r="H92" s="3260"/>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1</v>
      </c>
      <c r="D93" s="2363">
        <f>'数据-取费表'!B43</f>
        <v>6.000000000000001E-3</v>
      </c>
      <c r="E93" s="3250" t="s">
        <v>1406</v>
      </c>
      <c r="F93" s="3251"/>
      <c r="G93" s="3251"/>
      <c r="H93" s="326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61" t="s">
        <v>1426</v>
      </c>
      <c r="F94" s="3262"/>
      <c r="G94" s="3262"/>
      <c r="H94" s="326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f ca="1">ROUND(C85-C86,0)</f>
        <v>189</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189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f ca="1">ROUND(IF(C95&lt;=0,0,IF(C96&gt;=200%,C95*60%-C86*35%,IF(C96&gt;=100%,C95*50%-C86*15%,IF(C96&gt;=50%,C95*40%-C86*5%,IF(C96&lt;50%,C95*30%,0))))),0)</f>
        <v>113</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4" t="s">
        <v>1428</v>
      </c>
      <c r="B100" s="3235"/>
      <c r="C100" s="3235"/>
      <c r="D100" s="3252"/>
      <c r="E100" s="3235" t="s">
        <v>1429</v>
      </c>
      <c r="F100" s="3235"/>
      <c r="G100" s="3235"/>
      <c r="H100" s="3252"/>
      <c r="I100" s="121"/>
    </row>
    <row r="101" spans="1:35" ht="18.75" customHeight="1">
      <c r="A101" s="3313" t="s">
        <v>1430</v>
      </c>
      <c r="B101" s="3314"/>
      <c r="C101" s="2371" t="str">
        <f>C4</f>
        <v>比较法-办公</v>
      </c>
      <c r="D101" s="2372" t="str">
        <f>D4</f>
        <v>收益法 (元)</v>
      </c>
      <c r="E101" s="3327" t="s">
        <v>1431</v>
      </c>
      <c r="F101" s="3284"/>
      <c r="G101" s="1687" t="s">
        <v>1432</v>
      </c>
      <c r="H101" s="2381">
        <f ca="1">H118</f>
        <v>199.29599999999999</v>
      </c>
      <c r="I101" s="121"/>
    </row>
    <row r="102" spans="1:35" ht="18.75" customHeight="1">
      <c r="A102" s="3286" t="s">
        <v>1433</v>
      </c>
      <c r="B102" s="2370" t="s">
        <v>1432</v>
      </c>
      <c r="C102" s="2371">
        <f ca="1">IF(D32="楼面单价",ROUND(C19,0),C19)</f>
        <v>266</v>
      </c>
      <c r="D102" s="2372">
        <f ca="1">IF(D32="楼面单价",ROUND(D19,0),D19)</f>
        <v>99</v>
      </c>
      <c r="E102" s="3327"/>
      <c r="F102" s="3284"/>
      <c r="G102" s="1687" t="s">
        <v>1434</v>
      </c>
      <c r="H102" s="2341">
        <f ca="1">I118</f>
        <v>28058</v>
      </c>
      <c r="I102" s="121"/>
    </row>
    <row r="103" spans="1:35" ht="42.75" customHeight="1">
      <c r="A103" s="3286"/>
      <c r="B103" s="2370" t="s">
        <v>1434</v>
      </c>
      <c r="C103" s="2373">
        <f ca="1">C20</f>
        <v>37426</v>
      </c>
      <c r="D103" s="2374">
        <f ca="1">D20</f>
        <v>14005</v>
      </c>
      <c r="E103" s="3321" t="s">
        <v>1435</v>
      </c>
      <c r="F103" s="3322"/>
      <c r="G103" s="1688" t="s">
        <v>1436</v>
      </c>
      <c r="H103" s="2381">
        <f>IF(D36="正常操作",H104+H105+H106,H105+H106)</f>
        <v>0</v>
      </c>
      <c r="I103" s="121"/>
    </row>
    <row r="104" spans="1:35" ht="18.75" customHeight="1">
      <c r="A104" s="3286" t="s">
        <v>1437</v>
      </c>
      <c r="B104" s="2375" t="s">
        <v>1432</v>
      </c>
      <c r="C104" s="2376">
        <f ca="1">H118</f>
        <v>199.29599999999999</v>
      </c>
      <c r="D104" s="2377"/>
      <c r="E104" s="1555" t="s">
        <v>1438</v>
      </c>
      <c r="F104" s="1548"/>
      <c r="G104" s="1688" t="s">
        <v>1436</v>
      </c>
      <c r="H104" s="2382">
        <f>IF(D36="同一抵押权人同一抵押物续贷",C36&amp;"（续贷，未扣减，详见特别提示）",C36)</f>
        <v>0</v>
      </c>
      <c r="I104" s="121"/>
    </row>
    <row r="105" spans="1:35" ht="18.75" customHeight="1" thickBot="1">
      <c r="A105" s="3287"/>
      <c r="B105" s="2378" t="s">
        <v>1434</v>
      </c>
      <c r="C105" s="2379">
        <f ca="1">I118</f>
        <v>28058</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83" t="str">
        <f>IF(项目基本情况!E8="已注销","——","3.房地产抵押价值")</f>
        <v>3.房地产抵押价值</v>
      </c>
      <c r="F107" s="3284"/>
      <c r="G107" s="1687" t="s">
        <v>1432</v>
      </c>
      <c r="H107" s="2381">
        <f ca="1">IF(E107="——","——",H101-H103)</f>
        <v>199.29599999999999</v>
      </c>
      <c r="I107" s="121"/>
    </row>
    <row r="108" spans="1:35" ht="18.75" customHeight="1">
      <c r="A108" s="121"/>
      <c r="B108" s="121"/>
      <c r="C108" s="121"/>
      <c r="D108" s="121"/>
      <c r="E108" s="3283"/>
      <c r="F108" s="3284"/>
      <c r="G108" s="1687" t="s">
        <v>1434</v>
      </c>
      <c r="H108" s="2341">
        <f ca="1">IF(H107=H101,H102,ROUND(H107*10000/'数据-汇总表'!E3,0))</f>
        <v>28058</v>
      </c>
      <c r="I108" s="121"/>
    </row>
    <row r="109" spans="1:35" ht="18.75" customHeight="1">
      <c r="A109" s="121"/>
      <c r="B109" s="121"/>
      <c r="C109" s="121"/>
      <c r="D109" s="121"/>
      <c r="E109" s="3283" t="str">
        <f>IF(项目基本情况!E8="已注销及未注销","4.抵押担保权已注销时的房地产抵押价值",IF(项目基本情况!E8="已注销","3.抵押担保权已注销时的房地产抵押价值","——"))</f>
        <v>——</v>
      </c>
      <c r="F109" s="3284"/>
      <c r="G109" s="1687" t="s">
        <v>1432</v>
      </c>
      <c r="H109" s="2384" t="str">
        <f>IF(E109="——","——",H101-H105-H106)</f>
        <v>——</v>
      </c>
      <c r="I109" s="121"/>
    </row>
    <row r="110" spans="1:35" ht="18.75" customHeight="1">
      <c r="A110" s="121"/>
      <c r="B110" s="121"/>
      <c r="C110" s="121"/>
      <c r="D110" s="121"/>
      <c r="E110" s="3283"/>
      <c r="F110" s="3284"/>
      <c r="G110" s="1687" t="s">
        <v>1434</v>
      </c>
      <c r="H110" s="2341" t="str">
        <f>IF(H109="——","——",ROUND(H109*10000/'数据-汇总表'!E3,0))</f>
        <v>——</v>
      </c>
      <c r="I110" s="121"/>
    </row>
    <row r="111" spans="1:35" ht="18.75" customHeight="1">
      <c r="A111" s="121"/>
      <c r="B111" s="121"/>
      <c r="C111" s="121"/>
      <c r="D111" s="121"/>
      <c r="E111" s="3315" t="str">
        <f>IF(项目基本情况!E9="抵押净值",IF(OR(项目基本情况!E8="已注销",项目基本情况!E8="房地产抵押价值"),"4.抵押净值","5.抵押净值"),"——")</f>
        <v>——</v>
      </c>
      <c r="F111" s="3285"/>
      <c r="G111" s="1687" t="s">
        <v>1432</v>
      </c>
      <c r="H111" s="2381" t="str">
        <f>IF(E111="——","——",N59)</f>
        <v>——</v>
      </c>
      <c r="I111" s="121"/>
    </row>
    <row r="112" spans="1:35" ht="18.75" customHeight="1" thickBot="1">
      <c r="A112" s="121"/>
      <c r="B112" s="121"/>
      <c r="C112" s="121"/>
      <c r="D112" s="121"/>
      <c r="E112" s="3316"/>
      <c r="F112" s="3317"/>
      <c r="G112" s="1690" t="s">
        <v>1434</v>
      </c>
      <c r="H112" s="2385" t="str">
        <f>IF(E111="——","——",N61)</f>
        <v>——</v>
      </c>
      <c r="I112" s="121"/>
    </row>
    <row r="113" spans="1:27" ht="18.75" customHeight="1">
      <c r="A113" s="121"/>
      <c r="B113" s="121"/>
      <c r="C113" s="121"/>
      <c r="D113" s="121"/>
      <c r="E113" s="3288" t="s">
        <v>1440</v>
      </c>
      <c r="F113" s="3288"/>
      <c r="G113" s="3288"/>
      <c r="H113" s="3288"/>
      <c r="I113" s="121"/>
    </row>
    <row r="114" spans="1:27" ht="3.75" customHeight="1">
      <c r="A114" s="646"/>
      <c r="B114" s="646"/>
      <c r="C114" s="646"/>
      <c r="D114" s="646"/>
      <c r="E114" s="1671"/>
      <c r="F114" s="1671"/>
      <c r="G114" s="1671"/>
      <c r="H114" s="1671"/>
      <c r="I114" s="646"/>
    </row>
    <row r="115" spans="1:27" ht="18.75" customHeight="1">
      <c r="A115" s="3298" t="s">
        <v>1442</v>
      </c>
      <c r="B115" s="3299"/>
      <c r="C115" s="3299"/>
      <c r="D115" s="3299"/>
      <c r="E115" s="3299"/>
      <c r="F115" s="3299"/>
      <c r="G115" s="3299"/>
      <c r="H115" s="3299"/>
      <c r="I115" s="3300"/>
    </row>
    <row r="116" spans="1:27" ht="27" customHeight="1">
      <c r="A116" s="3254" t="s">
        <v>1443</v>
      </c>
      <c r="B116" s="3289" t="s">
        <v>1444</v>
      </c>
      <c r="C116" s="3289" t="s">
        <v>1445</v>
      </c>
      <c r="D116" s="3302" t="s">
        <v>1446</v>
      </c>
      <c r="E116" s="3303"/>
      <c r="F116" s="3297" t="s">
        <v>1447</v>
      </c>
      <c r="G116" s="3297"/>
      <c r="H116" s="3254" t="s">
        <v>1448</v>
      </c>
      <c r="I116" s="3254"/>
    </row>
    <row r="117" spans="1:27" ht="18.75" customHeight="1">
      <c r="A117" s="3254"/>
      <c r="B117" s="3290"/>
      <c r="C117" s="3290"/>
      <c r="D117" s="2150" t="s">
        <v>1449</v>
      </c>
      <c r="E117" s="2150" t="s">
        <v>1450</v>
      </c>
      <c r="F117" s="2150" t="s">
        <v>1449</v>
      </c>
      <c r="G117" s="2150" t="s">
        <v>1451</v>
      </c>
      <c r="H117" s="2150" t="s">
        <v>1449</v>
      </c>
      <c r="I117" s="2150" t="s">
        <v>1451</v>
      </c>
    </row>
    <row r="118" spans="1:27" ht="24.75" customHeight="1">
      <c r="A118" s="2386" t="str">
        <f>项目基本情况!S2</f>
        <v>北京市通州区运河园路9号院3号楼16层1606房地产</v>
      </c>
      <c r="B118" s="2150">
        <f>M18</f>
        <v>71.03</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ROUND(IF(D32="总价",C32,I118*B118/10000),4)</f>
        <v>199.29599999999999</v>
      </c>
      <c r="I118" s="2150">
        <f ca="1">ROUND(IF(D32="楼面单价",C32,H118*10000/B118),0)</f>
        <v>28058</v>
      </c>
    </row>
    <row r="119" spans="1:27" ht="18.75" customHeight="1">
      <c r="A119" s="3254" t="s">
        <v>1452</v>
      </c>
      <c r="B119" s="3254"/>
      <c r="C119" s="3254"/>
      <c r="D119" s="3294" t="str">
        <f>NUMBERSTRING(INT(D118*10000),2)&amp;"元整"</f>
        <v>零元整</v>
      </c>
      <c r="E119" s="3296"/>
      <c r="F119" s="3294" t="str">
        <f>NUMBERSTRING(INT(F118*10000),2)&amp;"元整"</f>
        <v>零元整</v>
      </c>
      <c r="G119" s="3296"/>
      <c r="H119" s="3294" t="str">
        <f ca="1">NUMBERSTRING(INT(H118*10000),2)&amp;"元整"</f>
        <v>壹佰玖拾玖万贰仟玖佰陆拾元整</v>
      </c>
      <c r="I119" s="3296"/>
    </row>
    <row r="120" spans="1:27" ht="18.75" customHeight="1">
      <c r="A120" s="3318" t="str">
        <f>IF(项目基本情况!B9="房地产市场价值","",MID(E103,3,LEN(E103)-2))</f>
        <v>估价师知悉的法定优先受偿款</v>
      </c>
      <c r="B120" s="3319"/>
      <c r="C120" s="3320"/>
      <c r="D120" s="3318">
        <f>H103</f>
        <v>0</v>
      </c>
      <c r="E120" s="3319"/>
      <c r="F120" s="3319"/>
      <c r="G120" s="3319"/>
      <c r="H120" s="3319"/>
      <c r="I120" s="332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4" t="s">
        <v>1452</v>
      </c>
      <c r="B121" s="3295"/>
      <c r="C121" s="3296"/>
      <c r="D121" s="3294" t="str">
        <f>IF(D120=0,"零元整",NUMBERSTRING(INT(D120*10000),2)&amp;"元整")</f>
        <v>零元整</v>
      </c>
      <c r="E121" s="3295"/>
      <c r="F121" s="3295"/>
      <c r="G121" s="3295"/>
      <c r="H121" s="3295"/>
      <c r="I121" s="3296"/>
      <c r="AA121" s="684"/>
    </row>
    <row r="122" spans="1:27" ht="18.75" customHeight="1">
      <c r="A122" s="3285" t="str">
        <f>IF(项目基本情况!B9="房地产市场价值","",MID(E107,3,LEN(E107)-2))</f>
        <v>房地产抵押价值</v>
      </c>
      <c r="B122" s="3285"/>
      <c r="C122" s="3285"/>
      <c r="D122" s="3318">
        <f ca="1">H107</f>
        <v>199.29599999999999</v>
      </c>
      <c r="E122" s="3319"/>
      <c r="F122" s="3319"/>
      <c r="G122" s="3319"/>
      <c r="H122" s="3319"/>
      <c r="I122" s="3320"/>
      <c r="AA122" s="684"/>
    </row>
    <row r="123" spans="1:27" ht="18.75" customHeight="1">
      <c r="A123" s="3254" t="s">
        <v>1452</v>
      </c>
      <c r="B123" s="3254"/>
      <c r="C123" s="3254"/>
      <c r="D123" s="3294" t="str">
        <f ca="1">NUMBERSTRING(INT(D122*10000),2)&amp;"元整"</f>
        <v>壹佰玖拾玖万贰仟玖佰陆拾元整</v>
      </c>
      <c r="E123" s="3295"/>
      <c r="F123" s="3295"/>
      <c r="G123" s="3295"/>
      <c r="H123" s="3295"/>
      <c r="I123" s="3296"/>
      <c r="AA123" s="684"/>
    </row>
    <row r="124" spans="1:27" ht="18.75" customHeight="1">
      <c r="A124" s="3285" t="str">
        <f>IF(项目基本情况!B9="房地产市场价值","",MID(E109,3,LEN(E109)-2))</f>
        <v/>
      </c>
      <c r="B124" s="3285"/>
      <c r="C124" s="3285"/>
      <c r="D124" s="3318" t="str">
        <f>H109</f>
        <v>——</v>
      </c>
      <c r="E124" s="3319"/>
      <c r="F124" s="3319"/>
      <c r="G124" s="3319"/>
      <c r="H124" s="3319"/>
      <c r="I124" s="3320"/>
      <c r="AA124" s="684"/>
    </row>
    <row r="125" spans="1:27" ht="18.75" customHeight="1">
      <c r="A125" s="3254" t="s">
        <v>1452</v>
      </c>
      <c r="B125" s="3254"/>
      <c r="C125" s="3254"/>
      <c r="D125" s="3294" t="e">
        <f>NUMBERSTRING(INT(D124*10000),2)&amp;"元整"</f>
        <v>#VALUE!</v>
      </c>
      <c r="E125" s="3295"/>
      <c r="F125" s="3295"/>
      <c r="G125" s="3295"/>
      <c r="H125" s="3295"/>
      <c r="I125" s="3296"/>
      <c r="AA125" s="684"/>
    </row>
    <row r="126" spans="1:27" ht="18.75" customHeight="1">
      <c r="A126" s="3285" t="str">
        <f>IF(项目基本情况!B9="房地产市场价值","",MID(E111,3,LEN(E111)-2))</f>
        <v/>
      </c>
      <c r="B126" s="3285"/>
      <c r="C126" s="3285"/>
      <c r="D126" s="3318" t="str">
        <f>H111</f>
        <v>——</v>
      </c>
      <c r="E126" s="3319"/>
      <c r="F126" s="3319"/>
      <c r="G126" s="3319"/>
      <c r="H126" s="3319"/>
      <c r="I126" s="3320"/>
      <c r="AA126" s="684"/>
    </row>
    <row r="127" spans="1:27" ht="18.75" customHeight="1">
      <c r="A127" s="3254" t="s">
        <v>1452</v>
      </c>
      <c r="B127" s="3254"/>
      <c r="C127" s="3254"/>
      <c r="D127" s="3294" t="e">
        <f>NUMBERSTRING(INT(D126*10000),2)&amp;"元整"</f>
        <v>#VALUE!</v>
      </c>
      <c r="E127" s="3295"/>
      <c r="F127" s="3295"/>
      <c r="G127" s="3295"/>
      <c r="H127" s="3295"/>
      <c r="I127" s="3296"/>
      <c r="AA127" s="684"/>
    </row>
    <row r="128" spans="1:27" ht="21.75" customHeight="1">
      <c r="A128" s="3301" t="s">
        <v>1453</v>
      </c>
      <c r="B128" s="3301"/>
      <c r="C128" s="3301"/>
      <c r="D128" s="3301"/>
      <c r="E128" s="3301"/>
      <c r="F128" s="3301"/>
      <c r="G128" s="3301"/>
      <c r="H128" s="3301"/>
      <c r="I128" s="330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VV+yT9cvJ78U8BPNtS6d4sWb9S+iI9zWallL/UZQgqpaGemQbl44nkM+xKhQI11FgH+dOOYRaCRVymaL2/UGPA==" saltValue="Bmovwmz9MvosGEfgKwXaog=="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47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6617</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1.4206000000000001</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1.4206000000000001</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71.03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71.03</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36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32</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71.03</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34" t="s">
        <v>1544</v>
      </c>
    </row>
    <row r="43" spans="1:7" ht="13.5" customHeight="1">
      <c r="A43" s="734" t="s">
        <v>347</v>
      </c>
      <c r="B43" s="207" t="s">
        <v>1545</v>
      </c>
      <c r="C43" s="230">
        <f ca="1">ROUND(IF('数据-取费表'!B22&lt;=1,C39*F22*'数据-取费表'!B21/2,C39*(POWER((1+F22),'数据-取费表'!B21/2)-1)),0)</f>
        <v>0</v>
      </c>
      <c r="D43" s="230"/>
      <c r="E43" s="230"/>
      <c r="F43" s="231"/>
      <c r="G43" s="3335"/>
    </row>
    <row r="44" spans="1:7" ht="13.5" customHeight="1">
      <c r="A44" s="734" t="s">
        <v>348</v>
      </c>
      <c r="B44" s="207" t="s">
        <v>1546</v>
      </c>
      <c r="C44" s="230">
        <f ca="1">ROUND(IF('数据-取费表'!B22&lt;=1,C40*F22*'数据-取费表'!B21/2,C40*(POWER((1+F22),'数据-取费表'!B21/2)-1)),4)</f>
        <v>5.9999999999999995E-4</v>
      </c>
      <c r="D44" s="230"/>
      <c r="E44" s="230"/>
      <c r="F44" s="231"/>
      <c r="G44" s="3336"/>
    </row>
    <row r="45" spans="1:7" s="206" customFormat="1" ht="13.5" customHeight="1">
      <c r="A45" s="247" t="s">
        <v>1547</v>
      </c>
      <c r="B45" s="236" t="s">
        <v>1513</v>
      </c>
      <c r="C45" s="237">
        <f ca="1">C46</f>
        <v>6</v>
      </c>
      <c r="D45" s="227">
        <f ca="1">C47</f>
        <v>3.0000000000000001E-3</v>
      </c>
      <c r="E45" s="228" t="s">
        <v>1539</v>
      </c>
      <c r="F45" s="238">
        <f ca="1">F27</f>
        <v>0.15</v>
      </c>
      <c r="G45" s="239" t="s">
        <v>1548</v>
      </c>
    </row>
    <row r="46" spans="1:7" s="206" customFormat="1" ht="13.5" customHeight="1">
      <c r="A46" s="734" t="s">
        <v>346</v>
      </c>
      <c r="B46" s="240" t="s">
        <v>1549</v>
      </c>
      <c r="C46" s="241">
        <f ca="1">ROUND((C33+C39)*F27,0)</f>
        <v>6</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48</v>
      </c>
      <c r="D49" s="224"/>
      <c r="E49" s="224"/>
      <c r="F49" s="256"/>
      <c r="G49" s="226" t="s">
        <v>1554</v>
      </c>
    </row>
    <row r="50" spans="1:7" s="250" customFormat="1" ht="24">
      <c r="A50" s="247" t="s">
        <v>1555</v>
      </c>
      <c r="B50" s="202" t="s">
        <v>1556</v>
      </c>
      <c r="C50" s="224"/>
      <c r="D50" s="224"/>
      <c r="E50" s="224"/>
      <c r="F50" s="256">
        <f>IF('数据-取费表'!B24=0,'数据-取费表'!N16,1)</f>
        <v>0.92</v>
      </c>
      <c r="G50" s="239" t="s">
        <v>1557</v>
      </c>
    </row>
    <row r="51" spans="1:7" ht="16.5" customHeight="1">
      <c r="A51" s="247" t="s">
        <v>1558</v>
      </c>
      <c r="B51" s="202" t="s">
        <v>1559</v>
      </c>
      <c r="C51" s="224">
        <f ca="1">ROUND(C49*F50,0)</f>
        <v>44</v>
      </c>
      <c r="D51" s="224"/>
      <c r="E51" s="224"/>
      <c r="F51" s="256"/>
      <c r="G51" s="226" t="s">
        <v>1560</v>
      </c>
    </row>
    <row r="52" spans="1:7" s="200" customFormat="1" ht="16.8" thickBot="1">
      <c r="A52" s="257" t="s">
        <v>1561</v>
      </c>
      <c r="B52" s="258"/>
      <c r="C52" s="259">
        <f ca="1">C31+C51</f>
        <v>47</v>
      </c>
      <c r="D52" s="258"/>
      <c r="E52" s="258"/>
      <c r="F52" s="258"/>
      <c r="G52" s="260"/>
    </row>
    <row r="55" spans="1:7" ht="15">
      <c r="B55" s="262" t="s">
        <v>1562</v>
      </c>
      <c r="C55" s="263"/>
    </row>
    <row r="56" spans="1:7">
      <c r="B56" s="265" t="s">
        <v>802</v>
      </c>
      <c r="C56" s="267">
        <f ca="1">1-C57</f>
        <v>6.3999999999999946E-2</v>
      </c>
    </row>
    <row r="57" spans="1:7">
      <c r="B57" s="265" t="s">
        <v>803</v>
      </c>
      <c r="C57" s="266">
        <f ca="1">ROUND(C51/C52,3)</f>
        <v>0.93600000000000005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53" t="str">
        <f>项目基本情况!B1</f>
        <v>北京市通州区运河园路9号院3号楼16层1606房地产抵押价值预评估</v>
      </c>
      <c r="C37" s="3153"/>
      <c r="D37" s="3153"/>
      <c r="E37" s="3153"/>
      <c r="F37" s="3153"/>
      <c r="G37" s="3153"/>
      <c r="H37" s="3153"/>
      <c r="I37" s="315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25" zoomScale="60" zoomScaleNormal="70" workbookViewId="0">
      <selection activeCell="E49" sqref="E49"/>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21</v>
      </c>
      <c r="E1" s="3131" t="s">
        <v>3447</v>
      </c>
      <c r="F1" s="1735" t="s">
        <v>3448</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265.83690000000001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37426</v>
      </c>
      <c r="C3" s="344" t="s">
        <v>1768</v>
      </c>
      <c r="D3" s="343">
        <f>IF(D1="",'数据-汇总表'!E3,SUMIF('数据-汇总表'!$C19:$C33,D1,'数据-汇总表'!$E19:$E33))</f>
        <v>71.03</v>
      </c>
      <c r="E3" s="1805"/>
      <c r="F3" s="856"/>
      <c r="G3" s="3505" t="s">
        <v>3512</v>
      </c>
      <c r="H3" s="855"/>
      <c r="I3" s="855"/>
      <c r="J3" s="3504"/>
      <c r="K3" s="857"/>
      <c r="M3" s="2504"/>
      <c r="N3" s="2504"/>
      <c r="O3" s="2504"/>
      <c r="P3" s="341"/>
      <c r="Q3" s="341"/>
      <c r="R3" s="341"/>
      <c r="S3" s="341"/>
      <c r="T3" s="341"/>
      <c r="U3" s="341"/>
      <c r="V3" s="341"/>
      <c r="W3" s="341"/>
      <c r="X3" s="341"/>
      <c r="Y3" s="341"/>
      <c r="Z3" s="341"/>
      <c r="AA3" s="341"/>
      <c r="AB3" s="341"/>
      <c r="AC3" s="663"/>
    </row>
    <row r="4" spans="1:29" ht="14.4">
      <c r="A4" s="345" t="s">
        <v>1769</v>
      </c>
      <c r="B4" s="346"/>
      <c r="C4" s="3381" t="s">
        <v>1770</v>
      </c>
      <c r="D4" s="3382"/>
      <c r="E4" s="3383" t="s">
        <v>1771</v>
      </c>
      <c r="F4" s="3384"/>
      <c r="G4" s="3381" t="s">
        <v>1772</v>
      </c>
      <c r="H4" s="3382"/>
      <c r="I4" s="3381" t="s">
        <v>1773</v>
      </c>
      <c r="J4" s="3382"/>
      <c r="K4" s="537" t="s">
        <v>1774</v>
      </c>
      <c r="L4" s="2486"/>
      <c r="M4" s="2487"/>
      <c r="N4" s="2487"/>
      <c r="O4" s="2487"/>
      <c r="P4" s="3414" t="s">
        <v>1775</v>
      </c>
      <c r="Q4" s="3415"/>
      <c r="R4" s="3418" t="s">
        <v>1771</v>
      </c>
      <c r="S4" s="3419"/>
      <c r="T4" s="3418" t="s">
        <v>1772</v>
      </c>
      <c r="U4" s="3419"/>
      <c r="V4" s="3420" t="s">
        <v>1773</v>
      </c>
      <c r="W4" s="3420"/>
      <c r="X4" s="1809"/>
      <c r="Y4" s="3418" t="s">
        <v>1775</v>
      </c>
      <c r="Z4" s="3419"/>
      <c r="AA4" s="3422" t="s">
        <v>1771</v>
      </c>
      <c r="AB4" s="3422" t="s">
        <v>1772</v>
      </c>
      <c r="AC4" s="3411" t="s">
        <v>1773</v>
      </c>
    </row>
    <row r="5" spans="1:29" ht="13.8" customHeight="1">
      <c r="A5" s="348"/>
      <c r="B5" s="349"/>
      <c r="C5" s="3491" t="s">
        <v>3449</v>
      </c>
      <c r="D5" s="3400"/>
      <c r="E5" s="3491" t="s">
        <v>3500</v>
      </c>
      <c r="F5" s="3400"/>
      <c r="G5" s="3491" t="s">
        <v>3500</v>
      </c>
      <c r="H5" s="3400"/>
      <c r="I5" s="3491" t="s">
        <v>3449</v>
      </c>
      <c r="J5" s="3400"/>
      <c r="K5" s="537"/>
      <c r="L5" s="2486"/>
      <c r="M5" s="2487"/>
      <c r="N5" s="2487"/>
      <c r="O5" s="2487"/>
      <c r="P5" s="3416"/>
      <c r="Q5" s="3388"/>
      <c r="R5" s="3393"/>
      <c r="S5" s="3394"/>
      <c r="T5" s="3393"/>
      <c r="U5" s="3394"/>
      <c r="V5" s="3367"/>
      <c r="W5" s="3367"/>
      <c r="X5" s="1265"/>
      <c r="Y5" s="3393"/>
      <c r="Z5" s="3394"/>
      <c r="AA5" s="3379"/>
      <c r="AB5" s="3379"/>
      <c r="AC5" s="3412"/>
    </row>
    <row r="6" spans="1:29" ht="15" thickBot="1">
      <c r="A6" s="350"/>
      <c r="B6" s="351"/>
      <c r="C6" s="3397" t="s">
        <v>1677</v>
      </c>
      <c r="D6" s="3398"/>
      <c r="E6" s="3404" t="s">
        <v>1677</v>
      </c>
      <c r="F6" s="3405"/>
      <c r="G6" s="3397" t="s">
        <v>1677</v>
      </c>
      <c r="H6" s="3398"/>
      <c r="I6" s="3397" t="s">
        <v>1677</v>
      </c>
      <c r="J6" s="3398"/>
      <c r="K6" s="537" t="s">
        <v>1678</v>
      </c>
      <c r="L6" s="2486"/>
      <c r="O6" s="2487"/>
      <c r="P6" s="3417"/>
      <c r="Q6" s="3390"/>
      <c r="R6" s="3393"/>
      <c r="S6" s="3394"/>
      <c r="T6" s="3395"/>
      <c r="U6" s="3396"/>
      <c r="V6" s="3367"/>
      <c r="W6" s="3367"/>
      <c r="X6" s="1265"/>
      <c r="Y6" s="3395"/>
      <c r="Z6" s="3396"/>
      <c r="AA6" s="3380"/>
      <c r="AB6" s="3380"/>
      <c r="AC6" s="3413"/>
    </row>
    <row r="7" spans="1:29" s="102" customFormat="1" ht="15" thickBot="1">
      <c r="A7" s="352" t="s">
        <v>1679</v>
      </c>
      <c r="B7" s="353"/>
      <c r="C7" s="354">
        <f>'数据-取费表'!B2</f>
        <v>45664</v>
      </c>
      <c r="D7" s="355">
        <v>100</v>
      </c>
      <c r="E7" s="356">
        <v>45576</v>
      </c>
      <c r="F7" s="357">
        <f>SUMIF(59:59,YEAR(E7)&amp;"-"&amp;MONTH(E7),60:60)</f>
        <v>100</v>
      </c>
      <c r="G7" s="356">
        <f>E7</f>
        <v>45576</v>
      </c>
      <c r="H7" s="355">
        <f>SUMIF(59:59,YEAR(G7)&amp;"-"&amp;MONTH(G7),60:60)</f>
        <v>100</v>
      </c>
      <c r="I7" s="356">
        <f>C7</f>
        <v>45664</v>
      </c>
      <c r="J7" s="355">
        <f>SUMIF(59:59,YEAR(I7)&amp;"-"&amp;MONTH(I7),60:60)</f>
        <v>100</v>
      </c>
      <c r="K7" s="38"/>
      <c r="L7" s="2488"/>
      <c r="M7" s="2440"/>
      <c r="N7" s="2440"/>
      <c r="O7" s="2440"/>
      <c r="P7" s="3421" t="s">
        <v>1680</v>
      </c>
      <c r="Q7" s="3403"/>
      <c r="R7" s="664" t="s">
        <v>14</v>
      </c>
      <c r="S7" s="665">
        <f t="shared" ref="S7:S15" si="0">F7</f>
        <v>100</v>
      </c>
      <c r="T7" s="664" t="s">
        <v>14</v>
      </c>
      <c r="U7" s="665">
        <f t="shared" ref="U7:U15" si="1">H7</f>
        <v>100</v>
      </c>
      <c r="V7" s="664" t="s">
        <v>14</v>
      </c>
      <c r="W7" s="665">
        <f t="shared" ref="W7:W15" si="2">J7</f>
        <v>100</v>
      </c>
      <c r="X7" s="666"/>
      <c r="Y7" s="3401" t="s">
        <v>1680</v>
      </c>
      <c r="Z7" s="3402"/>
      <c r="AA7" s="50">
        <f>D7/F7</f>
        <v>1</v>
      </c>
      <c r="AB7" s="50">
        <f>D7/H7</f>
        <v>1</v>
      </c>
      <c r="AC7" s="802">
        <f>D7/J7</f>
        <v>1</v>
      </c>
    </row>
    <row r="8" spans="1:29" s="102" customFormat="1" ht="15" thickBot="1">
      <c r="A8" s="352" t="s">
        <v>1681</v>
      </c>
      <c r="B8" s="353"/>
      <c r="C8" s="358" t="s">
        <v>3450</v>
      </c>
      <c r="D8" s="355">
        <v>100</v>
      </c>
      <c r="E8" s="358" t="s">
        <v>3450</v>
      </c>
      <c r="F8" s="357">
        <f>SUMIF(62:62,E8,63:63)-SUMIF(62:62,C8,63:63)+100</f>
        <v>100</v>
      </c>
      <c r="G8" s="358" t="s">
        <v>3450</v>
      </c>
      <c r="H8" s="355">
        <f>SUMIF(62:62,G8,63:63)-SUMIF(62:62,C8,63:63)+100</f>
        <v>100</v>
      </c>
      <c r="I8" s="358" t="s">
        <v>3497</v>
      </c>
      <c r="J8" s="355">
        <f>SUMIF(62:62,I8,63:63)-SUMIF(62:62,C8,63:63)+100</f>
        <v>105</v>
      </c>
      <c r="K8" s="38"/>
      <c r="L8" s="2488"/>
      <c r="M8" s="2440"/>
      <c r="N8" s="2440"/>
      <c r="O8" s="2440"/>
      <c r="P8" s="3421" t="s">
        <v>1683</v>
      </c>
      <c r="Q8" s="3402"/>
      <c r="R8" s="664" t="s">
        <v>14</v>
      </c>
      <c r="S8" s="665">
        <f t="shared" si="0"/>
        <v>100</v>
      </c>
      <c r="T8" s="664" t="s">
        <v>14</v>
      </c>
      <c r="U8" s="665">
        <f t="shared" si="1"/>
        <v>100</v>
      </c>
      <c r="V8" s="664" t="s">
        <v>14</v>
      </c>
      <c r="W8" s="665">
        <f t="shared" si="2"/>
        <v>105</v>
      </c>
      <c r="X8" s="666"/>
      <c r="Y8" s="3401" t="s">
        <v>1683</v>
      </c>
      <c r="Z8" s="3402"/>
      <c r="AA8" s="50">
        <f t="shared" ref="AA8:AA47" si="3">D8/F8</f>
        <v>1</v>
      </c>
      <c r="AB8" s="50">
        <f t="shared" ref="AB8:AB47" si="4">D8/H8</f>
        <v>1</v>
      </c>
      <c r="AC8" s="802">
        <f t="shared" ref="AC8:AC47" si="5">D8/J8</f>
        <v>0.95238095238095233</v>
      </c>
    </row>
    <row r="9" spans="1:29" s="102" customFormat="1" ht="14.4">
      <c r="A9" s="359" t="s">
        <v>1684</v>
      </c>
      <c r="B9" s="60" t="s">
        <v>1685</v>
      </c>
      <c r="C9" s="3492" t="s">
        <v>3451</v>
      </c>
      <c r="D9" s="59">
        <v>100</v>
      </c>
      <c r="E9" s="362" t="s">
        <v>21</v>
      </c>
      <c r="F9" s="59">
        <f>SUMIF(64:64,E9,65:65)-SUMIF(64:64,C9,65:65)+100</f>
        <v>100</v>
      </c>
      <c r="G9" s="361" t="s">
        <v>21</v>
      </c>
      <c r="H9" s="59">
        <f>SUMIF(64:64,G9,65:65)-SUMIF(64:64,C9,65:65)+100</f>
        <v>100</v>
      </c>
      <c r="I9" s="361" t="s">
        <v>21</v>
      </c>
      <c r="J9" s="59">
        <f>SUMIF(64:64,I9,65:65)-SUMIF(64:64,C9,65:65)+100</f>
        <v>100</v>
      </c>
      <c r="K9" s="38"/>
      <c r="L9" s="2488"/>
      <c r="M9" s="2440"/>
      <c r="N9" s="2440"/>
      <c r="O9" s="2440"/>
      <c r="P9" s="3377"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802">
        <f t="shared" si="5"/>
        <v>1</v>
      </c>
    </row>
    <row r="10" spans="1:29" s="366" customFormat="1" ht="28.8">
      <c r="A10" s="363"/>
      <c r="B10" s="364" t="s">
        <v>1688</v>
      </c>
      <c r="C10" s="3132" t="s">
        <v>3453</v>
      </c>
      <c r="D10" s="119">
        <v>100</v>
      </c>
      <c r="E10" s="3132" t="s">
        <v>3453</v>
      </c>
      <c r="F10" s="119">
        <f>SUMIF(66:66,E10,67:67)-SUMIF(66:66,C10,67:67)+100</f>
        <v>100</v>
      </c>
      <c r="G10" s="3132" t="s">
        <v>3453</v>
      </c>
      <c r="H10" s="119">
        <f>SUMIF(66:66,G10,67:67)-SUMIF(66:66,C10,67:67)+100</f>
        <v>100</v>
      </c>
      <c r="I10" s="3132" t="s">
        <v>3453</v>
      </c>
      <c r="J10" s="119">
        <f>SUMIF(66:66,I10,67:67)-SUMIF(66:66,C10,67:67)+100</f>
        <v>100</v>
      </c>
      <c r="K10" s="38"/>
      <c r="L10" s="2489"/>
      <c r="M10" s="2490"/>
      <c r="N10" s="2490"/>
      <c r="O10" s="2490"/>
      <c r="P10" s="3377"/>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77"/>
      <c r="Q11" s="530" t="str">
        <f t="shared" si="6"/>
        <v>容积率</v>
      </c>
      <c r="R11" s="664" t="s">
        <v>14</v>
      </c>
      <c r="S11" s="665">
        <f t="shared" si="0"/>
        <v>100</v>
      </c>
      <c r="T11" s="664" t="s">
        <v>14</v>
      </c>
      <c r="U11" s="665">
        <f t="shared" si="1"/>
        <v>100</v>
      </c>
      <c r="V11" s="664" t="s">
        <v>14</v>
      </c>
      <c r="W11" s="665">
        <f t="shared" si="2"/>
        <v>100</v>
      </c>
      <c r="X11" s="666"/>
      <c r="Y11" s="324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40"/>
      <c r="N12" s="2440"/>
      <c r="O12" s="2440"/>
      <c r="P12" s="3377"/>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77"/>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77"/>
      <c r="Q14" s="530">
        <f t="shared" si="6"/>
        <v>111</v>
      </c>
      <c r="R14" s="664" t="s">
        <v>14</v>
      </c>
      <c r="S14" s="665">
        <f t="shared" si="0"/>
        <v>100</v>
      </c>
      <c r="T14" s="664" t="s">
        <v>14</v>
      </c>
      <c r="U14" s="665">
        <f t="shared" si="1"/>
        <v>100</v>
      </c>
      <c r="V14" s="664" t="s">
        <v>14</v>
      </c>
      <c r="W14" s="665">
        <f t="shared" si="2"/>
        <v>100</v>
      </c>
      <c r="X14" s="666"/>
      <c r="Y14" s="3241"/>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2"/>
      <c r="M15" s="2487"/>
      <c r="N15" s="2487"/>
      <c r="O15" s="2487"/>
      <c r="P15" s="3375" t="s">
        <v>1691</v>
      </c>
      <c r="Q15" s="1263" t="str">
        <f t="shared" si="6"/>
        <v>办公集聚程度</v>
      </c>
      <c r="R15" s="667" t="s">
        <v>14</v>
      </c>
      <c r="S15" s="668">
        <f t="shared" si="0"/>
        <v>100</v>
      </c>
      <c r="T15" s="667" t="s">
        <v>14</v>
      </c>
      <c r="U15" s="668">
        <f t="shared" si="1"/>
        <v>100</v>
      </c>
      <c r="V15" s="667" t="s">
        <v>14</v>
      </c>
      <c r="W15" s="668">
        <f t="shared" si="2"/>
        <v>100</v>
      </c>
      <c r="X15" s="1265"/>
      <c r="Y15" s="3368" t="s">
        <v>1691</v>
      </c>
      <c r="Z15" s="1264" t="str">
        <f t="shared" si="7"/>
        <v>办公集聚程度</v>
      </c>
      <c r="AA15" s="1264">
        <f t="shared" si="3"/>
        <v>1</v>
      </c>
      <c r="AB15" s="1264">
        <f t="shared" si="4"/>
        <v>1</v>
      </c>
      <c r="AC15" s="1812">
        <f t="shared" si="5"/>
        <v>1</v>
      </c>
    </row>
    <row r="16" spans="1:29" ht="15">
      <c r="A16" s="367"/>
      <c r="B16" s="555"/>
      <c r="C16" s="1758" t="s">
        <v>3435</v>
      </c>
      <c r="D16" s="387"/>
      <c r="E16" s="1758" t="s">
        <v>3435</v>
      </c>
      <c r="F16" s="387"/>
      <c r="G16" s="1758" t="s">
        <v>3435</v>
      </c>
      <c r="H16" s="389"/>
      <c r="I16" s="1758" t="s">
        <v>3435</v>
      </c>
      <c r="J16" s="387"/>
      <c r="K16" s="541"/>
      <c r="L16" s="2492"/>
      <c r="M16" s="2487"/>
      <c r="N16" s="2487"/>
      <c r="O16" s="2487"/>
      <c r="P16" s="3376"/>
      <c r="Q16" s="1263"/>
      <c r="R16" s="667"/>
      <c r="S16" s="668"/>
      <c r="T16" s="667"/>
      <c r="U16" s="668"/>
      <c r="V16" s="667"/>
      <c r="W16" s="668"/>
      <c r="X16" s="1265"/>
      <c r="Y16" s="3369"/>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2"/>
      <c r="M17" s="2487"/>
      <c r="N17" s="2487"/>
      <c r="O17" s="2487"/>
      <c r="P17" s="3376"/>
      <c r="Q17" s="1263" t="str">
        <f>B17</f>
        <v>交通便捷度</v>
      </c>
      <c r="R17" s="667" t="s">
        <v>14</v>
      </c>
      <c r="S17" s="668">
        <f>F17</f>
        <v>100</v>
      </c>
      <c r="T17" s="667" t="s">
        <v>14</v>
      </c>
      <c r="U17" s="668">
        <f>H17</f>
        <v>100</v>
      </c>
      <c r="V17" s="667" t="s">
        <v>14</v>
      </c>
      <c r="W17" s="668">
        <f>J17</f>
        <v>100</v>
      </c>
      <c r="X17" s="1265"/>
      <c r="Y17" s="3369"/>
      <c r="Z17" s="1264" t="str">
        <f>Q17</f>
        <v>交通便捷度</v>
      </c>
      <c r="AA17" s="1264">
        <f t="shared" si="3"/>
        <v>1</v>
      </c>
      <c r="AB17" s="1264">
        <f t="shared" si="4"/>
        <v>1</v>
      </c>
      <c r="AC17" s="1812">
        <f t="shared" si="5"/>
        <v>1</v>
      </c>
    </row>
    <row r="18" spans="1:29" ht="15">
      <c r="A18" s="367"/>
      <c r="B18" s="401"/>
      <c r="C18" s="1814" t="s">
        <v>3435</v>
      </c>
      <c r="D18" s="389"/>
      <c r="E18" s="1758" t="s">
        <v>3435</v>
      </c>
      <c r="F18" s="389"/>
      <c r="G18" s="1758" t="s">
        <v>3435</v>
      </c>
      <c r="H18" s="387"/>
      <c r="I18" s="1758" t="s">
        <v>3435</v>
      </c>
      <c r="J18" s="387"/>
      <c r="K18" s="541"/>
      <c r="L18" s="2492"/>
      <c r="M18" s="2487"/>
      <c r="N18" s="2487"/>
      <c r="O18" s="2487"/>
      <c r="P18" s="3376"/>
      <c r="Q18" s="1263"/>
      <c r="R18" s="667"/>
      <c r="S18" s="668"/>
      <c r="T18" s="667"/>
      <c r="U18" s="668"/>
      <c r="V18" s="667"/>
      <c r="W18" s="668"/>
      <c r="X18" s="1265"/>
      <c r="Y18" s="3369"/>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2"/>
      <c r="M19" s="2487"/>
      <c r="N19" s="2487"/>
      <c r="O19" s="2487"/>
      <c r="P19" s="3376"/>
      <c r="Q19" s="1263" t="str">
        <f>B19</f>
        <v>公共配套设施</v>
      </c>
      <c r="R19" s="667" t="s">
        <v>14</v>
      </c>
      <c r="S19" s="668">
        <f>F19</f>
        <v>100</v>
      </c>
      <c r="T19" s="667" t="s">
        <v>14</v>
      </c>
      <c r="U19" s="668">
        <f>H19</f>
        <v>100</v>
      </c>
      <c r="V19" s="667" t="s">
        <v>14</v>
      </c>
      <c r="W19" s="668">
        <f>J19</f>
        <v>100</v>
      </c>
      <c r="X19" s="1265"/>
      <c r="Y19" s="3369"/>
      <c r="Z19" s="1264" t="str">
        <f>Q19</f>
        <v>公共配套设施</v>
      </c>
      <c r="AA19" s="1264">
        <f t="shared" si="3"/>
        <v>1</v>
      </c>
      <c r="AB19" s="1264">
        <f t="shared" si="4"/>
        <v>1</v>
      </c>
      <c r="AC19" s="1812">
        <f t="shared" si="5"/>
        <v>1</v>
      </c>
    </row>
    <row r="20" spans="1:29" ht="15">
      <c r="A20" s="367"/>
      <c r="B20" s="401"/>
      <c r="C20" s="1758" t="s">
        <v>3435</v>
      </c>
      <c r="D20" s="387"/>
      <c r="E20" s="1758" t="s">
        <v>3435</v>
      </c>
      <c r="F20" s="387"/>
      <c r="G20" s="1758" t="s">
        <v>3435</v>
      </c>
      <c r="H20" s="387"/>
      <c r="I20" s="1758" t="s">
        <v>3435</v>
      </c>
      <c r="J20" s="387"/>
      <c r="K20" s="541"/>
      <c r="L20" s="2492"/>
      <c r="M20" s="2487"/>
      <c r="N20" s="2487"/>
      <c r="O20" s="2487"/>
      <c r="P20" s="3376"/>
      <c r="Q20" s="1263"/>
      <c r="R20" s="667"/>
      <c r="S20" s="668"/>
      <c r="T20" s="667"/>
      <c r="U20" s="668"/>
      <c r="V20" s="667"/>
      <c r="W20" s="668"/>
      <c r="X20" s="1265"/>
      <c r="Y20" s="3369"/>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2"/>
      <c r="M21" s="2487"/>
      <c r="N21" s="2487"/>
      <c r="O21" s="2487"/>
      <c r="P21" s="3376"/>
      <c r="Q21" s="1263" t="str">
        <f>B21</f>
        <v>基础设施水平</v>
      </c>
      <c r="R21" s="667" t="s">
        <v>14</v>
      </c>
      <c r="S21" s="668">
        <f>F21</f>
        <v>100</v>
      </c>
      <c r="T21" s="667" t="s">
        <v>14</v>
      </c>
      <c r="U21" s="668">
        <f>H21</f>
        <v>100</v>
      </c>
      <c r="V21" s="667" t="s">
        <v>14</v>
      </c>
      <c r="W21" s="668">
        <f>J21</f>
        <v>100</v>
      </c>
      <c r="X21" s="1265"/>
      <c r="Y21" s="3369"/>
      <c r="Z21" s="1264" t="str">
        <f>Q21</f>
        <v>基础设施水平</v>
      </c>
      <c r="AA21" s="1264">
        <f t="shared" ref="AA21" si="8">D21/F21</f>
        <v>1</v>
      </c>
      <c r="AB21" s="1264">
        <f t="shared" ref="AB21" si="9">D21/H21</f>
        <v>1</v>
      </c>
      <c r="AC21" s="1812">
        <f t="shared" ref="AC21" si="10">D21/J21</f>
        <v>1</v>
      </c>
    </row>
    <row r="22" spans="1:29" ht="15">
      <c r="A22" s="367"/>
      <c r="B22" s="557"/>
      <c r="C22" s="1814" t="s">
        <v>3452</v>
      </c>
      <c r="D22" s="387"/>
      <c r="E22" s="1814" t="s">
        <v>3452</v>
      </c>
      <c r="F22" s="387"/>
      <c r="G22" s="1814" t="s">
        <v>3452</v>
      </c>
      <c r="H22" s="387"/>
      <c r="I22" s="1814" t="s">
        <v>3452</v>
      </c>
      <c r="J22" s="387"/>
      <c r="K22" s="1064"/>
      <c r="L22" s="2492"/>
      <c r="M22" s="2487"/>
      <c r="N22" s="2487"/>
      <c r="O22" s="2487"/>
      <c r="P22" s="3376"/>
      <c r="Q22" s="1263"/>
      <c r="R22" s="667"/>
      <c r="S22" s="668"/>
      <c r="T22" s="667"/>
      <c r="U22" s="668"/>
      <c r="V22" s="667"/>
      <c r="W22" s="668"/>
      <c r="X22" s="1265"/>
      <c r="Y22" s="3369"/>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2"/>
      <c r="M23" s="2487"/>
      <c r="N23" s="2487"/>
      <c r="O23" s="2487"/>
      <c r="P23" s="3376"/>
      <c r="Q23" s="1263" t="str">
        <f>B23</f>
        <v>环境质量</v>
      </c>
      <c r="R23" s="667" t="s">
        <v>14</v>
      </c>
      <c r="S23" s="668">
        <f>F23</f>
        <v>100</v>
      </c>
      <c r="T23" s="667" t="s">
        <v>14</v>
      </c>
      <c r="U23" s="668">
        <f>H23</f>
        <v>100</v>
      </c>
      <c r="V23" s="667" t="s">
        <v>14</v>
      </c>
      <c r="W23" s="668">
        <f>J23</f>
        <v>100</v>
      </c>
      <c r="X23" s="1265"/>
      <c r="Y23" s="3369"/>
      <c r="Z23" s="1264" t="str">
        <f>Q23</f>
        <v>环境质量</v>
      </c>
      <c r="AA23" s="1264">
        <f t="shared" si="3"/>
        <v>1</v>
      </c>
      <c r="AB23" s="1264">
        <f t="shared" si="4"/>
        <v>1</v>
      </c>
      <c r="AC23" s="1812">
        <f t="shared" si="5"/>
        <v>1</v>
      </c>
    </row>
    <row r="24" spans="1:29" ht="15">
      <c r="A24" s="367"/>
      <c r="B24" s="557"/>
      <c r="C24" s="1758" t="s">
        <v>3435</v>
      </c>
      <c r="D24" s="387"/>
      <c r="E24" s="1758" t="s">
        <v>3435</v>
      </c>
      <c r="F24" s="387"/>
      <c r="G24" s="1758" t="s">
        <v>3435</v>
      </c>
      <c r="H24" s="387"/>
      <c r="I24" s="1758" t="s">
        <v>3435</v>
      </c>
      <c r="J24" s="387"/>
      <c r="K24" s="541"/>
      <c r="L24" s="2492"/>
      <c r="M24" s="2487"/>
      <c r="N24" s="2487"/>
      <c r="O24" s="2487"/>
      <c r="P24" s="3376"/>
      <c r="Q24" s="1263"/>
      <c r="R24" s="667"/>
      <c r="S24" s="668"/>
      <c r="T24" s="667"/>
      <c r="U24" s="668"/>
      <c r="V24" s="667"/>
      <c r="W24" s="668"/>
      <c r="X24" s="1265"/>
      <c r="Y24" s="3369"/>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2"/>
      <c r="M25" s="2487"/>
      <c r="N25" s="2487"/>
      <c r="O25" s="2487"/>
      <c r="P25" s="3376"/>
      <c r="Q25" s="1263" t="str">
        <f>B25</f>
        <v>毗邻道路的类型与等级</v>
      </c>
      <c r="R25" s="667" t="s">
        <v>14</v>
      </c>
      <c r="S25" s="668">
        <f>F25</f>
        <v>100</v>
      </c>
      <c r="T25" s="667" t="s">
        <v>14</v>
      </c>
      <c r="U25" s="668">
        <f>H25</f>
        <v>100</v>
      </c>
      <c r="V25" s="667" t="s">
        <v>14</v>
      </c>
      <c r="W25" s="668">
        <f>J25</f>
        <v>100</v>
      </c>
      <c r="X25" s="1265"/>
      <c r="Y25" s="3369"/>
      <c r="Z25" s="1264" t="str">
        <f>Q25</f>
        <v>毗邻道路的类型与等级</v>
      </c>
      <c r="AA25" s="1264">
        <f t="shared" si="3"/>
        <v>1</v>
      </c>
      <c r="AB25" s="1264">
        <f t="shared" si="4"/>
        <v>1</v>
      </c>
      <c r="AC25" s="1812">
        <f t="shared" si="5"/>
        <v>1</v>
      </c>
    </row>
    <row r="26" spans="1:29" ht="15">
      <c r="A26" s="348"/>
      <c r="B26" s="401"/>
      <c r="C26" s="558" t="s">
        <v>3467</v>
      </c>
      <c r="D26" s="374"/>
      <c r="E26" s="558" t="s">
        <v>3467</v>
      </c>
      <c r="F26" s="374"/>
      <c r="G26" s="558" t="s">
        <v>3467</v>
      </c>
      <c r="H26" s="374"/>
      <c r="I26" s="558" t="s">
        <v>3467</v>
      </c>
      <c r="J26" s="374"/>
      <c r="K26" s="541"/>
      <c r="L26" s="2492"/>
      <c r="M26" s="2487"/>
      <c r="N26" s="2487"/>
      <c r="O26" s="2487"/>
      <c r="P26" s="3376"/>
      <c r="Q26" s="1263"/>
      <c r="R26" s="667"/>
      <c r="S26" s="668"/>
      <c r="T26" s="667"/>
      <c r="U26" s="668"/>
      <c r="V26" s="667"/>
      <c r="W26" s="668"/>
      <c r="X26" s="1265"/>
      <c r="Y26" s="3369"/>
      <c r="Z26" s="1264"/>
      <c r="AA26" s="1264">
        <v>1</v>
      </c>
      <c r="AB26" s="1264">
        <v>1</v>
      </c>
      <c r="AC26" s="1812">
        <v>1</v>
      </c>
    </row>
    <row r="27" spans="1:29" ht="15">
      <c r="A27" s="367"/>
      <c r="B27" s="401" t="s">
        <v>1783</v>
      </c>
      <c r="C27" s="558" t="s">
        <v>3469</v>
      </c>
      <c r="D27" s="374">
        <v>100</v>
      </c>
      <c r="E27" s="542" t="s">
        <v>3469</v>
      </c>
      <c r="F27" s="374">
        <f>SUMIF(89:89,E27,90:90)-SUMIF(89:89,C27,90:90)+100</f>
        <v>100</v>
      </c>
      <c r="G27" s="558" t="s">
        <v>3469</v>
      </c>
      <c r="H27" s="374">
        <f>SUMIF(89:89,G27,90:90)-SUMIF(89:89,C27,90:90)+100</f>
        <v>100</v>
      </c>
      <c r="I27" s="542" t="s">
        <v>3469</v>
      </c>
      <c r="J27" s="374">
        <f>SUMIF(89:89,I27,90:90)-SUMIF(89:89,C27,90:90)+100</f>
        <v>100</v>
      </c>
      <c r="K27" s="538">
        <v>2</v>
      </c>
      <c r="L27" s="2492"/>
      <c r="M27" s="2487"/>
      <c r="N27" s="2487"/>
      <c r="O27" s="2487"/>
      <c r="P27" s="3376"/>
      <c r="Q27" s="1263" t="str">
        <f t="shared" ref="Q27:Q47" si="11">B27</f>
        <v>楼层</v>
      </c>
      <c r="R27" s="667" t="s">
        <v>14</v>
      </c>
      <c r="S27" s="668">
        <f>F27</f>
        <v>100</v>
      </c>
      <c r="T27" s="667" t="s">
        <v>14</v>
      </c>
      <c r="U27" s="668">
        <f>H27</f>
        <v>100</v>
      </c>
      <c r="V27" s="667" t="s">
        <v>14</v>
      </c>
      <c r="W27" s="668">
        <f>J27</f>
        <v>100</v>
      </c>
      <c r="X27" s="1265"/>
      <c r="Y27" s="3369"/>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v>0.5</v>
      </c>
      <c r="L28" s="2488"/>
      <c r="M28" s="2440"/>
      <c r="N28" s="2440"/>
      <c r="O28" s="2440"/>
      <c r="P28" s="3376"/>
      <c r="Q28" s="530" t="str">
        <f t="shared" si="11"/>
        <v>朝向</v>
      </c>
      <c r="R28" s="664" t="s">
        <v>14</v>
      </c>
      <c r="S28" s="665">
        <f>F28</f>
        <v>100</v>
      </c>
      <c r="T28" s="664" t="s">
        <v>14</v>
      </c>
      <c r="U28" s="665">
        <f>H28</f>
        <v>100</v>
      </c>
      <c r="V28" s="664" t="s">
        <v>14</v>
      </c>
      <c r="W28" s="665">
        <f>J28</f>
        <v>100</v>
      </c>
      <c r="X28" s="666"/>
      <c r="Y28" s="3369"/>
      <c r="Z28" s="50" t="str">
        <f>Q28</f>
        <v>朝向</v>
      </c>
      <c r="AA28" s="1264">
        <f>D28/F28</f>
        <v>1</v>
      </c>
      <c r="AB28" s="1264">
        <f>D28/H28</f>
        <v>1</v>
      </c>
      <c r="AC28" s="1812">
        <f>D28/J28</f>
        <v>1</v>
      </c>
    </row>
    <row r="29" spans="1:29" ht="15">
      <c r="A29" s="367"/>
      <c r="B29" s="1099"/>
      <c r="C29" s="3507" t="s">
        <v>3509</v>
      </c>
      <c r="D29" s="374">
        <v>100</v>
      </c>
      <c r="E29" s="3508" t="s">
        <v>3506</v>
      </c>
      <c r="F29" s="374">
        <f>SUMIF(93:93,E29,94:94)-SUMIF(93:93,C29,94:94)+100</f>
        <v>100</v>
      </c>
      <c r="G29" s="3509" t="s">
        <v>3506</v>
      </c>
      <c r="H29" s="374">
        <f>SUMIF(93:93,G29,94:94)-SUMIF(93:93,C29,94:94)+100</f>
        <v>100</v>
      </c>
      <c r="I29" s="3508" t="s">
        <v>3508</v>
      </c>
      <c r="J29" s="374">
        <f>SUMIF(93:93,I29,94:94)-SUMIF(93:93,C29,94:94)+100</f>
        <v>100</v>
      </c>
      <c r="K29" s="539"/>
      <c r="L29" s="3506" t="s">
        <v>3514</v>
      </c>
      <c r="M29" s="2487"/>
      <c r="N29" s="2487"/>
      <c r="O29" s="2487"/>
      <c r="P29" s="3376"/>
      <c r="Q29" s="1263">
        <f t="shared" si="11"/>
        <v>0</v>
      </c>
      <c r="R29" s="667" t="s">
        <v>14</v>
      </c>
      <c r="S29" s="668">
        <f t="shared" ref="S29:S47" si="12">F29</f>
        <v>100</v>
      </c>
      <c r="T29" s="667" t="s">
        <v>14</v>
      </c>
      <c r="U29" s="668">
        <f t="shared" ref="U29:U47" si="13">H29</f>
        <v>100</v>
      </c>
      <c r="V29" s="667" t="s">
        <v>14</v>
      </c>
      <c r="W29" s="668">
        <f t="shared" ref="W29:W47" si="14">J29</f>
        <v>100</v>
      </c>
      <c r="X29" s="1265"/>
      <c r="Y29" s="3369"/>
      <c r="Z29" s="1264">
        <f t="shared" ref="Z29:Z47" si="15">Q29</f>
        <v>0</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376"/>
      <c r="Q30" s="1263">
        <f t="shared" si="11"/>
        <v>111</v>
      </c>
      <c r="R30" s="667" t="s">
        <v>14</v>
      </c>
      <c r="S30" s="668">
        <f t="shared" si="12"/>
        <v>100</v>
      </c>
      <c r="T30" s="667" t="s">
        <v>14</v>
      </c>
      <c r="U30" s="668">
        <f t="shared" si="13"/>
        <v>100</v>
      </c>
      <c r="V30" s="667" t="s">
        <v>14</v>
      </c>
      <c r="W30" s="668">
        <f t="shared" si="14"/>
        <v>100</v>
      </c>
      <c r="X30" s="1265"/>
      <c r="Y30" s="336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376"/>
      <c r="Q31" s="1263">
        <f t="shared" si="11"/>
        <v>111</v>
      </c>
      <c r="R31" s="667" t="s">
        <v>14</v>
      </c>
      <c r="S31" s="668">
        <f t="shared" si="12"/>
        <v>100</v>
      </c>
      <c r="T31" s="667" t="s">
        <v>14</v>
      </c>
      <c r="U31" s="668">
        <f t="shared" si="13"/>
        <v>100</v>
      </c>
      <c r="V31" s="667" t="s">
        <v>14</v>
      </c>
      <c r="W31" s="668">
        <f t="shared" si="14"/>
        <v>100</v>
      </c>
      <c r="X31" s="1265"/>
      <c r="Y31" s="3369"/>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376"/>
      <c r="Q32" s="1263">
        <f t="shared" si="11"/>
        <v>111</v>
      </c>
      <c r="R32" s="667" t="s">
        <v>14</v>
      </c>
      <c r="S32" s="668">
        <f t="shared" si="12"/>
        <v>100</v>
      </c>
      <c r="T32" s="667" t="s">
        <v>14</v>
      </c>
      <c r="U32" s="668">
        <f t="shared" si="13"/>
        <v>100</v>
      </c>
      <c r="V32" s="667" t="s">
        <v>14</v>
      </c>
      <c r="W32" s="668">
        <f t="shared" si="14"/>
        <v>100</v>
      </c>
      <c r="X32" s="1265"/>
      <c r="Y32" s="3369"/>
      <c r="Z32" s="1264">
        <f t="shared" si="15"/>
        <v>111</v>
      </c>
      <c r="AA32" s="1264">
        <f t="shared" si="3"/>
        <v>1</v>
      </c>
      <c r="AB32" s="1264">
        <f t="shared" si="4"/>
        <v>1</v>
      </c>
      <c r="AC32" s="1812">
        <f t="shared" si="5"/>
        <v>1</v>
      </c>
    </row>
    <row r="33" spans="1:29" ht="15">
      <c r="A33" s="379" t="s">
        <v>1694</v>
      </c>
      <c r="B33" s="60" t="s">
        <v>1817</v>
      </c>
      <c r="C33" s="1764" t="s">
        <v>3473</v>
      </c>
      <c r="D33" s="405">
        <v>100</v>
      </c>
      <c r="E33" s="1764" t="s">
        <v>3473</v>
      </c>
      <c r="F33" s="400">
        <f>SUMIF(101:101,E33,102:102)-SUMIF(101:101,C33,102:102)+100</f>
        <v>100</v>
      </c>
      <c r="G33" s="1764" t="s">
        <v>3473</v>
      </c>
      <c r="H33" s="374">
        <f>SUMIF(101:101,G33,102:102)-SUMIF(101:101,C33,102:102)+100</f>
        <v>100</v>
      </c>
      <c r="I33" s="1764" t="s">
        <v>3473</v>
      </c>
      <c r="J33" s="405">
        <f>SUMIF(101:101,I33,102:102)-SUMIF(101:101,C33,102:102)+100</f>
        <v>100</v>
      </c>
      <c r="K33" s="538">
        <v>2</v>
      </c>
      <c r="L33" s="2492"/>
      <c r="M33" s="2487"/>
      <c r="N33" s="2487"/>
      <c r="O33" s="2487"/>
      <c r="P33" s="3370" t="s">
        <v>1696</v>
      </c>
      <c r="Q33" s="1263" t="str">
        <f t="shared" si="11"/>
        <v>建筑类型</v>
      </c>
      <c r="R33" s="667" t="s">
        <v>14</v>
      </c>
      <c r="S33" s="668">
        <f t="shared" si="12"/>
        <v>100</v>
      </c>
      <c r="T33" s="667" t="s">
        <v>14</v>
      </c>
      <c r="U33" s="668">
        <f t="shared" si="13"/>
        <v>100</v>
      </c>
      <c r="V33" s="667" t="s">
        <v>14</v>
      </c>
      <c r="W33" s="668">
        <f t="shared" si="14"/>
        <v>100</v>
      </c>
      <c r="X33" s="1265"/>
      <c r="Y33" s="3373"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71.03</v>
      </c>
      <c r="D34" s="119">
        <v>100</v>
      </c>
      <c r="E34" s="369">
        <v>73.58</v>
      </c>
      <c r="F34" s="364">
        <f>LOOKUP(E34,104:104,105:105)-LOOKUP(C34,104:104,105:105)+100</f>
        <v>100</v>
      </c>
      <c r="G34" s="368">
        <v>73.58</v>
      </c>
      <c r="H34" s="119">
        <f>LOOKUP(G34,104:104,105:105)-LOOKUP(C34,104:104,105:105)+100</f>
        <v>100</v>
      </c>
      <c r="I34" s="368">
        <v>73.91</v>
      </c>
      <c r="J34" s="119">
        <f>LOOKUP(I34,104:104,105:105)-LOOKUP(C34,104:104,105:105)+100</f>
        <v>100</v>
      </c>
      <c r="K34" s="539"/>
      <c r="L34" s="2491"/>
      <c r="M34" s="2493"/>
      <c r="N34" s="2493"/>
      <c r="O34" s="2493"/>
      <c r="P34" s="3371"/>
      <c r="Q34" s="531" t="str">
        <f t="shared" si="11"/>
        <v>项目建筑规模</v>
      </c>
      <c r="R34" s="669" t="s">
        <v>14</v>
      </c>
      <c r="S34" s="670">
        <f t="shared" si="12"/>
        <v>100</v>
      </c>
      <c r="T34" s="669" t="s">
        <v>14</v>
      </c>
      <c r="U34" s="670">
        <f t="shared" si="13"/>
        <v>100</v>
      </c>
      <c r="V34" s="669" t="s">
        <v>14</v>
      </c>
      <c r="W34" s="670">
        <f t="shared" si="14"/>
        <v>100</v>
      </c>
      <c r="X34" s="671"/>
      <c r="Y34" s="3373"/>
      <c r="Z34" s="672" t="str">
        <f t="shared" si="15"/>
        <v>项目建筑规模</v>
      </c>
      <c r="AA34" s="1264">
        <f t="shared" si="3"/>
        <v>1</v>
      </c>
      <c r="AB34" s="1264">
        <f t="shared" si="4"/>
        <v>1</v>
      </c>
      <c r="AC34" s="1812">
        <f t="shared" si="5"/>
        <v>1</v>
      </c>
    </row>
    <row r="35" spans="1:29" ht="15">
      <c r="A35" s="409"/>
      <c r="B35" s="364" t="s">
        <v>1698</v>
      </c>
      <c r="C35" s="399" t="s">
        <v>3442</v>
      </c>
      <c r="D35" s="374">
        <v>100</v>
      </c>
      <c r="E35" s="399" t="s">
        <v>3442</v>
      </c>
      <c r="F35" s="400">
        <f>SUMIF(106:106,E35,107:107)-SUMIF(106:106,C35,107:107)+100</f>
        <v>100</v>
      </c>
      <c r="G35" s="399" t="s">
        <v>3442</v>
      </c>
      <c r="H35" s="374">
        <f>SUMIF(106:106,G35,107:107)-SUMIF(106:106,C35,107:107)+100</f>
        <v>100</v>
      </c>
      <c r="I35" s="399" t="s">
        <v>3442</v>
      </c>
      <c r="J35" s="374">
        <f>SUMIF(106:106,I35,107:107)-SUMIF(106:106,C35,107:107)+100</f>
        <v>100</v>
      </c>
      <c r="K35" s="538">
        <v>2</v>
      </c>
      <c r="L35" s="2492"/>
      <c r="M35" s="2487"/>
      <c r="N35" s="2487"/>
      <c r="O35" s="2487"/>
      <c r="P35" s="3371"/>
      <c r="Q35" s="1263" t="str">
        <f t="shared" si="11"/>
        <v>建筑结构</v>
      </c>
      <c r="R35" s="667" t="s">
        <v>14</v>
      </c>
      <c r="S35" s="668">
        <f t="shared" si="12"/>
        <v>100</v>
      </c>
      <c r="T35" s="667" t="s">
        <v>14</v>
      </c>
      <c r="U35" s="668">
        <f t="shared" si="13"/>
        <v>100</v>
      </c>
      <c r="V35" s="667" t="s">
        <v>14</v>
      </c>
      <c r="W35" s="668">
        <f t="shared" si="14"/>
        <v>100</v>
      </c>
      <c r="X35" s="1265"/>
      <c r="Y35" s="3373"/>
      <c r="Z35" s="1264" t="str">
        <f t="shared" si="15"/>
        <v>建筑结构</v>
      </c>
      <c r="AA35" s="1264">
        <f t="shared" si="3"/>
        <v>1</v>
      </c>
      <c r="AB35" s="1264">
        <f t="shared" si="4"/>
        <v>1</v>
      </c>
      <c r="AC35" s="1812">
        <f t="shared" si="5"/>
        <v>1</v>
      </c>
    </row>
    <row r="36" spans="1:29" ht="15">
      <c r="A36" s="409"/>
      <c r="B36" s="364" t="s">
        <v>1785</v>
      </c>
      <c r="C36" s="399" t="s">
        <v>3476</v>
      </c>
      <c r="D36" s="374">
        <v>100</v>
      </c>
      <c r="E36" s="399" t="s">
        <v>3476</v>
      </c>
      <c r="F36" s="400">
        <f>SUMIF(108:108,E36,109:109)-SUMIF(108:108,C36,109:109)+100</f>
        <v>100</v>
      </c>
      <c r="G36" s="399" t="s">
        <v>3476</v>
      </c>
      <c r="H36" s="374">
        <f>SUMIF(108:108,G36,109:109)-SUMIF(108:108,C36,109:109)+100</f>
        <v>100</v>
      </c>
      <c r="I36" s="399" t="s">
        <v>3476</v>
      </c>
      <c r="J36" s="374">
        <f>SUMIF(108:108,I36,109:109)-SUMIF(108:108,C36,109:109)+100</f>
        <v>100</v>
      </c>
      <c r="K36" s="538">
        <v>2</v>
      </c>
      <c r="L36" s="2492"/>
      <c r="M36" s="2487"/>
      <c r="N36" s="2487"/>
      <c r="O36" s="2487"/>
      <c r="P36" s="3371"/>
      <c r="Q36" s="1263" t="str">
        <f t="shared" si="11"/>
        <v>公共部分装修</v>
      </c>
      <c r="R36" s="667" t="s">
        <v>14</v>
      </c>
      <c r="S36" s="668">
        <f t="shared" si="12"/>
        <v>100</v>
      </c>
      <c r="T36" s="667" t="s">
        <v>14</v>
      </c>
      <c r="U36" s="668">
        <f t="shared" si="13"/>
        <v>100</v>
      </c>
      <c r="V36" s="667" t="s">
        <v>14</v>
      </c>
      <c r="W36" s="668">
        <f t="shared" si="14"/>
        <v>100</v>
      </c>
      <c r="X36" s="1265"/>
      <c r="Y36" s="3373"/>
      <c r="Z36" s="1264" t="str">
        <f t="shared" si="15"/>
        <v>公共部分装修</v>
      </c>
      <c r="AA36" s="1264">
        <f t="shared" si="3"/>
        <v>1</v>
      </c>
      <c r="AB36" s="1264">
        <f t="shared" si="4"/>
        <v>1</v>
      </c>
      <c r="AC36" s="1812">
        <f t="shared" si="5"/>
        <v>1</v>
      </c>
    </row>
    <row r="37" spans="1:29" ht="15">
      <c r="A37" s="409"/>
      <c r="B37" s="364" t="s">
        <v>1786</v>
      </c>
      <c r="C37" s="411">
        <f>'数据-取费表'!N6</f>
        <v>0.92</v>
      </c>
      <c r="D37" s="374">
        <v>100</v>
      </c>
      <c r="E37" s="411">
        <f>C37</f>
        <v>0.92</v>
      </c>
      <c r="F37" s="400">
        <f>LOOKUP(E37,111:111,112:112)-LOOKUP(C37,111:111,112:112)+100</f>
        <v>100</v>
      </c>
      <c r="G37" s="411">
        <f>C37</f>
        <v>0.92</v>
      </c>
      <c r="H37" s="400">
        <f>LOOKUP(G37,111:111,112:112)-LOOKUP(C37,111:111,112:112)+100</f>
        <v>100</v>
      </c>
      <c r="I37" s="411">
        <f>C37</f>
        <v>0.92</v>
      </c>
      <c r="J37" s="374">
        <f>LOOKUP(I37,111:111,112:112)-LOOKUP(C37,111:111,112:112)+100</f>
        <v>100</v>
      </c>
      <c r="K37" s="538">
        <v>1</v>
      </c>
      <c r="L37" s="2492"/>
      <c r="M37" s="2487"/>
      <c r="N37" s="2487"/>
      <c r="O37" s="2487"/>
      <c r="P37" s="3371"/>
      <c r="Q37" s="1263" t="str">
        <f t="shared" si="11"/>
        <v>成新度</v>
      </c>
      <c r="R37" s="667" t="s">
        <v>14</v>
      </c>
      <c r="S37" s="668">
        <f t="shared" si="12"/>
        <v>100</v>
      </c>
      <c r="T37" s="667" t="s">
        <v>14</v>
      </c>
      <c r="U37" s="668">
        <f t="shared" si="13"/>
        <v>100</v>
      </c>
      <c r="V37" s="667" t="s">
        <v>14</v>
      </c>
      <c r="W37" s="668">
        <f t="shared" si="14"/>
        <v>100</v>
      </c>
      <c r="X37" s="1265"/>
      <c r="Y37" s="3373"/>
      <c r="Z37" s="1264" t="str">
        <f t="shared" si="15"/>
        <v>成新度</v>
      </c>
      <c r="AA37" s="1264">
        <f t="shared" si="3"/>
        <v>1</v>
      </c>
      <c r="AB37" s="1264">
        <f t="shared" si="4"/>
        <v>1</v>
      </c>
      <c r="AC37" s="1812">
        <f t="shared" si="5"/>
        <v>1</v>
      </c>
    </row>
    <row r="38" spans="1:29" s="102" customFormat="1" ht="15">
      <c r="A38" s="410"/>
      <c r="B38" s="364" t="s">
        <v>1818</v>
      </c>
      <c r="C38" s="399" t="s">
        <v>3491</v>
      </c>
      <c r="D38" s="119">
        <v>100</v>
      </c>
      <c r="E38" s="399" t="s">
        <v>3491</v>
      </c>
      <c r="F38" s="400">
        <f>SUMIF(113:113,E38,114:114)-SUMIF(113:113,C38,114:114)+100</f>
        <v>100</v>
      </c>
      <c r="G38" s="399" t="s">
        <v>3491</v>
      </c>
      <c r="H38" s="374">
        <f>SUMIF(113:113,G38,114:114)-SUMIF(113:113,C38,114:114)+100</f>
        <v>100</v>
      </c>
      <c r="I38" s="399" t="s">
        <v>3491</v>
      </c>
      <c r="J38" s="374">
        <f>SUMIF(113:113,I38,114:114)-SUMIF(113:113,C38,114:114)+100</f>
        <v>100</v>
      </c>
      <c r="K38" s="538">
        <v>2</v>
      </c>
      <c r="L38" s="2488"/>
      <c r="M38" s="2440"/>
      <c r="N38" s="2440"/>
      <c r="O38" s="2440"/>
      <c r="P38" s="3371"/>
      <c r="Q38" s="530" t="str">
        <f t="shared" si="11"/>
        <v>写字楼等级</v>
      </c>
      <c r="R38" s="664" t="s">
        <v>14</v>
      </c>
      <c r="S38" s="665">
        <f t="shared" si="12"/>
        <v>100</v>
      </c>
      <c r="T38" s="664" t="s">
        <v>14</v>
      </c>
      <c r="U38" s="665">
        <f t="shared" si="13"/>
        <v>100</v>
      </c>
      <c r="V38" s="664" t="s">
        <v>14</v>
      </c>
      <c r="W38" s="665">
        <f t="shared" si="14"/>
        <v>100</v>
      </c>
      <c r="X38" s="666"/>
      <c r="Y38" s="3373"/>
      <c r="Z38" s="50" t="str">
        <f t="shared" si="15"/>
        <v>写字楼等级</v>
      </c>
      <c r="AA38" s="50">
        <f t="shared" si="3"/>
        <v>1</v>
      </c>
      <c r="AB38" s="50">
        <f t="shared" si="4"/>
        <v>1</v>
      </c>
      <c r="AC38" s="802">
        <f t="shared" si="5"/>
        <v>1</v>
      </c>
    </row>
    <row r="39" spans="1:29" ht="15">
      <c r="A39" s="409"/>
      <c r="B39" s="364" t="s">
        <v>1819</v>
      </c>
      <c r="C39" s="399" t="s">
        <v>3484</v>
      </c>
      <c r="D39" s="374">
        <v>100</v>
      </c>
      <c r="E39" s="399" t="s">
        <v>3484</v>
      </c>
      <c r="F39" s="400">
        <f>SUMIF(115:115,E39,116:116)-SUMIF(115:115,C39,116:116)+100</f>
        <v>100</v>
      </c>
      <c r="G39" s="399" t="s">
        <v>3484</v>
      </c>
      <c r="H39" s="374">
        <f>SUMIF(115:115,G39,116:116)-SUMIF(115:115,C39,116:116)+100</f>
        <v>100</v>
      </c>
      <c r="I39" s="399" t="s">
        <v>3484</v>
      </c>
      <c r="J39" s="374">
        <f>SUMIF(115:115,I39,116:116)-SUMIF(115:115,C39,116:116)+100</f>
        <v>100</v>
      </c>
      <c r="K39" s="538">
        <v>2</v>
      </c>
      <c r="L39" s="2492"/>
      <c r="M39" s="2487"/>
      <c r="N39" s="2487"/>
      <c r="O39" s="2487"/>
      <c r="P39" s="3371" t="s">
        <v>1696</v>
      </c>
      <c r="Q39" s="1263" t="str">
        <f t="shared" si="11"/>
        <v>物业管理</v>
      </c>
      <c r="R39" s="667" t="s">
        <v>14</v>
      </c>
      <c r="S39" s="668">
        <f t="shared" si="12"/>
        <v>100</v>
      </c>
      <c r="T39" s="667" t="s">
        <v>14</v>
      </c>
      <c r="U39" s="668">
        <f t="shared" si="13"/>
        <v>100</v>
      </c>
      <c r="V39" s="667" t="s">
        <v>14</v>
      </c>
      <c r="W39" s="668">
        <f t="shared" si="14"/>
        <v>100</v>
      </c>
      <c r="X39" s="1265"/>
      <c r="Y39" s="3373" t="s">
        <v>1696</v>
      </c>
      <c r="Z39" s="1264" t="str">
        <f t="shared" si="15"/>
        <v>物业管理</v>
      </c>
      <c r="AA39" s="1264">
        <f t="shared" si="3"/>
        <v>1</v>
      </c>
      <c r="AB39" s="1264">
        <f t="shared" si="4"/>
        <v>1</v>
      </c>
      <c r="AC39" s="1812">
        <f t="shared" si="5"/>
        <v>1</v>
      </c>
    </row>
    <row r="40" spans="1:29" ht="15">
      <c r="A40" s="409"/>
      <c r="B40" s="364" t="s">
        <v>1787</v>
      </c>
      <c r="C40" s="399" t="s">
        <v>3488</v>
      </c>
      <c r="D40" s="374">
        <v>100</v>
      </c>
      <c r="E40" s="399" t="s">
        <v>3488</v>
      </c>
      <c r="F40" s="400">
        <f>SUMIF(117:117,E40,118:118)-SUMIF(117:117,C40,118:118)+100</f>
        <v>100</v>
      </c>
      <c r="G40" s="399" t="s">
        <v>3488</v>
      </c>
      <c r="H40" s="374">
        <f>SUMIF(117:117,G40,118:118)-SUMIF(117:117,C40,118:118)+100</f>
        <v>100</v>
      </c>
      <c r="I40" s="399" t="s">
        <v>3488</v>
      </c>
      <c r="J40" s="374">
        <f>SUMIF(117:117,I40,118:118)-SUMIF(117:117,C40,118:118)+100</f>
        <v>100</v>
      </c>
      <c r="K40" s="538">
        <v>1</v>
      </c>
      <c r="L40" s="2492"/>
      <c r="M40" s="2487"/>
      <c r="N40" s="2487"/>
      <c r="O40" s="2487"/>
      <c r="P40" s="3371"/>
      <c r="Q40" s="1263" t="str">
        <f t="shared" si="11"/>
        <v>市政基础设施</v>
      </c>
      <c r="R40" s="667" t="s">
        <v>14</v>
      </c>
      <c r="S40" s="668">
        <f t="shared" si="12"/>
        <v>100</v>
      </c>
      <c r="T40" s="667" t="s">
        <v>14</v>
      </c>
      <c r="U40" s="668">
        <f t="shared" si="13"/>
        <v>100</v>
      </c>
      <c r="V40" s="667" t="s">
        <v>14</v>
      </c>
      <c r="W40" s="668">
        <f t="shared" si="14"/>
        <v>100</v>
      </c>
      <c r="X40" s="1265"/>
      <c r="Y40" s="3373"/>
      <c r="Z40" s="1264" t="str">
        <f t="shared" si="15"/>
        <v>市政基础设施</v>
      </c>
      <c r="AA40" s="1264">
        <f t="shared" si="3"/>
        <v>1</v>
      </c>
      <c r="AB40" s="1264">
        <f t="shared" si="4"/>
        <v>1</v>
      </c>
      <c r="AC40" s="1812">
        <f t="shared" si="5"/>
        <v>1</v>
      </c>
    </row>
    <row r="41" spans="1:29" ht="15">
      <c r="A41" s="409"/>
      <c r="B41" s="364" t="s">
        <v>1789</v>
      </c>
      <c r="C41" s="542" t="s">
        <v>3496</v>
      </c>
      <c r="D41" s="374">
        <v>100</v>
      </c>
      <c r="E41" s="542" t="s">
        <v>3496</v>
      </c>
      <c r="F41" s="400">
        <f>SUMIF(119:119,E41,120:120)-SUMIF(119:119,C41,120:120)+100</f>
        <v>100</v>
      </c>
      <c r="G41" s="542" t="s">
        <v>3496</v>
      </c>
      <c r="H41" s="374">
        <f>SUMIF(119:119,G41,120:120)-SUMIF(119:119,C41,120:120)+100</f>
        <v>100</v>
      </c>
      <c r="I41" s="542" t="s">
        <v>3496</v>
      </c>
      <c r="J41" s="374">
        <f>SUMIF(119:119,I41,120:120)-SUMIF(119:119,C41,120:120)+100</f>
        <v>100</v>
      </c>
      <c r="K41" s="538">
        <v>5</v>
      </c>
      <c r="L41" s="2492"/>
      <c r="M41" s="2487"/>
      <c r="N41" s="2487"/>
      <c r="O41" s="2487"/>
      <c r="P41" s="3371"/>
      <c r="Q41" s="1263" t="str">
        <f t="shared" si="11"/>
        <v>层高</v>
      </c>
      <c r="R41" s="667" t="s">
        <v>14</v>
      </c>
      <c r="S41" s="668">
        <f t="shared" si="12"/>
        <v>100</v>
      </c>
      <c r="T41" s="667" t="s">
        <v>14</v>
      </c>
      <c r="U41" s="668">
        <f t="shared" si="13"/>
        <v>100</v>
      </c>
      <c r="V41" s="667" t="s">
        <v>14</v>
      </c>
      <c r="W41" s="668">
        <f t="shared" si="14"/>
        <v>100</v>
      </c>
      <c r="X41" s="1265"/>
      <c r="Y41" s="3373"/>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71"/>
      <c r="Q42" s="531" t="str">
        <f t="shared" si="11"/>
        <v>单套建筑面积</v>
      </c>
      <c r="R42" s="669" t="s">
        <v>14</v>
      </c>
      <c r="S42" s="670">
        <f t="shared" si="12"/>
        <v>100</v>
      </c>
      <c r="T42" s="669" t="s">
        <v>14</v>
      </c>
      <c r="U42" s="670">
        <f t="shared" si="13"/>
        <v>100</v>
      </c>
      <c r="V42" s="669" t="s">
        <v>14</v>
      </c>
      <c r="W42" s="670">
        <f t="shared" si="14"/>
        <v>100</v>
      </c>
      <c r="X42" s="671"/>
      <c r="Y42" s="3373"/>
      <c r="Z42" s="672" t="str">
        <f t="shared" si="15"/>
        <v>单套建筑面积</v>
      </c>
      <c r="AA42" s="1264">
        <f t="shared" si="3"/>
        <v>1</v>
      </c>
      <c r="AB42" s="1264">
        <f t="shared" si="4"/>
        <v>1</v>
      </c>
      <c r="AC42" s="1812">
        <f t="shared" si="5"/>
        <v>1</v>
      </c>
    </row>
    <row r="43" spans="1:29" ht="15">
      <c r="A43" s="409"/>
      <c r="B43" s="364" t="s">
        <v>1792</v>
      </c>
      <c r="C43" s="399" t="s">
        <v>3478</v>
      </c>
      <c r="D43" s="374">
        <v>100</v>
      </c>
      <c r="E43" s="3499" t="s">
        <v>3481</v>
      </c>
      <c r="F43" s="400">
        <f>SUMIF(123:123,E43,124:124)-SUMIF(123:123,C43,124:124)+100</f>
        <v>98</v>
      </c>
      <c r="G43" s="3499" t="s">
        <v>3481</v>
      </c>
      <c r="H43" s="374">
        <f>SUMIF(123:123,G43,124:124)-SUMIF(123:123,C43,124:124)+100</f>
        <v>98</v>
      </c>
      <c r="I43" s="399" t="s">
        <v>3478</v>
      </c>
      <c r="J43" s="374">
        <f>SUMIF(123:123,I43,124:124)-SUMIF(123:123,C43,124:124)+100</f>
        <v>100</v>
      </c>
      <c r="K43" s="538">
        <v>1</v>
      </c>
      <c r="L43" s="2492"/>
      <c r="M43" s="2487"/>
      <c r="N43" s="2487"/>
      <c r="O43" s="2487"/>
      <c r="P43" s="3371"/>
      <c r="Q43" s="1263" t="str">
        <f t="shared" si="11"/>
        <v>内部装修</v>
      </c>
      <c r="R43" s="667" t="s">
        <v>14</v>
      </c>
      <c r="S43" s="668">
        <f t="shared" si="12"/>
        <v>98</v>
      </c>
      <c r="T43" s="667" t="s">
        <v>14</v>
      </c>
      <c r="U43" s="668">
        <f t="shared" si="13"/>
        <v>98</v>
      </c>
      <c r="V43" s="667" t="s">
        <v>14</v>
      </c>
      <c r="W43" s="668">
        <f t="shared" si="14"/>
        <v>100</v>
      </c>
      <c r="X43" s="1265"/>
      <c r="Y43" s="3373"/>
      <c r="Z43" s="1264" t="str">
        <f t="shared" si="15"/>
        <v>内部装修</v>
      </c>
      <c r="AA43" s="1264">
        <f t="shared" si="3"/>
        <v>1.0204081632653061</v>
      </c>
      <c r="AB43" s="1264">
        <f t="shared" si="4"/>
        <v>1.0204081632653061</v>
      </c>
      <c r="AC43" s="1812">
        <f t="shared" si="5"/>
        <v>1</v>
      </c>
    </row>
    <row r="44" spans="1:29" ht="28.8">
      <c r="A44" s="409"/>
      <c r="B44" s="364" t="s">
        <v>1707</v>
      </c>
      <c r="C44" s="399" t="s">
        <v>3435</v>
      </c>
      <c r="D44" s="374">
        <v>100</v>
      </c>
      <c r="E44" s="1760" t="s">
        <v>3435</v>
      </c>
      <c r="F44" s="400">
        <f>SUMIF(125:125,E44,126:126)-SUMIF(125:125,C44,126:126)+100</f>
        <v>100</v>
      </c>
      <c r="G44" s="1760" t="s">
        <v>3435</v>
      </c>
      <c r="H44" s="374">
        <f>SUMIF(125:125,G44,126:126)-SUMIF(125:125,C44,126:126)+100</f>
        <v>100</v>
      </c>
      <c r="I44" s="1760" t="s">
        <v>3435</v>
      </c>
      <c r="J44" s="374">
        <f>SUMIF(125:125,I44,126:126)-SUMIF(125:125,C44,126:126)+100</f>
        <v>100</v>
      </c>
      <c r="K44" s="538">
        <v>2</v>
      </c>
      <c r="L44" s="2492"/>
      <c r="M44" s="2487"/>
      <c r="N44" s="2487"/>
      <c r="O44" s="2487"/>
      <c r="P44" s="3371"/>
      <c r="Q44" s="1263" t="str">
        <f t="shared" si="11"/>
        <v>内部装修维护情况</v>
      </c>
      <c r="R44" s="667" t="s">
        <v>14</v>
      </c>
      <c r="S44" s="668">
        <f t="shared" si="12"/>
        <v>100</v>
      </c>
      <c r="T44" s="667" t="s">
        <v>14</v>
      </c>
      <c r="U44" s="668">
        <f t="shared" si="13"/>
        <v>100</v>
      </c>
      <c r="V44" s="667" t="s">
        <v>14</v>
      </c>
      <c r="W44" s="668">
        <f t="shared" si="14"/>
        <v>100</v>
      </c>
      <c r="X44" s="1265"/>
      <c r="Y44" s="3373"/>
      <c r="Z44" s="1264" t="str">
        <f t="shared" si="15"/>
        <v>内部装修维护情况</v>
      </c>
      <c r="AA44" s="1264">
        <f t="shared" si="3"/>
        <v>1</v>
      </c>
      <c r="AB44" s="1264">
        <f t="shared" si="4"/>
        <v>1</v>
      </c>
      <c r="AC44" s="1812">
        <f t="shared" si="5"/>
        <v>1</v>
      </c>
    </row>
    <row r="45" spans="1:29" s="102" customFormat="1" ht="15">
      <c r="A45" s="410"/>
      <c r="B45" s="3502"/>
      <c r="C45" s="3503"/>
      <c r="D45" s="119">
        <v>100</v>
      </c>
      <c r="E45" s="3503"/>
      <c r="F45" s="364">
        <f>SUMIF(127:127,E45,128:128)-SUMIF(127:127,C45,128:128)+100</f>
        <v>100</v>
      </c>
      <c r="G45" s="3503"/>
      <c r="H45" s="119">
        <f>SUMIF(127:127,G45,128:128)-SUMIF(127:127,C45,128:128)+100</f>
        <v>100</v>
      </c>
      <c r="I45" s="3503"/>
      <c r="J45" s="119">
        <f>SUMIF(127:127,I45,128:128)-SUMIF(127:127,C45,128:128)+100</f>
        <v>100</v>
      </c>
      <c r="K45" s="539"/>
      <c r="L45" s="2488"/>
      <c r="M45" s="2440"/>
      <c r="N45" s="2440"/>
      <c r="O45" s="2440"/>
      <c r="P45" s="3371"/>
      <c r="Q45" s="530">
        <f t="shared" si="11"/>
        <v>0</v>
      </c>
      <c r="R45" s="664" t="s">
        <v>14</v>
      </c>
      <c r="S45" s="665">
        <f t="shared" si="12"/>
        <v>100</v>
      </c>
      <c r="T45" s="664" t="s">
        <v>14</v>
      </c>
      <c r="U45" s="665">
        <f t="shared" si="13"/>
        <v>100</v>
      </c>
      <c r="V45" s="664" t="s">
        <v>14</v>
      </c>
      <c r="W45" s="665">
        <f t="shared" si="14"/>
        <v>100</v>
      </c>
      <c r="X45" s="666"/>
      <c r="Y45" s="3373"/>
      <c r="Z45" s="50">
        <f t="shared" si="15"/>
        <v>0</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71"/>
      <c r="Q46" s="1263">
        <f t="shared" si="11"/>
        <v>111</v>
      </c>
      <c r="R46" s="667" t="s">
        <v>14</v>
      </c>
      <c r="S46" s="668">
        <f t="shared" si="12"/>
        <v>100</v>
      </c>
      <c r="T46" s="667" t="s">
        <v>14</v>
      </c>
      <c r="U46" s="668">
        <f t="shared" si="13"/>
        <v>100</v>
      </c>
      <c r="V46" s="667" t="s">
        <v>14</v>
      </c>
      <c r="W46" s="668">
        <f t="shared" si="14"/>
        <v>100</v>
      </c>
      <c r="X46" s="1265"/>
      <c r="Y46" s="3373"/>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72"/>
      <c r="Q47" s="1263">
        <f t="shared" si="11"/>
        <v>111</v>
      </c>
      <c r="R47" s="667" t="s">
        <v>14</v>
      </c>
      <c r="S47" s="668">
        <f t="shared" si="12"/>
        <v>100</v>
      </c>
      <c r="T47" s="667" t="s">
        <v>14</v>
      </c>
      <c r="U47" s="668">
        <f t="shared" si="13"/>
        <v>100</v>
      </c>
      <c r="V47" s="667" t="s">
        <v>14</v>
      </c>
      <c r="W47" s="668">
        <f t="shared" si="14"/>
        <v>100</v>
      </c>
      <c r="X47" s="1265"/>
      <c r="Y47" s="3374"/>
      <c r="Z47" s="1264">
        <f t="shared" si="15"/>
        <v>111</v>
      </c>
      <c r="AA47" s="1264">
        <f t="shared" si="3"/>
        <v>1</v>
      </c>
      <c r="AB47" s="1264">
        <f t="shared" si="4"/>
        <v>1</v>
      </c>
      <c r="AC47" s="1812">
        <f t="shared" si="5"/>
        <v>1</v>
      </c>
    </row>
    <row r="48" spans="1:29" ht="14.4">
      <c r="A48" s="416" t="s">
        <v>1708</v>
      </c>
      <c r="B48" s="417"/>
      <c r="C48" s="1081" t="s">
        <v>0</v>
      </c>
      <c r="D48" s="418"/>
      <c r="E48" s="419">
        <v>36200</v>
      </c>
      <c r="F48" s="420"/>
      <c r="G48" s="421">
        <v>36200</v>
      </c>
      <c r="H48" s="422"/>
      <c r="I48" s="419">
        <v>40320</v>
      </c>
      <c r="J48" s="422"/>
      <c r="K48" s="674"/>
      <c r="L48" s="2494"/>
      <c r="M48" s="2487"/>
      <c r="N48" s="2487"/>
      <c r="O48" s="2487"/>
      <c r="P48" s="3377" t="str">
        <f>A48</f>
        <v>成交单价（元/平方米）</v>
      </c>
      <c r="Q48" s="3366"/>
      <c r="R48" s="3367">
        <f>E48</f>
        <v>36200</v>
      </c>
      <c r="S48" s="3367"/>
      <c r="T48" s="3367">
        <f>G48</f>
        <v>36200</v>
      </c>
      <c r="U48" s="3367"/>
      <c r="V48" s="3367">
        <f>I48</f>
        <v>40320</v>
      </c>
      <c r="W48" s="3367"/>
      <c r="X48" s="385"/>
      <c r="Y48" s="673"/>
      <c r="Z48" s="385"/>
      <c r="AA48" s="385"/>
      <c r="AB48" s="385"/>
      <c r="AC48" s="555"/>
    </row>
    <row r="49" spans="1:29" ht="15" thickBot="1">
      <c r="A49" s="423" t="s">
        <v>1793</v>
      </c>
      <c r="B49" s="424"/>
      <c r="C49" s="1082">
        <f>R50</f>
        <v>37426</v>
      </c>
      <c r="D49" s="2141" t="s">
        <v>2138</v>
      </c>
      <c r="E49" s="1083">
        <f>R49</f>
        <v>36939</v>
      </c>
      <c r="F49" s="2142"/>
      <c r="G49" s="1082">
        <f>T49</f>
        <v>36939</v>
      </c>
      <c r="H49" s="2142"/>
      <c r="I49" s="1083">
        <f>V49</f>
        <v>38400</v>
      </c>
      <c r="J49" s="2142"/>
      <c r="K49" s="2144">
        <f>F49+H49+J49</f>
        <v>0</v>
      </c>
      <c r="L49" s="2494"/>
      <c r="M49" s="2487"/>
      <c r="N49" s="2487"/>
      <c r="O49" s="2487"/>
      <c r="P49" s="3377" t="str">
        <f>A49</f>
        <v>比较价值（元/平方米）</v>
      </c>
      <c r="Q49" s="3366"/>
      <c r="R49" s="3367">
        <f>IF(F1="售价",ROUND(PRODUCT(R48,AA7:AA47),0),ROUND(PRODUCT(R48,AA7:AA47),1))</f>
        <v>36939</v>
      </c>
      <c r="S49" s="3367"/>
      <c r="T49" s="3367">
        <f>IF(F1="售价",ROUND(PRODUCT(T48,AB7:AB47),0),ROUND(PRODUCT(T48,AB7:AB47),1))</f>
        <v>36939</v>
      </c>
      <c r="U49" s="3367"/>
      <c r="V49" s="3367">
        <f>IF(F1="售价",ROUND(PRODUCT(V48,AC7:AC47),0),ROUND(PRODUCT(V48,AC7:AC47),1))</f>
        <v>38400</v>
      </c>
      <c r="W49" s="3367"/>
      <c r="X49" s="385"/>
      <c r="Y49" s="385"/>
      <c r="Z49" s="385"/>
      <c r="AA49" s="385"/>
      <c r="AB49" s="385"/>
      <c r="AC49" s="555"/>
    </row>
    <row r="50" spans="1:29" ht="15" thickBot="1">
      <c r="A50" s="427" t="s">
        <v>1794</v>
      </c>
      <c r="B50" s="428"/>
      <c r="C50" s="351">
        <f>R50</f>
        <v>37426</v>
      </c>
      <c r="D50" s="351"/>
      <c r="E50" s="351"/>
      <c r="F50" s="351"/>
      <c r="G50" s="351"/>
      <c r="H50" s="351"/>
      <c r="I50" s="351"/>
      <c r="J50" s="429"/>
      <c r="K50" s="675"/>
      <c r="L50" s="2494"/>
      <c r="M50" s="2487"/>
      <c r="N50" s="2487"/>
      <c r="O50" s="2487"/>
      <c r="P50" s="3408" t="str">
        <f>A50</f>
        <v>估价对象XX用房的比较价值（楼面单价，元/平方米）</v>
      </c>
      <c r="Q50" s="3409"/>
      <c r="R50" s="3410">
        <f>IF(F1="售价",ROUND(IF(D49="简单平均",AVERAGE(R49:V49),R49*F49+T49*H49+V49*J49),0),ROUND(IF(D49="简单平均",AVERAGE(R49:V49),R49*F49+T49*H49+V49*J49),1))</f>
        <v>37426</v>
      </c>
      <c r="S50" s="3410"/>
      <c r="T50" s="3410"/>
      <c r="U50" s="3410"/>
      <c r="V50" s="3410"/>
      <c r="W50" s="3410"/>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f>IF(E48&lt;E49,E49/E48-1,E48/E49-1)</f>
        <v>2.0414364640884086E-2</v>
      </c>
      <c r="F53" s="435" t="str">
        <f>IF(OR(E53&gt;=0.3,E53&lt;=-0.3),"超过30%","")</f>
        <v/>
      </c>
      <c r="G53" s="434">
        <f>IF(G48&lt;G49,G49/G48-1,G48/G49-1)</f>
        <v>2.0414364640884086E-2</v>
      </c>
      <c r="H53" s="435" t="str">
        <f>IF(OR(G53&gt;=0.3,G53&lt;=-0.3),"超过30%","")</f>
        <v/>
      </c>
      <c r="I53" s="434">
        <f>IF(I48&lt;I49,I49/I48-1,I48/I49-1)</f>
        <v>5.0000000000000044E-2</v>
      </c>
      <c r="J53" s="435"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f>IF(E49&lt;G49,G49/E49-1,E49/G49-1)</f>
        <v>0</v>
      </c>
      <c r="F54" s="435" t="str">
        <f>IF(OR(E54&gt;=0.2,E54&lt;=-0.2),"超过20%","")</f>
        <v/>
      </c>
      <c r="G54" s="434">
        <f>IF(G49&lt;I49,I49/G49-1,G49/I49-1)</f>
        <v>3.9551693332250393E-2</v>
      </c>
      <c r="H54" s="435" t="str">
        <f>IF(OR(G54&gt;=0.2,G54&lt;=-0.2),"超过20%","")</f>
        <v/>
      </c>
      <c r="I54" s="434">
        <f>IF(I49&lt;E49,E49/I49-1,I49/E49-1)</f>
        <v>3.9551693332250393E-2</v>
      </c>
      <c r="J54" s="435" t="str">
        <f>IF(OR(I54&gt;=0.2,I54&lt;=-0.2),"超过20%","")</f>
        <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f>IF(E48&lt;G48,G48/E48-1,E48/G48-1)</f>
        <v>0</v>
      </c>
      <c r="F55" s="435" t="str">
        <f>IF(OR(E55&gt;=0.3,E55&lt;=-0.3),"超过30%","")</f>
        <v/>
      </c>
      <c r="G55" s="434">
        <f>IF(G48&lt;I48,I48/G48-1,G48/I48-1)</f>
        <v>0.11381215469613259</v>
      </c>
      <c r="H55" s="435" t="str">
        <f>IF(OR(G55&gt;=0.3,G55&lt;=-0.3),"超过30%","")</f>
        <v/>
      </c>
      <c r="I55" s="434">
        <f>IF(I48&lt;E48,E48/I48-1,I48/E48-1)</f>
        <v>0.11381215469613259</v>
      </c>
      <c r="J55" s="435"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4.4">
      <c r="A59" s="440" t="s">
        <v>1679</v>
      </c>
      <c r="B59" s="441"/>
      <c r="C59" s="1103" t="str">
        <f>YEAR(C7)&amp;"-"&amp;MONTH(C7)</f>
        <v>2025-1</v>
      </c>
      <c r="D59" s="1104">
        <f>EDATE(C59,-1)</f>
        <v>45627</v>
      </c>
      <c r="E59" s="1104">
        <f>EDATE(D59,-1)</f>
        <v>45597</v>
      </c>
      <c r="F59" s="1104">
        <f t="shared" ref="F59:O59" si="16">EDATE(E59,-1)</f>
        <v>45566</v>
      </c>
      <c r="G59" s="1104">
        <f t="shared" si="16"/>
        <v>45536</v>
      </c>
      <c r="H59" s="1104">
        <f t="shared" si="16"/>
        <v>45505</v>
      </c>
      <c r="I59" s="1104">
        <f t="shared" si="16"/>
        <v>45474</v>
      </c>
      <c r="J59" s="1104">
        <f t="shared" si="16"/>
        <v>45444</v>
      </c>
      <c r="K59" s="1104">
        <f t="shared" si="16"/>
        <v>45413</v>
      </c>
      <c r="L59" s="1104">
        <f t="shared" si="16"/>
        <v>45383</v>
      </c>
      <c r="M59" s="1104">
        <f t="shared" si="16"/>
        <v>45352</v>
      </c>
      <c r="N59" s="1104">
        <f t="shared" si="16"/>
        <v>45323</v>
      </c>
      <c r="O59" s="1104">
        <f t="shared" si="16"/>
        <v>45292</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v>100</v>
      </c>
      <c r="E60" s="446">
        <v>100</v>
      </c>
      <c r="F60" s="446">
        <v>100</v>
      </c>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ht="14.4">
      <c r="A62" s="455" t="s">
        <v>1681</v>
      </c>
      <c r="B62" s="444"/>
      <c r="C62" s="456" t="s">
        <v>1776</v>
      </c>
      <c r="D62" s="3498" t="s">
        <v>3498</v>
      </c>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4.4" thickBot="1">
      <c r="A63" s="455"/>
      <c r="B63" s="444"/>
      <c r="C63" s="445">
        <v>100</v>
      </c>
      <c r="D63" s="446">
        <v>105</v>
      </c>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ht="14.4">
      <c r="A64" s="379" t="s">
        <v>1719</v>
      </c>
      <c r="B64" s="460" t="s">
        <v>1685</v>
      </c>
      <c r="C64" s="461" t="str">
        <f>C9</f>
        <v>办公</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1688</v>
      </c>
      <c r="C66" s="513" t="s">
        <v>3454</v>
      </c>
      <c r="D66" s="513" t="s">
        <v>3455</v>
      </c>
      <c r="E66" s="513" t="s">
        <v>3456</v>
      </c>
      <c r="F66" s="513" t="s">
        <v>3457</v>
      </c>
      <c r="G66" s="513" t="s">
        <v>3458</v>
      </c>
      <c r="H66" s="513" t="s">
        <v>3459</v>
      </c>
      <c r="I66" s="513" t="s">
        <v>3460</v>
      </c>
      <c r="J66" s="513" t="s">
        <v>3461</v>
      </c>
      <c r="K66" s="514" t="s">
        <v>3462</v>
      </c>
      <c r="L66" s="515" t="s">
        <v>3463</v>
      </c>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467">
        <f t="shared" ref="C67:J67" si="17">D67-2</f>
        <v>82</v>
      </c>
      <c r="D67" s="467">
        <f t="shared" si="17"/>
        <v>84</v>
      </c>
      <c r="E67" s="467">
        <f t="shared" si="17"/>
        <v>86</v>
      </c>
      <c r="F67" s="467">
        <f t="shared" si="17"/>
        <v>88</v>
      </c>
      <c r="G67" s="467">
        <f t="shared" si="17"/>
        <v>90</v>
      </c>
      <c r="H67" s="467">
        <f t="shared" si="17"/>
        <v>92</v>
      </c>
      <c r="I67" s="467">
        <f t="shared" si="17"/>
        <v>94</v>
      </c>
      <c r="J67" s="467">
        <f t="shared" si="17"/>
        <v>96</v>
      </c>
      <c r="K67" s="467">
        <f>L67-2</f>
        <v>98</v>
      </c>
      <c r="L67" s="467">
        <v>100</v>
      </c>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97</v>
      </c>
      <c r="E78" s="475">
        <f>D78-$K15</f>
        <v>94</v>
      </c>
      <c r="F78" s="475">
        <f>E78-$K15</f>
        <v>91</v>
      </c>
      <c r="G78" s="475">
        <f>F78-$K15</f>
        <v>88</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98</v>
      </c>
      <c r="E80" s="475">
        <f>D80-$K17</f>
        <v>96</v>
      </c>
      <c r="F80" s="475">
        <f>E80-$K17</f>
        <v>94</v>
      </c>
      <c r="G80" s="475">
        <f>F80-$K17</f>
        <v>92</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98</v>
      </c>
      <c r="E82" s="475">
        <f>D82-$K19</f>
        <v>96</v>
      </c>
      <c r="F82" s="475">
        <f>E82-$K19</f>
        <v>94</v>
      </c>
      <c r="G82" s="475">
        <f>F82-$K19</f>
        <v>92</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99</v>
      </c>
      <c r="E84" s="475">
        <f>D84-$K21</f>
        <v>98</v>
      </c>
      <c r="F84" s="475">
        <f>E84-$K21</f>
        <v>97</v>
      </c>
      <c r="G84" s="475">
        <f>F84-$K21</f>
        <v>96</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98</v>
      </c>
      <c r="E86" s="475">
        <f>D86-$K23</f>
        <v>96</v>
      </c>
      <c r="F86" s="475">
        <f>E86-$K23</f>
        <v>94</v>
      </c>
      <c r="G86" s="475">
        <f>F86-$K23</f>
        <v>92</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1823</v>
      </c>
      <c r="C87" s="3493" t="s">
        <v>3464</v>
      </c>
      <c r="D87" s="3494" t="s">
        <v>3465</v>
      </c>
      <c r="E87" s="3494" t="s">
        <v>3466</v>
      </c>
      <c r="F87" s="3494" t="s">
        <v>3468</v>
      </c>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2"/>
      <c r="O88" s="2522"/>
      <c r="P88" s="2530"/>
      <c r="Q88" s="2508"/>
      <c r="R88" s="2440"/>
      <c r="S88" s="2440"/>
      <c r="T88" s="2440"/>
      <c r="U88" s="2440"/>
      <c r="V88" s="2440"/>
      <c r="W88" s="2440"/>
      <c r="X88" s="2440"/>
      <c r="Y88" s="2440"/>
      <c r="Z88" s="2440"/>
      <c r="AA88" s="2440"/>
      <c r="AB88" s="2440"/>
      <c r="AC88" s="2440"/>
    </row>
    <row r="89" spans="1:29" s="102" customFormat="1" ht="15" thickTop="1">
      <c r="A89" s="370"/>
      <c r="B89" s="469" t="str">
        <f>B27</f>
        <v>楼层</v>
      </c>
      <c r="C89" s="3494" t="s">
        <v>3470</v>
      </c>
      <c r="D89" s="3494" t="s">
        <v>3471</v>
      </c>
      <c r="E89" s="3494" t="s">
        <v>3472</v>
      </c>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98</v>
      </c>
      <c r="E90" s="475">
        <f t="shared" ref="E90:M90" si="21">D90-$K27</f>
        <v>96</v>
      </c>
      <c r="F90" s="475">
        <f t="shared" si="21"/>
        <v>94</v>
      </c>
      <c r="G90" s="475">
        <f t="shared" si="21"/>
        <v>92</v>
      </c>
      <c r="H90" s="475">
        <f t="shared" si="21"/>
        <v>90</v>
      </c>
      <c r="I90" s="475">
        <f t="shared" si="21"/>
        <v>88</v>
      </c>
      <c r="J90" s="475">
        <f t="shared" si="21"/>
        <v>86</v>
      </c>
      <c r="K90" s="475">
        <f t="shared" si="21"/>
        <v>84</v>
      </c>
      <c r="L90" s="475">
        <f t="shared" si="21"/>
        <v>82</v>
      </c>
      <c r="M90" s="475">
        <f t="shared" si="21"/>
        <v>80</v>
      </c>
      <c r="N90" s="2522"/>
      <c r="O90" s="2522"/>
      <c r="P90" s="2530"/>
      <c r="Q90" s="2508"/>
      <c r="R90" s="2440"/>
      <c r="S90" s="2440"/>
      <c r="T90" s="2440"/>
      <c r="U90" s="2440"/>
      <c r="V90" s="2440"/>
      <c r="W90" s="2440"/>
      <c r="X90" s="2440"/>
      <c r="Y90" s="2440"/>
      <c r="Z90" s="2440"/>
      <c r="AA90" s="2440"/>
      <c r="AB90" s="2440"/>
      <c r="AC90" s="2440"/>
    </row>
    <row r="91" spans="1:29" s="408" customFormat="1" ht="15" thickTop="1">
      <c r="A91" s="484"/>
      <c r="B91" s="469" t="str">
        <f>B28</f>
        <v>朝向</v>
      </c>
      <c r="C91" s="3494" t="s">
        <v>3501</v>
      </c>
      <c r="D91" s="3494" t="s">
        <v>3502</v>
      </c>
      <c r="E91" s="3494" t="s">
        <v>3503</v>
      </c>
      <c r="F91" s="3494" t="s">
        <v>3504</v>
      </c>
      <c r="G91" s="3494" t="s">
        <v>3505</v>
      </c>
      <c r="H91" s="3500" t="s">
        <v>3506</v>
      </c>
      <c r="I91" s="3500" t="s">
        <v>3507</v>
      </c>
      <c r="J91" s="3500" t="s">
        <v>3508</v>
      </c>
      <c r="K91" s="3500" t="s">
        <v>3509</v>
      </c>
      <c r="L91" s="3501" t="s">
        <v>3510</v>
      </c>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2">C92-$K28</f>
        <v>99.5</v>
      </c>
      <c r="E92" s="475">
        <f t="shared" si="22"/>
        <v>99</v>
      </c>
      <c r="F92" s="475">
        <f t="shared" si="22"/>
        <v>98.5</v>
      </c>
      <c r="G92" s="475">
        <f t="shared" si="22"/>
        <v>98</v>
      </c>
      <c r="H92" s="475">
        <f t="shared" si="22"/>
        <v>97.5</v>
      </c>
      <c r="I92" s="475">
        <f t="shared" si="22"/>
        <v>97</v>
      </c>
      <c r="J92" s="475">
        <f t="shared" si="22"/>
        <v>96.5</v>
      </c>
      <c r="K92" s="475">
        <f t="shared" si="22"/>
        <v>96</v>
      </c>
      <c r="L92" s="475">
        <f t="shared" si="22"/>
        <v>95.5</v>
      </c>
      <c r="M92" s="475">
        <f t="shared" si="22"/>
        <v>95</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0</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1694</v>
      </c>
      <c r="B101" s="460" t="s">
        <v>1736</v>
      </c>
      <c r="C101" s="3495" t="s">
        <v>3474</v>
      </c>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2"/>
      <c r="O102" s="2522"/>
      <c r="P102" s="2530"/>
      <c r="Q102" s="2508"/>
      <c r="R102" s="2487"/>
      <c r="S102" s="2487"/>
      <c r="T102" s="2487"/>
      <c r="U102" s="2487"/>
      <c r="V102" s="2487"/>
      <c r="W102" s="2487"/>
      <c r="X102" s="2487"/>
      <c r="Y102" s="2487"/>
      <c r="Z102" s="2487"/>
      <c r="AA102" s="2487"/>
      <c r="AB102" s="2487"/>
      <c r="AC102" s="2487"/>
    </row>
    <row r="103" spans="1:29" ht="15" thickTop="1">
      <c r="A103" s="367"/>
      <c r="B103" s="469" t="s">
        <v>1737</v>
      </c>
      <c r="C103" s="509" t="str">
        <f>C104&amp;"(含)"&amp;"-"&amp;D104</f>
        <v>0(含)-100</v>
      </c>
      <c r="D103" s="509" t="str">
        <f t="shared" ref="D103:L103" si="24">D104&amp;"(含)"&amp;"-"&amp;E104</f>
        <v>100(含)-300</v>
      </c>
      <c r="E103" s="509" t="str">
        <f t="shared" si="24"/>
        <v>300(含)-500</v>
      </c>
      <c r="F103" s="509" t="str">
        <f t="shared" si="24"/>
        <v>500(含)-</v>
      </c>
      <c r="G103" s="509" t="str">
        <f t="shared" si="24"/>
        <v>(含)-</v>
      </c>
      <c r="H103" s="509" t="str">
        <f t="shared" si="24"/>
        <v>(含)-</v>
      </c>
      <c r="I103" s="509" t="str">
        <f t="shared" si="24"/>
        <v>(含)-</v>
      </c>
      <c r="J103" s="509" t="str">
        <f t="shared" si="24"/>
        <v>(含)-</v>
      </c>
      <c r="K103" s="509" t="str">
        <f t="shared" si="24"/>
        <v>(含)-</v>
      </c>
      <c r="L103" s="509" t="str">
        <f t="shared" si="24"/>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v>0</v>
      </c>
      <c r="D104" s="6">
        <v>100</v>
      </c>
      <c r="E104" s="6">
        <v>300</v>
      </c>
      <c r="F104" s="6">
        <v>500</v>
      </c>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f>D105-1</f>
        <v>99</v>
      </c>
      <c r="D105" s="467">
        <v>100</v>
      </c>
      <c r="E105" s="467">
        <f>D105-1</f>
        <v>99</v>
      </c>
      <c r="F105" s="467">
        <f>E105-1</f>
        <v>98</v>
      </c>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3494" t="s">
        <v>3475</v>
      </c>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3494" t="s">
        <v>3477</v>
      </c>
      <c r="D108" s="3494" t="s">
        <v>3479</v>
      </c>
      <c r="E108" s="3494" t="s">
        <v>3480</v>
      </c>
      <c r="F108" s="3496" t="s">
        <v>3482</v>
      </c>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6">C109-$K36</f>
        <v>98</v>
      </c>
      <c r="E109" s="475">
        <f t="shared" si="26"/>
        <v>96</v>
      </c>
      <c r="F109" s="475">
        <f t="shared" si="26"/>
        <v>94</v>
      </c>
      <c r="G109" s="475">
        <f t="shared" si="26"/>
        <v>92</v>
      </c>
      <c r="H109" s="475">
        <f t="shared" si="26"/>
        <v>90</v>
      </c>
      <c r="I109" s="475">
        <f t="shared" si="26"/>
        <v>88</v>
      </c>
      <c r="J109" s="475">
        <f t="shared" si="26"/>
        <v>86</v>
      </c>
      <c r="K109" s="475">
        <f t="shared" si="26"/>
        <v>84</v>
      </c>
      <c r="L109" s="475">
        <f t="shared" si="26"/>
        <v>82</v>
      </c>
      <c r="M109" s="476">
        <f t="shared" si="26"/>
        <v>80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3494" t="s">
        <v>3492</v>
      </c>
      <c r="D113" s="3494" t="s">
        <v>3493</v>
      </c>
      <c r="E113" s="3494" t="s">
        <v>3494</v>
      </c>
      <c r="F113" s="3494" t="s">
        <v>3495</v>
      </c>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98</v>
      </c>
      <c r="E114" s="475">
        <f t="shared" ref="E114:M114" si="28">D114-$K38</f>
        <v>96</v>
      </c>
      <c r="F114" s="475">
        <f t="shared" si="28"/>
        <v>94</v>
      </c>
      <c r="G114" s="475">
        <f t="shared" si="28"/>
        <v>92</v>
      </c>
      <c r="H114" s="475">
        <f t="shared" si="28"/>
        <v>90</v>
      </c>
      <c r="I114" s="475">
        <f t="shared" si="28"/>
        <v>88</v>
      </c>
      <c r="J114" s="475">
        <f t="shared" si="28"/>
        <v>86</v>
      </c>
      <c r="K114" s="475">
        <f t="shared" si="28"/>
        <v>84</v>
      </c>
      <c r="L114" s="475">
        <f t="shared" si="28"/>
        <v>82</v>
      </c>
      <c r="M114" s="475">
        <f t="shared" si="28"/>
        <v>80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3494" t="s">
        <v>3485</v>
      </c>
      <c r="D115" s="3494" t="s">
        <v>3486</v>
      </c>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3494" t="s">
        <v>3487</v>
      </c>
      <c r="D117" s="3494" t="s">
        <v>3489</v>
      </c>
      <c r="E117" s="3494" t="s">
        <v>3490</v>
      </c>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3497" t="s">
        <v>3483</v>
      </c>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95</v>
      </c>
      <c r="E120" s="475">
        <f t="shared" ref="E120:M120" si="30">D120-$K41</f>
        <v>90</v>
      </c>
      <c r="F120" s="475">
        <f t="shared" si="30"/>
        <v>85</v>
      </c>
      <c r="G120" s="475">
        <f t="shared" si="30"/>
        <v>80</v>
      </c>
      <c r="H120" s="475">
        <f t="shared" si="30"/>
        <v>75</v>
      </c>
      <c r="I120" s="475">
        <f t="shared" si="30"/>
        <v>70</v>
      </c>
      <c r="J120" s="475">
        <f t="shared" si="30"/>
        <v>65</v>
      </c>
      <c r="K120" s="475">
        <f t="shared" si="30"/>
        <v>60</v>
      </c>
      <c r="L120" s="475">
        <f t="shared" si="30"/>
        <v>55</v>
      </c>
      <c r="M120" s="475">
        <f t="shared" si="30"/>
        <v>50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3494" t="s">
        <v>3477</v>
      </c>
      <c r="D123" s="3494" t="s">
        <v>3479</v>
      </c>
      <c r="E123" s="3494" t="s">
        <v>3480</v>
      </c>
      <c r="F123" s="3496" t="s">
        <v>3482</v>
      </c>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1">C124-$K43</f>
        <v>99</v>
      </c>
      <c r="E124" s="475">
        <f t="shared" si="31"/>
        <v>98</v>
      </c>
      <c r="F124" s="475">
        <f t="shared" si="31"/>
        <v>97</v>
      </c>
      <c r="G124" s="475">
        <f t="shared" si="31"/>
        <v>96</v>
      </c>
      <c r="H124" s="475">
        <f t="shared" si="31"/>
        <v>95</v>
      </c>
      <c r="I124" s="475">
        <f t="shared" si="31"/>
        <v>94</v>
      </c>
      <c r="J124" s="475">
        <f t="shared" si="31"/>
        <v>93</v>
      </c>
      <c r="K124" s="475">
        <f t="shared" si="31"/>
        <v>92</v>
      </c>
      <c r="L124" s="475">
        <f t="shared" si="31"/>
        <v>91</v>
      </c>
      <c r="M124" s="476">
        <f t="shared" si="31"/>
        <v>90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0</v>
      </c>
      <c r="C127" s="3494"/>
      <c r="D127" s="3494"/>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3" zoomScale="70" zoomScaleNormal="70" zoomScaleSheetLayoutView="70" workbookViewId="0">
      <selection activeCell="H38" sqref="H38"/>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f ca="1">J53</f>
        <v>36.15</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99.476399999999998</v>
      </c>
      <c r="C2" s="1289" t="s">
        <v>879</v>
      </c>
      <c r="D2" s="1375">
        <f ca="1">C40+J29+L46</f>
        <v>994764</v>
      </c>
      <c r="E2" s="1295" t="s">
        <v>880</v>
      </c>
      <c r="F2" s="1296"/>
      <c r="G2" s="2478"/>
      <c r="H2" s="2468"/>
      <c r="I2" s="2468"/>
      <c r="J2" s="2468"/>
      <c r="K2" s="2469"/>
      <c r="L2" s="2468"/>
      <c r="M2" s="2468"/>
    </row>
    <row r="3" spans="1:37" ht="18" customHeight="1" thickBot="1">
      <c r="A3" s="1297" t="s">
        <v>881</v>
      </c>
      <c r="B3" s="1298">
        <f ca="1">IF(ISERROR(D2/F43),0,ROUND(D2/F43,0))</f>
        <v>14005</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65415</v>
      </c>
      <c r="D5" s="1273" t="s">
        <v>889</v>
      </c>
      <c r="E5" s="1008"/>
      <c r="F5" s="1009"/>
      <c r="G5" s="1292"/>
      <c r="H5" s="291">
        <v>1</v>
      </c>
      <c r="I5" s="292" t="s">
        <v>888</v>
      </c>
      <c r="J5" s="1007">
        <f ca="1">J6+J10+J12</f>
        <v>0</v>
      </c>
      <c r="K5" s="1273" t="s">
        <v>889</v>
      </c>
      <c r="L5" s="1008"/>
      <c r="M5" s="1009"/>
    </row>
    <row r="6" spans="1:37" ht="18" customHeight="1">
      <c r="A6" s="1006" t="s">
        <v>398</v>
      </c>
      <c r="B6" s="3339" t="s">
        <v>694</v>
      </c>
      <c r="C6" s="1011">
        <f ca="1">ROUND(F6*F8*F7*(1-F9),0)</f>
        <v>65333</v>
      </c>
      <c r="D6" s="147" t="s">
        <v>2106</v>
      </c>
      <c r="E6" s="294" t="s">
        <v>696</v>
      </c>
      <c r="F6" s="295">
        <f ca="1">INDIRECT("'数据-取费表'!u"&amp;$G$1)</f>
        <v>2.8</v>
      </c>
      <c r="G6" s="1292"/>
      <c r="H6" s="1006" t="s">
        <v>398</v>
      </c>
      <c r="I6" s="3339" t="s">
        <v>694</v>
      </c>
      <c r="J6" s="293">
        <f ca="1">ROUND(M6*M8*M7*(1-M9),0)</f>
        <v>0</v>
      </c>
      <c r="K6" s="1284" t="s">
        <v>2107</v>
      </c>
      <c r="L6" s="294" t="s">
        <v>696</v>
      </c>
      <c r="M6" s="295">
        <f ca="1">INDIRECT("'数据-取费表'!z"&amp;$G$1)</f>
        <v>0</v>
      </c>
    </row>
    <row r="7" spans="1:37" ht="18" customHeight="1">
      <c r="A7" s="1010"/>
      <c r="B7" s="3340"/>
      <c r="C7" s="1012"/>
      <c r="D7" s="299"/>
      <c r="E7" s="1013" t="s">
        <v>697</v>
      </c>
      <c r="F7" s="295">
        <f ca="1">IF(INDIRECT("'数据-取费表'!ah"&amp;$G$1)="",INDIRECT("'数据-取费表'!k"&amp;$G$1),INDIRECT("'数据-取费表'!ah"&amp;$G$1))</f>
        <v>71.03</v>
      </c>
      <c r="G7" s="1292"/>
      <c r="H7" s="296"/>
      <c r="I7" s="3340"/>
      <c r="J7" s="298"/>
      <c r="K7" s="299"/>
      <c r="L7" s="294" t="s">
        <v>697</v>
      </c>
      <c r="M7" s="295">
        <f ca="1">F7</f>
        <v>71.03</v>
      </c>
    </row>
    <row r="8" spans="1:37" ht="18" customHeight="1">
      <c r="A8" s="296"/>
      <c r="B8" s="3340"/>
      <c r="C8" s="298"/>
      <c r="D8" s="299"/>
      <c r="E8" s="294" t="s">
        <v>698</v>
      </c>
      <c r="F8" s="295">
        <f ca="1">INDIRECT("'数据-取费表'!ai"&amp;$G$1)</f>
        <v>365</v>
      </c>
      <c r="G8" s="1292"/>
      <c r="H8" s="296"/>
      <c r="I8" s="3340"/>
      <c r="J8" s="298"/>
      <c r="K8" s="299"/>
      <c r="L8" s="294" t="s">
        <v>698</v>
      </c>
      <c r="M8" s="295">
        <f ca="1">INDIRECT("'数据-取费表'!ai"&amp;$G$1)</f>
        <v>365</v>
      </c>
    </row>
    <row r="9" spans="1:37" ht="18" customHeight="1">
      <c r="A9" s="296"/>
      <c r="B9" s="3341"/>
      <c r="C9" s="298"/>
      <c r="D9" s="299"/>
      <c r="E9" s="294" t="s">
        <v>699</v>
      </c>
      <c r="F9" s="304">
        <f ca="1">INDIRECT("'数据-取费表'!w"&amp;$G$1)</f>
        <v>0.1</v>
      </c>
      <c r="G9" s="1292"/>
      <c r="H9" s="296"/>
      <c r="I9" s="3341"/>
      <c r="J9" s="298"/>
      <c r="K9" s="299"/>
      <c r="L9" s="305" t="s">
        <v>699</v>
      </c>
      <c r="M9" s="306">
        <f ca="1">INDIRECT("'数据-取费表'!ab"&amp;$G$1)</f>
        <v>0</v>
      </c>
    </row>
    <row r="10" spans="1:37" ht="18" customHeight="1">
      <c r="A10" s="1006" t="s">
        <v>402</v>
      </c>
      <c r="B10" s="1274" t="s">
        <v>700</v>
      </c>
      <c r="C10" s="308">
        <f ca="1">ROUND(IF(F10="押一",C6/12*F11,IF(F10="押二",C6/12*2*F11,IF(F10="押三",C6/12*3*F11,C11*F11))),0)</f>
        <v>82</v>
      </c>
      <c r="D10" s="150" t="s">
        <v>2116</v>
      </c>
      <c r="E10" s="305" t="s">
        <v>701</v>
      </c>
      <c r="F10" s="1053" t="s">
        <v>3441</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427664</v>
      </c>
      <c r="D13" s="1018" t="s">
        <v>705</v>
      </c>
      <c r="E13" s="1018" t="s">
        <v>706</v>
      </c>
      <c r="F13" s="1019">
        <f ca="1">INDIRECT("'数据-取费表'!y"&amp;$G$1)</f>
        <v>0.92</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319635</v>
      </c>
      <c r="D14" s="1257" t="s">
        <v>708</v>
      </c>
      <c r="E14" s="1255"/>
      <c r="F14" s="311"/>
      <c r="G14" s="1292"/>
      <c r="H14" s="928" t="s">
        <v>398</v>
      </c>
      <c r="I14" s="294" t="s">
        <v>709</v>
      </c>
      <c r="J14" s="21">
        <f ca="1">C29</f>
        <v>464852</v>
      </c>
      <c r="K14" s="12"/>
      <c r="L14" s="759"/>
      <c r="M14" s="760"/>
    </row>
    <row r="15" spans="1:37" s="1304" customFormat="1" ht="18" customHeight="1" thickBot="1">
      <c r="A15" s="928" t="s">
        <v>399</v>
      </c>
      <c r="B15" s="294" t="s">
        <v>710</v>
      </c>
      <c r="C15" s="21">
        <f ca="1">ROUND(C14*F15,0)</f>
        <v>15982</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4649</v>
      </c>
      <c r="K16" s="1024" t="s">
        <v>715</v>
      </c>
      <c r="L16" s="1025"/>
      <c r="M16" s="1009"/>
    </row>
    <row r="17" spans="1:37" s="1304" customFormat="1" ht="18" customHeight="1">
      <c r="A17" s="928" t="s">
        <v>681</v>
      </c>
      <c r="B17" s="294" t="s">
        <v>716</v>
      </c>
      <c r="C17" s="21">
        <f ca="1">ROUND(F17*(F43+INDIRECT("'数据-取费表'!S"&amp;$G$1)),0)</f>
        <v>14206</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6393</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356216</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7124</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4649</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11264</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-4649</v>
      </c>
      <c r="K25" s="1032" t="s">
        <v>753</v>
      </c>
      <c r="L25" s="1033"/>
      <c r="M25" s="1034"/>
    </row>
    <row r="26" spans="1:37" ht="18" customHeight="1">
      <c r="A26" s="928" t="s">
        <v>397</v>
      </c>
      <c r="B26" s="294" t="s">
        <v>754</v>
      </c>
      <c r="C26" s="21">
        <f ca="1">ROUND((C19+C20)*F26,0)</f>
        <v>54501</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464852</v>
      </c>
      <c r="D29" s="1029"/>
      <c r="E29" s="1027"/>
      <c r="F29" s="1030"/>
      <c r="G29" s="1303"/>
      <c r="H29" s="325" t="s">
        <v>396</v>
      </c>
      <c r="I29" s="326" t="s">
        <v>768</v>
      </c>
      <c r="J29" s="327">
        <f ca="1">ROUND(J26/(1+F40)^F41,0)</f>
        <v>0</v>
      </c>
      <c r="K29" s="328" t="s">
        <v>769</v>
      </c>
      <c r="L29" s="329"/>
      <c r="M29" s="330">
        <f ca="1">INDIRECT("'数据-取费表'!k"&amp;$G$1)</f>
        <v>71.03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16682</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10951</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IF(项目基本情况!B11="自然人","——",ROUND(C6*F32/(1+'数据-取费表'!C42),0))</f>
        <v>3484</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7467</v>
      </c>
      <c r="D33" s="1278" t="s">
        <v>3335</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4649</v>
      </c>
      <c r="D36" s="1256" t="s">
        <v>771</v>
      </c>
      <c r="E36" s="294" t="s">
        <v>712</v>
      </c>
      <c r="F36" s="320">
        <f ca="1">INDIRECT("'数据-取费表'!Ak"&amp;$G$1)</f>
        <v>0.01</v>
      </c>
      <c r="G36" s="1292"/>
      <c r="H36" s="2473"/>
      <c r="I36" s="1305"/>
      <c r="J36" s="1306"/>
      <c r="K36" s="2331"/>
      <c r="L36" s="2473"/>
      <c r="M36" s="2473"/>
    </row>
    <row r="37" spans="1:18" ht="18" customHeight="1">
      <c r="A37" s="928" t="s">
        <v>437</v>
      </c>
      <c r="B37" s="294" t="s">
        <v>742</v>
      </c>
      <c r="C37" s="21">
        <f ca="1">ROUND(C13*F37,0)</f>
        <v>428</v>
      </c>
      <c r="D37" s="1256" t="s">
        <v>743</v>
      </c>
      <c r="E37" s="294" t="s">
        <v>744</v>
      </c>
      <c r="F37" s="321">
        <f ca="1">INDIRECT("'数据-取费表'!Al"&amp;$G$1)</f>
        <v>1E-3</v>
      </c>
      <c r="G37" s="1292"/>
      <c r="H37" s="2473"/>
      <c r="I37" s="1305"/>
      <c r="J37" s="1306"/>
      <c r="K37" s="2331"/>
      <c r="L37" s="2473"/>
      <c r="M37" s="2473"/>
    </row>
    <row r="38" spans="1:18" ht="18" customHeight="1" thickBot="1">
      <c r="A38" s="1026" t="s">
        <v>684</v>
      </c>
      <c r="B38" s="1027" t="s">
        <v>728</v>
      </c>
      <c r="C38" s="1028">
        <f ca="1">ROUND(C5*F38,0)</f>
        <v>654</v>
      </c>
      <c r="D38" s="1029" t="s">
        <v>748</v>
      </c>
      <c r="E38" s="1027" t="s">
        <v>744</v>
      </c>
      <c r="F38" s="1023">
        <f ca="1">INDIRECT("'数据-取费表'!Am"&amp;$G$1)</f>
        <v>0.01</v>
      </c>
      <c r="G38" s="1292"/>
      <c r="H38" s="2473">
        <f ca="1">C39/C5</f>
        <v>0.7449820377589238</v>
      </c>
      <c r="I38" s="1305"/>
      <c r="J38" s="1306"/>
      <c r="K38" s="2471"/>
      <c r="L38" s="2473"/>
      <c r="M38" s="2473"/>
    </row>
    <row r="39" spans="1:18" ht="24.6" customHeight="1" thickTop="1">
      <c r="A39" s="1016" t="s">
        <v>394</v>
      </c>
      <c r="B39" s="1031" t="s">
        <v>772</v>
      </c>
      <c r="C39" s="302">
        <f ca="1">C5-C30</f>
        <v>48733</v>
      </c>
      <c r="D39" s="1032" t="s">
        <v>773</v>
      </c>
      <c r="E39" s="1033"/>
      <c r="F39" s="1034"/>
      <c r="G39" s="1292"/>
      <c r="H39" s="2473"/>
      <c r="I39" s="1305"/>
      <c r="J39" s="1306"/>
      <c r="K39" s="2471"/>
      <c r="L39" s="2473"/>
      <c r="M39" s="2473"/>
    </row>
    <row r="40" spans="1:18" ht="18" customHeight="1">
      <c r="A40" s="291" t="s">
        <v>395</v>
      </c>
      <c r="B40" s="292" t="s">
        <v>774</v>
      </c>
      <c r="C40" s="293">
        <f ca="1">ROUND(C39*(1-((1+F42)/(1+F40))^F41)/(F40-F42),0)</f>
        <v>981151</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36.15</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13813</v>
      </c>
      <c r="D43" s="328" t="s">
        <v>777</v>
      </c>
      <c r="E43" s="329" t="s">
        <v>778</v>
      </c>
      <c r="F43" s="330">
        <f ca="1">INDIRECT("'数据-取费表'!k"&amp;$G$1)</f>
        <v>71.03</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3351</v>
      </c>
      <c r="B45" s="1307"/>
      <c r="C45" s="1376">
        <f ca="1">ROUND((C68-C40)/10000,4)</f>
        <v>-106.01349999999999</v>
      </c>
      <c r="D45" s="3130" t="s">
        <v>3352</v>
      </c>
      <c r="E45" s="1307"/>
      <c r="F45" s="1307"/>
      <c r="O45" s="1310" t="s">
        <v>808</v>
      </c>
      <c r="P45" s="1366"/>
      <c r="Q45" s="1366"/>
      <c r="R45" s="1366"/>
    </row>
    <row r="46" spans="1:18" s="1292" customFormat="1" ht="13.8" thickBot="1">
      <c r="A46" s="1311" t="s">
        <v>809</v>
      </c>
      <c r="C46" s="1312">
        <f ca="1">ROUND(C45,0)</f>
        <v>-106</v>
      </c>
      <c r="D46" s="1313" t="str">
        <f>C2</f>
        <v>万元</v>
      </c>
      <c r="I46" s="1314" t="s">
        <v>810</v>
      </c>
      <c r="J46" s="1315"/>
      <c r="K46" s="1316"/>
      <c r="L46" s="1317">
        <f ca="1">IF(M47="住宅",0,IF(L48&gt;J51,L60,J60))</f>
        <v>13613</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3442</v>
      </c>
      <c r="K47" s="1323" t="s">
        <v>816</v>
      </c>
      <c r="L47" s="1324">
        <f ca="1">INDIRECT("'数据-取费表'!d"&amp;$G$1)</f>
        <v>50</v>
      </c>
      <c r="M47" s="1288" t="str">
        <f>IF(ISNUMBER(FIND("住宅",C1)),"住宅","非住宅")</f>
        <v>非住宅</v>
      </c>
      <c r="O47" s="1325" t="s">
        <v>403</v>
      </c>
      <c r="P47" s="1326" t="s">
        <v>817</v>
      </c>
      <c r="Q47" s="1327">
        <f ca="1">C40+J29</f>
        <v>981151</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3443</v>
      </c>
      <c r="K48" s="1330" t="s">
        <v>820</v>
      </c>
      <c r="L48" s="1331">
        <f ca="1">INDIRECT("'数据-取费表'!f"&amp;$G$1)</f>
        <v>36.15</v>
      </c>
      <c r="O48" s="1325" t="s">
        <v>404</v>
      </c>
      <c r="P48" s="1326" t="s">
        <v>821</v>
      </c>
      <c r="Q48" s="1327">
        <f ca="1">J60</f>
        <v>13613</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'数据-取费表'!M18</f>
        <v>2019</v>
      </c>
      <c r="K49" s="1330" t="s">
        <v>824</v>
      </c>
      <c r="L49" s="1333"/>
      <c r="O49" s="1334" t="s">
        <v>405</v>
      </c>
      <c r="P49" s="1326" t="s">
        <v>825</v>
      </c>
      <c r="Q49" s="1327">
        <f ca="1">C29</f>
        <v>464852</v>
      </c>
      <c r="R49" s="1327" t="s">
        <v>818</v>
      </c>
    </row>
    <row r="50" spans="1:18" s="1292" customFormat="1" ht="13.8" thickBot="1">
      <c r="A50" s="922"/>
      <c r="B50" s="925"/>
      <c r="C50" s="926"/>
      <c r="D50" s="899"/>
      <c r="E50" s="993" t="s">
        <v>697</v>
      </c>
      <c r="F50" s="994">
        <f ca="1">F7</f>
        <v>71.03</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54</v>
      </c>
      <c r="K51" s="1339" t="s">
        <v>830</v>
      </c>
      <c r="L51" s="1340">
        <f ca="1">ROUND(-PV(INDIRECT("'数据-取费表'!h"&amp;$G$1),J51,(C39-C13*C76),0),0)</f>
        <v>348960</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36.15</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36.15</v>
      </c>
      <c r="K53" s="3337" t="s">
        <v>837</v>
      </c>
      <c r="L53" s="3338"/>
      <c r="O53" s="1325" t="s">
        <v>409</v>
      </c>
      <c r="P53" s="1326" t="s">
        <v>838</v>
      </c>
      <c r="Q53" s="1327">
        <f ca="1">Q47+Q48</f>
        <v>994764</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0.29799999999999999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427664</v>
      </c>
      <c r="D56" s="1352"/>
      <c r="E56" s="1353"/>
      <c r="F56" s="1345"/>
      <c r="I56" s="1354" t="s">
        <v>842</v>
      </c>
      <c r="J56" s="1355" t="s">
        <v>3410</v>
      </c>
      <c r="K56" s="1328" t="s">
        <v>843</v>
      </c>
      <c r="L56" s="1331" t="str">
        <f ca="1">IF(L48&lt;J51,"——",L48-J51)</f>
        <v>——</v>
      </c>
      <c r="O56" s="1325" t="s">
        <v>403</v>
      </c>
      <c r="P56" s="1326" t="s">
        <v>817</v>
      </c>
      <c r="Q56" s="1327">
        <f ca="1">C40+J29</f>
        <v>981151</v>
      </c>
      <c r="R56" s="1327" t="s">
        <v>818</v>
      </c>
    </row>
    <row r="57" spans="1:18" s="1292" customFormat="1" ht="24.6" thickBot="1">
      <c r="A57" s="1356"/>
      <c r="B57" s="896" t="s">
        <v>767</v>
      </c>
      <c r="C57" s="230">
        <f ca="1">C29</f>
        <v>464852</v>
      </c>
      <c r="D57" s="1357"/>
      <c r="E57" s="1358"/>
      <c r="F57" s="1359"/>
      <c r="I57" s="1360" t="s">
        <v>844</v>
      </c>
      <c r="J57" s="1361">
        <f ca="1">IF(OR(M47="住宅",J51&lt;L48,J56="是"),"——",J51-L48)</f>
        <v>17.850000000000001</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5077</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185941</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13613</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f ca="1">Q56+Q57</f>
        <v>981151</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4649</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428</v>
      </c>
      <c r="D65" s="910" t="s">
        <v>743</v>
      </c>
      <c r="E65" s="896" t="s">
        <v>744</v>
      </c>
      <c r="F65" s="321">
        <f t="shared" ca="1" si="0"/>
        <v>1E-3</v>
      </c>
      <c r="I65" s="1367" t="s">
        <v>867</v>
      </c>
      <c r="J65" s="610">
        <v>40</v>
      </c>
      <c r="K65" s="610">
        <v>30</v>
      </c>
      <c r="L65" s="610">
        <v>50</v>
      </c>
      <c r="M65" s="1369">
        <v>0.02</v>
      </c>
      <c r="O65" s="1325" t="s">
        <v>403</v>
      </c>
      <c r="P65" s="1326" t="s">
        <v>868</v>
      </c>
      <c r="Q65" s="1327">
        <f ca="1">C40+J29</f>
        <v>981151</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-5077</v>
      </c>
      <c r="D67" s="909" t="s">
        <v>753</v>
      </c>
      <c r="E67" s="914"/>
      <c r="F67" s="915"/>
      <c r="O67" s="1334" t="s">
        <v>405</v>
      </c>
      <c r="P67" s="1326" t="s">
        <v>850</v>
      </c>
      <c r="Q67" s="1370">
        <f ca="1">L51</f>
        <v>348960</v>
      </c>
      <c r="R67" s="1327" t="s">
        <v>870</v>
      </c>
    </row>
    <row r="68" spans="1:18" s="1292" customFormat="1" ht="16.2" thickBot="1">
      <c r="A68" s="893" t="s">
        <v>395</v>
      </c>
      <c r="B68" s="894" t="s">
        <v>774</v>
      </c>
      <c r="C68" s="293">
        <f ca="1">ROUND(C67*(1-((1+F70)/(1+F68))^F69)/(F68-F70),0)</f>
        <v>-78984</v>
      </c>
      <c r="D68" s="911" t="s">
        <v>758</v>
      </c>
      <c r="E68" s="896" t="s">
        <v>759</v>
      </c>
      <c r="F68" s="304">
        <f ca="1">F40</f>
        <v>5.5E-2</v>
      </c>
      <c r="O68" s="1334" t="s">
        <v>406</v>
      </c>
      <c r="P68" s="1371" t="s">
        <v>871</v>
      </c>
      <c r="Q68" s="1327">
        <f ca="1">ROUND(Q69-Q70*Q71,0)</f>
        <v>18797</v>
      </c>
      <c r="R68" s="1327" t="s">
        <v>414</v>
      </c>
    </row>
    <row r="69" spans="1:18" s="1292" customFormat="1" ht="13.8" thickBot="1">
      <c r="A69" s="897"/>
      <c r="B69" s="898"/>
      <c r="C69" s="298"/>
      <c r="D69" s="916" t="s">
        <v>762</v>
      </c>
      <c r="E69" s="896" t="s">
        <v>763</v>
      </c>
      <c r="F69" s="324">
        <f ca="1">F41</f>
        <v>36.15</v>
      </c>
      <c r="O69" s="1334" t="s">
        <v>411</v>
      </c>
      <c r="P69" s="1371" t="s">
        <v>872</v>
      </c>
      <c r="Q69" s="1327">
        <f ca="1">C39</f>
        <v>48733</v>
      </c>
      <c r="R69" s="1327" t="s">
        <v>818</v>
      </c>
    </row>
    <row r="70" spans="1:18" s="1292" customFormat="1" ht="13.8" thickBot="1">
      <c r="A70" s="900"/>
      <c r="B70" s="901"/>
      <c r="C70" s="302"/>
      <c r="D70" s="912"/>
      <c r="E70" s="896" t="s">
        <v>766</v>
      </c>
      <c r="F70" s="991"/>
      <c r="O70" s="1334" t="s">
        <v>412</v>
      </c>
      <c r="P70" s="1371" t="s">
        <v>873</v>
      </c>
      <c r="Q70" s="1327">
        <f ca="1">C13</f>
        <v>427664</v>
      </c>
      <c r="R70" s="1327" t="s">
        <v>818</v>
      </c>
    </row>
    <row r="71" spans="1:18" s="1292" customFormat="1" ht="13.8" thickBot="1">
      <c r="A71" s="917" t="s">
        <v>396</v>
      </c>
      <c r="B71" s="918" t="s">
        <v>776</v>
      </c>
      <c r="C71" s="327">
        <f ca="1">ROUND(C68/F71,0)</f>
        <v>-1112</v>
      </c>
      <c r="D71" s="919" t="s">
        <v>777</v>
      </c>
      <c r="E71" s="920" t="s">
        <v>778</v>
      </c>
      <c r="F71" s="330">
        <f ca="1">F43</f>
        <v>71.03</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29936</v>
      </c>
      <c r="D75" s="1292"/>
      <c r="E75" s="1292"/>
      <c r="F75" s="1292"/>
      <c r="K75" s="1309"/>
      <c r="L75" s="1292"/>
      <c r="O75" s="1325" t="s">
        <v>409</v>
      </c>
      <c r="P75" s="1326" t="s">
        <v>838</v>
      </c>
      <c r="Q75" s="1327">
        <f ca="1">Q65+Q66</f>
        <v>981151</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0.38600000000000001</v>
      </c>
    </row>
    <row r="80" spans="1:18">
      <c r="B80" s="331" t="s">
        <v>800</v>
      </c>
      <c r="C80" s="266">
        <f ca="1">ROUND(C75/C39,3)</f>
        <v>0.61399999999999999</v>
      </c>
    </row>
    <row r="81" spans="2:3">
      <c r="B81" s="262" t="s">
        <v>801</v>
      </c>
      <c r="C81" s="230"/>
    </row>
    <row r="82" spans="2:3">
      <c r="B82" s="265" t="s">
        <v>802</v>
      </c>
      <c r="C82" s="267">
        <f ca="1">1-C83</f>
        <v>0.56400000000000006</v>
      </c>
    </row>
    <row r="83" spans="2:3">
      <c r="B83" s="265" t="s">
        <v>803</v>
      </c>
      <c r="C83" s="266">
        <f ca="1">ROUND(C13/C40,3)</f>
        <v>0.436</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
      <formula>$J$51&gt;$L$48</formula>
    </cfRule>
  </conditionalFormatting>
  <conditionalFormatting sqref="J11">
    <cfRule type="expression" dxfId="113" priority="2">
      <formula>$M$10="自定义"</formula>
    </cfRule>
  </conditionalFormatting>
  <conditionalFormatting sqref="K55 K60">
    <cfRule type="expression" dxfId="11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B917E-FC77-4AF0-8395-36FA409136B1}">
  <sheetPr>
    <tabColor rgb="FF7030A0"/>
  </sheetPr>
  <dimension ref="A1"/>
  <sheetViews>
    <sheetView zoomScale="70" zoomScaleNormal="70" workbookViewId="0">
      <selection activeCell="N33" sqref="N33"/>
    </sheetView>
  </sheetViews>
  <sheetFormatPr defaultRowHeight="14.4"/>
  <cols>
    <col min="14" max="14" width="39.77734375" customWidth="1"/>
  </cols>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1A299-2D1B-4816-954A-9E608E036D38}">
  <sheetPr>
    <tabColor rgb="FF7030A0"/>
  </sheetPr>
  <dimension ref="L8:L13"/>
  <sheetViews>
    <sheetView topLeftCell="C1" workbookViewId="0">
      <selection activeCell="L11" sqref="L11"/>
    </sheetView>
  </sheetViews>
  <sheetFormatPr defaultRowHeight="14.4"/>
  <sheetData>
    <row r="8" spans="12:12">
      <c r="L8" s="1405" t="s">
        <v>3444</v>
      </c>
    </row>
    <row r="9" spans="12:12">
      <c r="L9" s="1405" t="s">
        <v>3445</v>
      </c>
    </row>
    <row r="10" spans="12:12">
      <c r="L10" s="1405" t="s">
        <v>3513</v>
      </c>
    </row>
    <row r="12" spans="12:12">
      <c r="L12" s="1405" t="s">
        <v>3446</v>
      </c>
    </row>
    <row r="13" spans="12:12">
      <c r="L13" s="1405" t="s">
        <v>3511</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G19" sqref="G1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21</v>
      </c>
      <c r="C1" s="1717" t="s">
        <v>1563</v>
      </c>
      <c r="D1" s="190"/>
      <c r="E1" s="190"/>
      <c r="F1" s="190"/>
      <c r="G1" s="1062">
        <f>MATCH(B1,'数据-取费表'!A6:A16,0)+5</f>
        <v>6</v>
      </c>
      <c r="H1" s="998" t="str">
        <f>IF(ISERROR(FIND("住宅",B1)),"非住宅","住宅")</f>
        <v>非住宅</v>
      </c>
    </row>
    <row r="2" spans="1:8" s="192" customFormat="1" ht="18" customHeight="1">
      <c r="A2" s="193" t="s">
        <v>1462</v>
      </c>
      <c r="B2" s="3122">
        <f ca="1">ROUND(IF(D2="——",C52/10000,C52/10000-E2),4)</f>
        <v>197.10339999999999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27749</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1152117</v>
      </c>
      <c r="D5" s="203" t="s">
        <v>1469</v>
      </c>
      <c r="E5" s="204" t="s">
        <v>1470</v>
      </c>
      <c r="F5" s="204" t="s">
        <v>1471</v>
      </c>
      <c r="G5" s="205"/>
    </row>
    <row r="6" spans="1:8" s="206" customFormat="1" ht="13.5" customHeight="1">
      <c r="A6" s="732" t="s">
        <v>1472</v>
      </c>
      <c r="B6" s="207" t="s">
        <v>1473</v>
      </c>
      <c r="C6" s="208">
        <f>ROUND(基准地价修正!D33*基准地价修正!C33,0)</f>
        <v>1104232</v>
      </c>
      <c r="D6" s="209"/>
      <c r="E6" s="210"/>
      <c r="F6" s="210"/>
      <c r="G6" s="211"/>
    </row>
    <row r="7" spans="1:8" s="206" customFormat="1" ht="13.5" customHeight="1">
      <c r="A7" s="732" t="s">
        <v>1474</v>
      </c>
      <c r="B7" s="207" t="s">
        <v>1475</v>
      </c>
      <c r="C7" s="212">
        <f>ROUND(C6*F7,0)</f>
        <v>33679</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14206</v>
      </c>
      <c r="D8" s="214"/>
      <c r="E8" s="212"/>
      <c r="F8" s="213"/>
      <c r="G8" s="1714" t="s">
        <v>3439</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14206</v>
      </c>
      <c r="D10" s="795">
        <f ca="1">IF(B1="",'数据-汇总表'!E6,IF(INDIRECT("'数据-取费表'!c"&amp;$G$1)="住宅",INDIRECT("'数据-取费表'!s"&amp;$G$1),INDIRECT("'数据-取费表'!k"&amp;$G$1)+INDIRECT("'数据-取费表'!s"&amp;$G$1)))</f>
        <v>71.03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71.03</v>
      </c>
      <c r="E19" s="203">
        <f>'数据-取费表'!B31</f>
        <v>200</v>
      </c>
      <c r="F19" s="223"/>
      <c r="G19" s="1714" t="s">
        <v>3440</v>
      </c>
    </row>
    <row r="20" spans="1:7" s="206" customFormat="1" ht="13.5" customHeight="1">
      <c r="A20" s="247" t="s">
        <v>1574</v>
      </c>
      <c r="B20" s="202" t="s">
        <v>1575</v>
      </c>
      <c r="C20" s="224">
        <f ca="1">ROUND((C5+C19)*F20,0)</f>
        <v>23042</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73252</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72538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714</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176274</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176274</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1543370</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356216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319635</v>
      </c>
      <c r="D34" s="209"/>
      <c r="E34" s="212"/>
      <c r="F34" s="249"/>
      <c r="G34" s="211"/>
    </row>
    <row r="35" spans="1:7" ht="13.5" customHeight="1">
      <c r="A35" s="734" t="s">
        <v>351</v>
      </c>
      <c r="B35" s="207" t="s">
        <v>1527</v>
      </c>
      <c r="C35" s="212">
        <f ca="1">ROUND(C34*F35,0)</f>
        <v>15982</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14206</v>
      </c>
      <c r="D37" s="209">
        <f ca="1">D19</f>
        <v>71.03</v>
      </c>
      <c r="E37" s="241">
        <f>'数据-取费表'!B35</f>
        <v>200</v>
      </c>
      <c r="F37" s="251"/>
      <c r="G37" s="253"/>
    </row>
    <row r="38" spans="1:7" ht="13.5" customHeight="1">
      <c r="A38" s="734" t="s">
        <v>354</v>
      </c>
      <c r="B38" s="207" t="s">
        <v>1533</v>
      </c>
      <c r="C38" s="212">
        <f ca="1">ROUND(C34*F38,0)</f>
        <v>6393</v>
      </c>
      <c r="D38" s="212"/>
      <c r="E38" s="212"/>
      <c r="F38" s="251">
        <f>'数据-取费表'!B36</f>
        <v>0.02</v>
      </c>
      <c r="G38" s="211" t="s">
        <v>1528</v>
      </c>
    </row>
    <row r="39" spans="1:7" s="206" customFormat="1" ht="13.5" customHeight="1">
      <c r="A39" s="247" t="s">
        <v>1534</v>
      </c>
      <c r="B39" s="202" t="s">
        <v>1535</v>
      </c>
      <c r="C39" s="224">
        <f ca="1">ROUND(C33*F20,0)</f>
        <v>7124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11264</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11043</v>
      </c>
      <c r="D42" s="230"/>
      <c r="E42" s="230"/>
      <c r="F42" s="231"/>
      <c r="G42" s="3334" t="s">
        <v>1591</v>
      </c>
    </row>
    <row r="43" spans="1:7" ht="13.5" customHeight="1">
      <c r="A43" s="734" t="s">
        <v>347</v>
      </c>
      <c r="B43" s="207" t="s">
        <v>1545</v>
      </c>
      <c r="C43" s="230">
        <f ca="1">ROUND(IF('数据-取费表'!B22&lt;=1,C39*F22*'数据-取费表'!B20/2,C39*(POWER((1+F22),'数据-取费表'!B20/2)-1)),0)</f>
        <v>221</v>
      </c>
      <c r="D43" s="230"/>
      <c r="E43" s="230"/>
      <c r="F43" s="231"/>
      <c r="G43" s="3335"/>
    </row>
    <row r="44" spans="1:7" ht="13.5" customHeight="1">
      <c r="A44" s="734" t="s">
        <v>348</v>
      </c>
      <c r="B44" s="207" t="s">
        <v>1546</v>
      </c>
      <c r="C44" s="230">
        <f ca="1">ROUND(IF('数据-取费表'!B22&lt;=1,C40*F22*'数据-取费表'!B20/2,C40*(POWER((1+F22),'数据-取费表'!B20/2)-1)),4)</f>
        <v>5.9999999999999995E-4</v>
      </c>
      <c r="D44" s="230"/>
      <c r="E44" s="230"/>
      <c r="F44" s="231"/>
      <c r="G44" s="3336"/>
    </row>
    <row r="45" spans="1:7" s="206" customFormat="1" ht="13.5" customHeight="1">
      <c r="A45" s="247" t="s">
        <v>1547</v>
      </c>
      <c r="B45" s="236" t="s">
        <v>1513</v>
      </c>
      <c r="C45" s="237">
        <f ca="1">C46</f>
        <v>54501</v>
      </c>
      <c r="D45" s="227">
        <f ca="1">C47</f>
        <v>3.0000000000000001E-3</v>
      </c>
      <c r="E45" s="228" t="s">
        <v>1539</v>
      </c>
      <c r="F45" s="238">
        <f ca="1">F27</f>
        <v>0.15</v>
      </c>
      <c r="G45" s="239" t="s">
        <v>1548</v>
      </c>
    </row>
    <row r="46" spans="1:7" s="206" customFormat="1" ht="13.5" customHeight="1">
      <c r="A46" s="734" t="s">
        <v>346</v>
      </c>
      <c r="B46" s="240" t="s">
        <v>1549</v>
      </c>
      <c r="C46" s="241">
        <f ca="1">ROUND((C33+C39)*F27,0)</f>
        <v>54501</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464852</v>
      </c>
      <c r="D49" s="224"/>
      <c r="E49" s="224"/>
      <c r="F49" s="256"/>
      <c r="G49" s="226" t="s">
        <v>1554</v>
      </c>
    </row>
    <row r="50" spans="1:7" s="250" customFormat="1">
      <c r="A50" s="247" t="s">
        <v>1555</v>
      </c>
      <c r="B50" s="202" t="s">
        <v>1556</v>
      </c>
      <c r="C50" s="224"/>
      <c r="D50" s="224"/>
      <c r="E50" s="224"/>
      <c r="F50" s="256">
        <f>IF('数据-取费表'!B24=0,'数据-取费表'!N16,1)</f>
        <v>0.92</v>
      </c>
      <c r="G50" s="239"/>
    </row>
    <row r="51" spans="1:7" ht="16.5" customHeight="1">
      <c r="A51" s="247" t="s">
        <v>1558</v>
      </c>
      <c r="B51" s="202" t="s">
        <v>1593</v>
      </c>
      <c r="C51" s="224">
        <f ca="1">ROUND(C49*F50,0)</f>
        <v>427664</v>
      </c>
      <c r="D51" s="224"/>
      <c r="E51" s="224"/>
      <c r="F51" s="256"/>
      <c r="G51" s="226" t="s">
        <v>1560</v>
      </c>
    </row>
    <row r="52" spans="1:7" s="200" customFormat="1" ht="16.8" thickBot="1">
      <c r="A52" s="257" t="s">
        <v>1561</v>
      </c>
      <c r="B52" s="258"/>
      <c r="C52" s="259">
        <f ca="1">C31+C51</f>
        <v>1971034</v>
      </c>
      <c r="D52" s="258"/>
      <c r="E52" s="258"/>
      <c r="F52" s="258"/>
      <c r="G52" s="260"/>
    </row>
    <row r="55" spans="1:7" ht="15">
      <c r="B55" s="262" t="s">
        <v>1562</v>
      </c>
      <c r="C55" s="263"/>
    </row>
    <row r="56" spans="1:7">
      <c r="B56" s="265" t="s">
        <v>802</v>
      </c>
      <c r="C56" s="267">
        <f ca="1">1-C57</f>
        <v>0.78300000000000003</v>
      </c>
    </row>
    <row r="57" spans="1:7">
      <c r="B57" s="265" t="s">
        <v>803</v>
      </c>
      <c r="C57" s="266">
        <f ca="1">ROUND(C51/C52,3)</f>
        <v>0.217</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7"/>
      <c r="F1" s="2567"/>
      <c r="G1" s="2448"/>
      <c r="H1" s="2567"/>
      <c r="I1" s="2567"/>
      <c r="J1" s="2567"/>
      <c r="K1" s="2568">
        <f>MATCH(C1,'数据-取费表'!A6:A16,0)+5</f>
        <v>7</v>
      </c>
    </row>
    <row r="2" spans="1:33" ht="18" customHeight="1">
      <c r="A2" s="193" t="s">
        <v>1462</v>
      </c>
      <c r="B2" s="196">
        <f ca="1">C32</f>
        <v>0</v>
      </c>
      <c r="C2" s="268" t="s">
        <v>1595</v>
      </c>
      <c r="D2" s="268"/>
      <c r="E2" s="2567"/>
      <c r="F2" s="2567"/>
      <c r="G2" s="2567"/>
      <c r="H2" s="2567"/>
      <c r="I2" s="2567"/>
      <c r="J2" s="2567"/>
      <c r="K2" s="2567"/>
    </row>
    <row r="3" spans="1:33" ht="18" customHeight="1" thickBot="1">
      <c r="A3" s="195" t="s">
        <v>1464</v>
      </c>
      <c r="B3" s="196">
        <f ca="1">ROUND(B2*10000/IF(C1="",'数据-汇总表'!E3,INDIRECT("'数据-取费表'!K"&amp;$K$1)),0)</f>
        <v>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71.03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71.03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-0.42060000000000008</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71.03</v>
      </c>
      <c r="E20" s="21">
        <f>'数据-取费表'!B28</f>
        <v>200</v>
      </c>
      <c r="F20" s="756"/>
      <c r="G20" s="12"/>
      <c r="H20" s="761"/>
      <c r="I20" s="761"/>
      <c r="J20" s="761"/>
      <c r="K20" s="762"/>
    </row>
    <row r="21" spans="1:33" s="755" customFormat="1" ht="13.5" customHeight="1">
      <c r="A21" s="744" t="s">
        <v>357</v>
      </c>
      <c r="B21" s="765" t="s">
        <v>1628</v>
      </c>
      <c r="C21" s="766">
        <f ca="1">C16+C17+C18</f>
        <v>-0.42060000000000008</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39" t="s">
        <v>694</v>
      </c>
      <c r="C6" s="1011">
        <f ca="1">ROUND(F6*F8*F7*(1-F9)/10000,0)</f>
        <v>0</v>
      </c>
      <c r="D6" s="147" t="s">
        <v>2109</v>
      </c>
      <c r="E6" s="294" t="s">
        <v>696</v>
      </c>
      <c r="F6" s="295">
        <f ca="1">INDIRECT("'数据-取费表'!u"&amp;$G$1)</f>
        <v>0</v>
      </c>
      <c r="G6" s="1292"/>
      <c r="H6" s="1006" t="s">
        <v>398</v>
      </c>
      <c r="I6" s="3339" t="s">
        <v>694</v>
      </c>
      <c r="J6" s="293">
        <f ca="1">ROUND(M6*M8*M7*(1-M9)/10000,0)</f>
        <v>0</v>
      </c>
      <c r="K6" s="147" t="s">
        <v>2108</v>
      </c>
      <c r="L6" s="294" t="s">
        <v>696</v>
      </c>
      <c r="M6" s="295">
        <f ca="1">INDIRECT("'数据-取费表'!z"&amp;$G$1)</f>
        <v>0</v>
      </c>
    </row>
    <row r="7" spans="1:37" ht="18" customHeight="1">
      <c r="A7" s="1010"/>
      <c r="B7" s="3340"/>
      <c r="C7" s="1012"/>
      <c r="D7" s="299"/>
      <c r="E7" s="1013" t="s">
        <v>697</v>
      </c>
      <c r="F7" s="295">
        <f ca="1">IF(INDIRECT("'数据-取费表'!ah"&amp;$G$1)="",INDIRECT("'数据-取费表'!k"&amp;$G$1),INDIRECT("'数据-取费表'!ah"&amp;$G$1))</f>
        <v>0</v>
      </c>
      <c r="G7" s="1292"/>
      <c r="H7" s="296"/>
      <c r="I7" s="3340"/>
      <c r="J7" s="298"/>
      <c r="K7" s="299"/>
      <c r="L7" s="294" t="s">
        <v>697</v>
      </c>
      <c r="M7" s="295">
        <f ca="1">F7</f>
        <v>0</v>
      </c>
    </row>
    <row r="8" spans="1:37" ht="18" customHeight="1">
      <c r="A8" s="296"/>
      <c r="B8" s="3340"/>
      <c r="C8" s="298"/>
      <c r="D8" s="299"/>
      <c r="E8" s="294" t="s">
        <v>698</v>
      </c>
      <c r="F8" s="295">
        <f ca="1">INDIRECT("'数据-取费表'!ai"&amp;$G$1)</f>
        <v>0</v>
      </c>
      <c r="G8" s="1292"/>
      <c r="H8" s="296"/>
      <c r="I8" s="3340"/>
      <c r="J8" s="298"/>
      <c r="K8" s="299"/>
      <c r="L8" s="294" t="s">
        <v>698</v>
      </c>
      <c r="M8" s="295">
        <f ca="1">INDIRECT("'数据-取费表'!ai"&amp;$G$1)</f>
        <v>0</v>
      </c>
    </row>
    <row r="9" spans="1:37" ht="18" customHeight="1">
      <c r="A9" s="296"/>
      <c r="B9" s="3341"/>
      <c r="C9" s="298"/>
      <c r="D9" s="299"/>
      <c r="E9" s="294" t="s">
        <v>699</v>
      </c>
      <c r="F9" s="304">
        <f ca="1">INDIRECT("'数据-取费表'!w"&amp;$G$1)</f>
        <v>0</v>
      </c>
      <c r="G9" s="1292"/>
      <c r="H9" s="296"/>
      <c r="I9" s="334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3335</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37" t="s">
        <v>837</v>
      </c>
      <c r="L53" s="3338"/>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7">
      <formula>$J$51&gt;$L$48</formula>
    </cfRule>
  </conditionalFormatting>
  <conditionalFormatting sqref="J11">
    <cfRule type="expression" dxfId="108" priority="2">
      <formula>$M$10="自定义"</formula>
    </cfRule>
  </conditionalFormatting>
  <conditionalFormatting sqref="K55 K60">
    <cfRule type="expression" dxfId="10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52" zoomScaleNormal="80" zoomScaleSheetLayoutView="100" workbookViewId="0">
      <selection activeCell="E62" sqref="E62"/>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71.03</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110</v>
      </c>
      <c r="C2" s="1846" t="s">
        <v>1935</v>
      </c>
      <c r="D2" s="162" t="s">
        <v>1936</v>
      </c>
      <c r="E2" s="3120" t="s">
        <v>21</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Ⅳ-通1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1.5019</v>
      </c>
      <c r="T2" s="3063">
        <f t="shared" ref="T2:T16" si="0">ROUND($C$5*$C$22*$C$23*$C$24*S2*$C$28,0)</f>
        <v>24243</v>
      </c>
      <c r="U2" s="1130"/>
      <c r="V2" s="3063">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15486</v>
      </c>
      <c r="C3" s="1846" t="s">
        <v>1941</v>
      </c>
      <c r="D3" s="162" t="s">
        <v>1942</v>
      </c>
      <c r="E3" s="3118" t="s">
        <v>3421</v>
      </c>
      <c r="F3" s="1848" t="s">
        <v>3425</v>
      </c>
      <c r="G3" s="708">
        <f>IF(F3="宗地容积率",'数据-汇总表'!I4,IF(F3="估价对象容积率",'数据-汇总表'!I6,'数据-汇总表'!I7))</f>
        <v>3</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1.1838</v>
      </c>
      <c r="T3" s="3063">
        <f t="shared" si="0"/>
        <v>19108</v>
      </c>
      <c r="U3" s="1130"/>
      <c r="V3" s="3063">
        <f t="shared" ref="V3:V16" si="1">ROUND(T3*U3/10000,0)</f>
        <v>0</v>
      </c>
      <c r="W3" s="1133"/>
      <c r="X3" s="1133"/>
      <c r="Y3" s="1133"/>
      <c r="Z3" s="1133"/>
      <c r="AA3" s="1133"/>
      <c r="AB3" s="1133"/>
      <c r="AC3" s="1134"/>
      <c r="AD3" s="1135"/>
      <c r="AE3" s="1135"/>
      <c r="AF3" s="1135"/>
      <c r="AG3" s="1135"/>
      <c r="AH3" s="1135"/>
      <c r="AI3" s="1135"/>
      <c r="AJ3" s="1136"/>
    </row>
    <row r="4" spans="1:36" ht="15.6">
      <c r="A4" s="3445"/>
      <c r="B4" s="3446"/>
      <c r="C4" s="3446"/>
      <c r="D4" s="3447"/>
      <c r="E4" s="3447"/>
      <c r="F4" s="3447"/>
      <c r="G4" s="3447"/>
      <c r="H4" s="3447"/>
      <c r="I4" s="3447"/>
      <c r="J4" s="3448"/>
      <c r="K4" s="1056"/>
      <c r="L4" s="1847" t="s">
        <v>1946</v>
      </c>
      <c r="M4" s="811">
        <f>SUMPRODUCT((区片价!B55:B86=I2)*(区片价!C3:G3=E2)*(区片价!C55:G86))</f>
        <v>16540</v>
      </c>
      <c r="N4" s="813">
        <f>SUMPRODUCT((因素修正幅度!B55:B86=I2)*(因素修正幅度!C3:G3=E2)*(因素修正幅度!C55:G86))</f>
        <v>9.8000000000000004E-2</v>
      </c>
      <c r="O4" s="1056"/>
      <c r="P4" s="1056"/>
      <c r="Q4" s="1056"/>
      <c r="R4" s="1129">
        <v>3</v>
      </c>
      <c r="S4" s="3063">
        <f>ROUND(SUMPRODUCT((B106:B110=R4)*(C105:N105=G2)*(C106:N110)),4)</f>
        <v>1.0004999999999999</v>
      </c>
      <c r="T4" s="3063">
        <f t="shared" si="0"/>
        <v>16149</v>
      </c>
      <c r="U4" s="1130"/>
      <c r="V4" s="3063">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16524</v>
      </c>
      <c r="D5" s="1252">
        <f>ROUND(C6*C17+C20,0)</f>
        <v>16524</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0.88239999999999996</v>
      </c>
      <c r="T5" s="3063">
        <f t="shared" si="0"/>
        <v>14243</v>
      </c>
      <c r="U5" s="1130"/>
      <c r="V5" s="3063">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16540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0.84799999999999998</v>
      </c>
      <c r="T6" s="3063">
        <f t="shared" si="0"/>
        <v>13688</v>
      </c>
      <c r="U6" s="1130"/>
      <c r="V6" s="3063">
        <f t="shared" si="1"/>
        <v>0</v>
      </c>
      <c r="W6" s="1133"/>
      <c r="X6" s="1133"/>
      <c r="Y6" s="1133"/>
      <c r="Z6" s="1133"/>
      <c r="AA6" s="1133"/>
      <c r="AB6" s="1133"/>
      <c r="AC6" s="1855"/>
      <c r="AD6" s="1856"/>
      <c r="AE6" s="1856"/>
      <c r="AF6" s="1856"/>
      <c r="AG6" s="1856"/>
      <c r="AH6" s="1856"/>
      <c r="AI6" s="1856"/>
      <c r="AJ6" s="1857"/>
    </row>
    <row r="7" spans="1:36" ht="24.6" thickBot="1">
      <c r="A7" s="3012"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四级</v>
      </c>
      <c r="Y7" s="1131" t="s">
        <v>1956</v>
      </c>
      <c r="Z7" s="1132">
        <f>G3</f>
        <v>3</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442" t="s">
        <v>1960</v>
      </c>
      <c r="X8" s="344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444"/>
      <c r="X9" s="3064" t="s">
        <v>3267</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444"/>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8" thickBot="1">
      <c r="A12" s="3012" t="s">
        <v>3238</v>
      </c>
      <c r="B12" s="3013" t="s">
        <v>3239</v>
      </c>
      <c r="C12" s="3014">
        <v>1</v>
      </c>
      <c r="D12" s="3015" t="s">
        <v>3240</v>
      </c>
      <c r="E12" s="3016" t="s">
        <v>3241</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24.6" thickBot="1">
      <c r="A13" s="3012" t="s">
        <v>3242</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24">
      <c r="A14" s="3008"/>
      <c r="B14" s="1883" t="s">
        <v>1985</v>
      </c>
      <c r="C14" s="1884"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3244</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6"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ht="24">
      <c r="A17" s="3035" t="s">
        <v>3245</v>
      </c>
      <c r="B17" s="3027" t="s">
        <v>3246</v>
      </c>
      <c r="C17" s="3036">
        <f>ROUND(IF(OR(E2="工业",E2="公共服务"),1,IF(AND(E18=0,E19=0),1,IF(AND(E18=J24,E19=G19),0.8,IF(E19=0,1+E17*(-0.2),1+E17*G17*(-0.2))))),4)</f>
        <v>1</v>
      </c>
      <c r="D17" s="3028" t="s">
        <v>3247</v>
      </c>
      <c r="E17" s="3036">
        <f>ROUND(G18/I18,2)</f>
        <v>0</v>
      </c>
      <c r="F17" s="3028" t="s">
        <v>3250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8"/>
      <c r="B18" s="2310"/>
      <c r="C18" s="3034"/>
      <c r="D18" s="3029" t="s">
        <v>3248</v>
      </c>
      <c r="E18" s="2357"/>
      <c r="F18" s="3030" t="s">
        <v>3251</v>
      </c>
      <c r="G18" s="3034">
        <f>ROUND(1-(1/(POWER(1+G24,E18))),4)</f>
        <v>0</v>
      </c>
      <c r="H18" s="3030" t="s">
        <v>3253</v>
      </c>
      <c r="I18" s="3034">
        <f>ROUND(1-(1/(POWER(1+G24,J24))),4)</f>
        <v>0.93120000000000003</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4" thickBot="1">
      <c r="A19" s="3040"/>
      <c r="B19" s="3041"/>
      <c r="C19" s="3042"/>
      <c r="D19" s="3042" t="s">
        <v>3249</v>
      </c>
      <c r="E19" s="3043"/>
      <c r="F19" s="3044" t="s">
        <v>3252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3.8">
      <c r="A20" s="3449" t="s">
        <v>3254</v>
      </c>
      <c r="B20" s="159" t="s">
        <v>1994</v>
      </c>
      <c r="C20" s="3031">
        <f>ROUND(IF(F21="与级别开发程度一致",0,(G21-E21)/C21),0)</f>
        <v>-16</v>
      </c>
      <c r="D20" s="3046" t="s">
        <v>1998</v>
      </c>
      <c r="E20" s="3047"/>
      <c r="F20" s="3455" t="s">
        <v>1995</v>
      </c>
      <c r="G20" s="3456"/>
      <c r="H20" s="3032" t="s">
        <v>3427</v>
      </c>
      <c r="I20" s="3032" t="s">
        <v>3428</v>
      </c>
      <c r="J20" s="3033" t="s">
        <v>3429</v>
      </c>
      <c r="K20" s="1889" t="s">
        <v>3430</v>
      </c>
      <c r="L20" s="1889" t="s">
        <v>3431</v>
      </c>
      <c r="M20" s="1889" t="s">
        <v>3432</v>
      </c>
      <c r="N20" s="1889" t="s">
        <v>3433</v>
      </c>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7" thickBot="1">
      <c r="A21" s="3450"/>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3426</v>
      </c>
      <c r="G21" s="1995">
        <f>SUM(H21:O21)</f>
        <v>275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50</v>
      </c>
      <c r="N21" s="2003">
        <f>SUMPRODUCT((七通一平=N20)*(修正!B1:M1=G2)*(修正!B8:M16))</f>
        <v>15</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 thickBot="1">
      <c r="A22" s="1996" t="s">
        <v>363</v>
      </c>
      <c r="B22" s="1997" t="s">
        <v>2000</v>
      </c>
      <c r="C22" s="1998">
        <f>SUMIF(修正!C20:C51,E3,修正!E20:E51)</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1.0170999999999999</v>
      </c>
      <c r="D23" s="1896" t="s">
        <v>2002</v>
      </c>
      <c r="E23" s="717">
        <v>44197</v>
      </c>
      <c r="F23" s="1896" t="s">
        <v>2003</v>
      </c>
      <c r="G23" s="718">
        <f>'数据-取费表'!B2</f>
        <v>45664</v>
      </c>
      <c r="H23" s="3048" t="s">
        <v>3255</v>
      </c>
      <c r="I23" s="3049" t="str">
        <f>IF(H23="季度增幅（自定义）",SUMIF(N25:N28,E2,O25:O28),"")</f>
        <v/>
      </c>
      <c r="J23" s="3141" t="s">
        <v>3434</v>
      </c>
      <c r="K23" s="1061"/>
      <c r="L23" s="1897" t="s">
        <v>2004</v>
      </c>
      <c r="M23" s="1241">
        <f>ROUND(SUMIF(地价!B2:G2,E2,地价!B16:G16),0)</f>
        <v>350</v>
      </c>
      <c r="N23" s="1898" t="s">
        <v>2005</v>
      </c>
      <c r="O23" s="719">
        <f>ROUNDDOWN(DATEDIF(E23,G23,"M")/3,0)</f>
        <v>16</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0.91879999999999995</v>
      </c>
      <c r="D24" s="1902" t="s">
        <v>2007</v>
      </c>
      <c r="E24" s="1248">
        <f>存贷款利率!E27/100</f>
        <v>4.3499999999999997E-2</v>
      </c>
      <c r="F24" s="1902" t="s">
        <v>1999</v>
      </c>
      <c r="G24" s="724">
        <f>SUMIF(M30:Q30,E2,M33:Q33)</f>
        <v>5.5E-2</v>
      </c>
      <c r="H24" s="1902" t="s">
        <v>2008</v>
      </c>
      <c r="I24" s="725">
        <f>SUMIF('数据-取费表'!C6:C15,E2,'数据-取费表'!F6:F15)/COUNTIF('数据-取费表'!C6:C15,E2)</f>
        <v>36.15</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4">
      <c r="A25" s="1907" t="s">
        <v>366</v>
      </c>
      <c r="B25" s="1908" t="s">
        <v>3334</v>
      </c>
      <c r="C25" s="461">
        <f>IF(B25="容积率修正",IF(G3&lt;10,D26,J26),C27)</f>
        <v>0.96309999999999996</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3256</v>
      </c>
      <c r="D26" s="1263">
        <f>IF(E26=G26,F26,IF(G3&lt;10,ROUND(F26+(H26-F26)*(G3-E26)/(G26-E26),4),"——"))</f>
        <v>0.96309999999999996</v>
      </c>
      <c r="E26" s="708">
        <f>ROUNDDOWN(G3,1)</f>
        <v>3</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0.96309999999999996</v>
      </c>
      <c r="G26" s="708">
        <f>ROUNDUP(G3,1)</f>
        <v>3</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0.96309999999999996</v>
      </c>
      <c r="I26" s="1912" t="s">
        <v>3257</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1.0452999999999999</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110</v>
      </c>
      <c r="D30" s="1925"/>
      <c r="E30" s="1842"/>
      <c r="F30" s="1926"/>
      <c r="G30" s="1842"/>
      <c r="H30" s="1842"/>
      <c r="I30" s="1842"/>
      <c r="J30" s="1927"/>
      <c r="K30" s="1056"/>
      <c r="L30" s="3055" t="s">
        <v>1936</v>
      </c>
      <c r="M30" s="3056" t="s">
        <v>1990</v>
      </c>
      <c r="N30" s="3056" t="s">
        <v>1991</v>
      </c>
      <c r="O30" s="3056" t="s">
        <v>1992</v>
      </c>
      <c r="P30" s="3056" t="s">
        <v>1993</v>
      </c>
      <c r="Q30" s="3059"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15546</v>
      </c>
      <c r="D33" s="1940">
        <f>'数据-汇总表'!E19</f>
        <v>71.03</v>
      </c>
      <c r="E33" s="727">
        <f>ROUND(C33*D33/10000,0)</f>
        <v>110</v>
      </c>
      <c r="F33" s="3050" t="s">
        <v>3259</v>
      </c>
      <c r="G33" s="1941"/>
      <c r="H33" s="1941"/>
      <c r="I33" s="1941"/>
      <c r="J33" s="1942"/>
      <c r="K33" s="1056"/>
      <c r="L33" s="3053" t="s">
        <v>3262</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3887</v>
      </c>
      <c r="D34" s="1945"/>
      <c r="E34" s="727">
        <f>ROUND(IF(B25="楼层修正",SUM(V2:V16)*M40,C34*D34/10000),0)</f>
        <v>0</v>
      </c>
      <c r="F34" s="1946" t="s">
        <v>2032</v>
      </c>
      <c r="G34" s="1947"/>
      <c r="H34" s="1947"/>
      <c r="I34" s="1947"/>
      <c r="J34" s="1948"/>
      <c r="K34" s="1056"/>
      <c r="L34" s="3053" t="s">
        <v>3263</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3264</v>
      </c>
      <c r="L36" s="3142">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53"/>
      <c r="B37" s="1955" t="s">
        <v>2036</v>
      </c>
      <c r="C37" s="167">
        <f>ROUND(D5*C22*C23*C24*C28*F37,0)</f>
        <v>9685</v>
      </c>
      <c r="D37" s="1940"/>
      <c r="E37" s="163">
        <f>ROUND(C37*D37/10000,0)</f>
        <v>0</v>
      </c>
      <c r="F37" s="163">
        <f>SUMIF(修正!A57:A68,G2,修正!B57:B68)</f>
        <v>0.6</v>
      </c>
      <c r="G37" s="163">
        <f>ROUND(IF(E2="工业",C37*$M$42,C37*$M$41),0)</f>
        <v>2421</v>
      </c>
      <c r="H37" s="163">
        <f>D37</f>
        <v>0</v>
      </c>
      <c r="I37" s="163">
        <f>ROUND(G37*H37/10000,0)</f>
        <v>0</v>
      </c>
      <c r="J37" s="2754"/>
      <c r="K37" s="3061" t="s">
        <v>3265</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4"/>
      <c r="B38" s="1884" t="s">
        <v>2037</v>
      </c>
      <c r="C38" s="167">
        <f>ROUND(D5*C22*C23*C24*C28*F38,0)</f>
        <v>4842</v>
      </c>
      <c r="D38" s="1940"/>
      <c r="E38" s="163">
        <f t="shared" ref="E38:E42" si="4">ROUND(C38*D38/10000,0)</f>
        <v>0</v>
      </c>
      <c r="F38" s="163">
        <f>SUMIF(修正!A57:A68,G2,修正!C57:C68)</f>
        <v>0.3</v>
      </c>
      <c r="G38" s="163">
        <f>ROUND(IF(E2="工业",C38*$M$42,C38*$M$41),0)</f>
        <v>1211</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54"/>
      <c r="B39" s="1884" t="s">
        <v>3258</v>
      </c>
      <c r="C39" s="167">
        <f>ROUND(D5*C22*C23*C24*C28*F39,0)</f>
        <v>4035</v>
      </c>
      <c r="D39" s="1940"/>
      <c r="E39" s="163">
        <f t="shared" si="4"/>
        <v>0</v>
      </c>
      <c r="F39" s="163">
        <f>SUMIF(修正!A57:A68,G2,修正!D57:D68)</f>
        <v>0.25</v>
      </c>
      <c r="G39" s="163">
        <f>ROUND(IF(E2="工业",C39*$M$42,C39*$M$41),0)</f>
        <v>1009</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4035</v>
      </c>
      <c r="D40" s="1940"/>
      <c r="E40" s="163">
        <f t="shared" si="4"/>
        <v>0</v>
      </c>
      <c r="F40" s="167">
        <f>SUMIF(修正!A57:A68,G2,修正!E57:E68)</f>
        <v>0.25</v>
      </c>
      <c r="G40" s="163">
        <f>ROUND(IF(E2="工业",C40*$M$42,C40*$M$41),0)</f>
        <v>1009</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2" t="s">
        <v>3266</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0" t="s">
        <v>3268</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1.0452999999999999</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t="s">
        <v>3435</v>
      </c>
      <c r="D61" s="1002">
        <f t="shared" ref="D61:D69" si="12">SUMIF($J$60:$N$60,C61,J61:N61)</f>
        <v>1.2200000000000001E-2</v>
      </c>
      <c r="E61" s="702">
        <f>ROUND(SUM(D61:D69),4)</f>
        <v>4.53E-2</v>
      </c>
      <c r="F61" s="1675">
        <f>IF(E2="办公",SUMIF(L1:L12,G2,N1:N12),"——")</f>
        <v>9.8000000000000004E-2</v>
      </c>
      <c r="G61" s="1000">
        <v>1.2200000000000001E-2</v>
      </c>
      <c r="H61" s="1003">
        <f t="shared" ref="H61:H69" si="13">IFERROR(ROUNDDOWN($F$61*I61/2,4),"——")</f>
        <v>1.2200000000000001E-2</v>
      </c>
      <c r="I61" s="3068">
        <v>0.25</v>
      </c>
      <c r="J61" s="1001">
        <f t="shared" ref="J61:J69" si="14">K61+$G61</f>
        <v>2.4400000000000002E-2</v>
      </c>
      <c r="K61" s="1001">
        <f t="shared" ref="K61:K69" si="15">$L61+$G61</f>
        <v>1.2200000000000001E-2</v>
      </c>
      <c r="L61" s="1001">
        <v>0</v>
      </c>
      <c r="M61" s="1001">
        <f t="shared" ref="M61:N69" si="16">L61-$G61</f>
        <v>-1.2200000000000001E-2</v>
      </c>
      <c r="N61" s="1001">
        <f t="shared" si="16"/>
        <v>-2.4400000000000002E-2</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t="s">
        <v>3435</v>
      </c>
      <c r="D62" s="1002">
        <f t="shared" si="12"/>
        <v>1.2699999999999999E-2</v>
      </c>
      <c r="E62" s="703"/>
      <c r="F62" s="1675"/>
      <c r="G62" s="1000">
        <v>1.2699999999999999E-2</v>
      </c>
      <c r="H62" s="1003">
        <f t="shared" si="13"/>
        <v>1.2699999999999999E-2</v>
      </c>
      <c r="I62" s="3068">
        <v>0.26</v>
      </c>
      <c r="J62" s="1001">
        <f t="shared" si="14"/>
        <v>2.5399999999999999E-2</v>
      </c>
      <c r="K62" s="1001">
        <f t="shared" si="15"/>
        <v>1.2699999999999999E-2</v>
      </c>
      <c r="L62" s="1001">
        <v>0</v>
      </c>
      <c r="M62" s="1001">
        <f t="shared" si="16"/>
        <v>-1.2699999999999999E-2</v>
      </c>
      <c r="N62" s="1001">
        <f t="shared" si="16"/>
        <v>-2.5399999999999999E-2</v>
      </c>
      <c r="AA62" s="1057"/>
      <c r="AB62" s="1057"/>
      <c r="AC62" s="1057"/>
      <c r="AD62" s="1057"/>
      <c r="AE62" s="1057"/>
      <c r="AF62" s="1057"/>
      <c r="AG62" s="1057"/>
      <c r="AH62" s="1057"/>
      <c r="AI62" s="1057"/>
      <c r="AJ62" s="1057"/>
      <c r="AK62" s="1057"/>
    </row>
    <row r="63" spans="1:37" s="1056" customFormat="1" ht="48">
      <c r="A63" s="3070" t="s">
        <v>3268</v>
      </c>
      <c r="B63" s="1262">
        <f>估价对象房地状况!C19</f>
        <v>0</v>
      </c>
      <c r="C63" s="1887" t="s">
        <v>3435</v>
      </c>
      <c r="D63" s="1002">
        <f t="shared" si="12"/>
        <v>5.3E-3</v>
      </c>
      <c r="E63" s="703"/>
      <c r="F63" s="1675"/>
      <c r="G63" s="1000">
        <v>5.3E-3</v>
      </c>
      <c r="H63" s="1003">
        <f t="shared" si="13"/>
        <v>5.3E-3</v>
      </c>
      <c r="I63" s="3068">
        <v>0.11</v>
      </c>
      <c r="J63" s="1001">
        <f t="shared" si="14"/>
        <v>1.06E-2</v>
      </c>
      <c r="K63" s="1001">
        <f t="shared" si="15"/>
        <v>5.3E-3</v>
      </c>
      <c r="L63" s="1001">
        <v>0</v>
      </c>
      <c r="M63" s="1001">
        <f t="shared" si="16"/>
        <v>-5.3E-3</v>
      </c>
      <c r="N63" s="1001">
        <f t="shared" si="16"/>
        <v>-1.06E-2</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3435</v>
      </c>
      <c r="D64" s="1002">
        <f t="shared" si="12"/>
        <v>2.3999999999999998E-3</v>
      </c>
      <c r="E64" s="703"/>
      <c r="F64" s="1675"/>
      <c r="G64" s="1000">
        <v>2.3999999999999998E-3</v>
      </c>
      <c r="H64" s="1003">
        <f t="shared" si="13"/>
        <v>2.3999999999999998E-3</v>
      </c>
      <c r="I64" s="3068">
        <v>0.05</v>
      </c>
      <c r="J64" s="1001">
        <f t="shared" si="14"/>
        <v>4.7999999999999996E-3</v>
      </c>
      <c r="K64" s="1001">
        <f t="shared" si="15"/>
        <v>2.3999999999999998E-3</v>
      </c>
      <c r="L64" s="1001">
        <v>0</v>
      </c>
      <c r="M64" s="1001">
        <f t="shared" si="16"/>
        <v>-2.3999999999999998E-3</v>
      </c>
      <c r="N64" s="1001">
        <f t="shared" si="16"/>
        <v>-4.7999999999999996E-3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3436</v>
      </c>
      <c r="D65" s="1002">
        <f t="shared" si="12"/>
        <v>-2.3999999999999998E-3</v>
      </c>
      <c r="E65" s="703"/>
      <c r="F65" s="1675"/>
      <c r="G65" s="1000">
        <v>2.3999999999999998E-3</v>
      </c>
      <c r="H65" s="1003">
        <f t="shared" si="13"/>
        <v>2.3999999999999998E-3</v>
      </c>
      <c r="I65" s="3068">
        <v>0.05</v>
      </c>
      <c r="J65" s="1001">
        <f t="shared" si="14"/>
        <v>4.7999999999999996E-3</v>
      </c>
      <c r="K65" s="1001">
        <f t="shared" si="15"/>
        <v>2.3999999999999998E-3</v>
      </c>
      <c r="L65" s="1001">
        <v>0</v>
      </c>
      <c r="M65" s="1001">
        <f t="shared" si="16"/>
        <v>-2.3999999999999998E-3</v>
      </c>
      <c r="N65" s="1001">
        <f t="shared" si="16"/>
        <v>-4.7999999999999996E-3</v>
      </c>
      <c r="AA65" s="1057"/>
      <c r="AB65" s="1057"/>
      <c r="AC65" s="1057"/>
      <c r="AD65" s="1057"/>
      <c r="AE65" s="1057"/>
      <c r="AF65" s="1057"/>
      <c r="AG65" s="1057"/>
      <c r="AH65" s="1057"/>
      <c r="AI65" s="1057"/>
      <c r="AJ65" s="1057"/>
      <c r="AK65" s="1057"/>
    </row>
    <row r="66" spans="1:37" s="1056" customFormat="1" ht="36">
      <c r="A66" s="1970" t="s">
        <v>2057</v>
      </c>
      <c r="B66" s="1975" t="s">
        <v>2058</v>
      </c>
      <c r="C66" s="1887" t="s">
        <v>3437</v>
      </c>
      <c r="D66" s="1002">
        <f t="shared" si="12"/>
        <v>0</v>
      </c>
      <c r="E66" s="703"/>
      <c r="F66" s="1675"/>
      <c r="G66" s="1000">
        <v>2.8999999999999998E-3</v>
      </c>
      <c r="H66" s="1003">
        <f t="shared" si="13"/>
        <v>2.8999999999999998E-3</v>
      </c>
      <c r="I66" s="3068">
        <v>0.06</v>
      </c>
      <c r="J66" s="1001">
        <f t="shared" si="14"/>
        <v>5.7999999999999996E-3</v>
      </c>
      <c r="K66" s="1001">
        <f t="shared" si="15"/>
        <v>2.8999999999999998E-3</v>
      </c>
      <c r="L66" s="1001">
        <v>0</v>
      </c>
      <c r="M66" s="1001">
        <f t="shared" si="16"/>
        <v>-2.8999999999999998E-3</v>
      </c>
      <c r="N66" s="1001">
        <f t="shared" si="16"/>
        <v>-5.7999999999999996E-3</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t="s">
        <v>3435</v>
      </c>
      <c r="D67" s="1002">
        <f t="shared" si="12"/>
        <v>2.8999999999999998E-3</v>
      </c>
      <c r="E67" s="703"/>
      <c r="F67" s="1675"/>
      <c r="G67" s="1000">
        <v>2.8999999999999998E-3</v>
      </c>
      <c r="H67" s="1003">
        <f t="shared" si="13"/>
        <v>2.8999999999999998E-3</v>
      </c>
      <c r="I67" s="3068">
        <v>0.06</v>
      </c>
      <c r="J67" s="1001">
        <f t="shared" si="14"/>
        <v>5.7999999999999996E-3</v>
      </c>
      <c r="K67" s="1001">
        <f t="shared" si="15"/>
        <v>2.8999999999999998E-3</v>
      </c>
      <c r="L67" s="1001">
        <v>0</v>
      </c>
      <c r="M67" s="1001">
        <f t="shared" si="16"/>
        <v>-2.8999999999999998E-3</v>
      </c>
      <c r="N67" s="1001">
        <f t="shared" si="16"/>
        <v>-5.7999999999999996E-3</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t="s">
        <v>3438</v>
      </c>
      <c r="D68" s="1002">
        <f t="shared" si="12"/>
        <v>8.8000000000000005E-3</v>
      </c>
      <c r="E68" s="703"/>
      <c r="F68" s="1675"/>
      <c r="G68" s="1000">
        <v>4.4000000000000003E-3</v>
      </c>
      <c r="H68" s="1003">
        <f t="shared" si="13"/>
        <v>4.4000000000000003E-3</v>
      </c>
      <c r="I68" s="3068">
        <v>0.09</v>
      </c>
      <c r="J68" s="1001">
        <f t="shared" si="14"/>
        <v>8.8000000000000005E-3</v>
      </c>
      <c r="K68" s="1001">
        <f t="shared" si="15"/>
        <v>4.4000000000000003E-3</v>
      </c>
      <c r="L68" s="1001">
        <v>0</v>
      </c>
      <c r="M68" s="1001">
        <f t="shared" si="16"/>
        <v>-4.4000000000000003E-3</v>
      </c>
      <c r="N68" s="1001">
        <f t="shared" si="16"/>
        <v>-8.8000000000000005E-3</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t="s">
        <v>3435</v>
      </c>
      <c r="D69" s="1002">
        <f t="shared" si="12"/>
        <v>3.3999999999999998E-3</v>
      </c>
      <c r="E69" s="704"/>
      <c r="F69" s="1675"/>
      <c r="G69" s="1000">
        <v>3.3999999999999998E-3</v>
      </c>
      <c r="H69" s="1003">
        <f t="shared" si="13"/>
        <v>3.3999999999999998E-3</v>
      </c>
      <c r="I69" s="3069">
        <v>7.0000000000000007E-2</v>
      </c>
      <c r="J69" s="1001">
        <f t="shared" si="14"/>
        <v>6.7999999999999996E-3</v>
      </c>
      <c r="K69" s="1001">
        <f t="shared" si="15"/>
        <v>3.3999999999999998E-3</v>
      </c>
      <c r="L69" s="1001">
        <v>0</v>
      </c>
      <c r="M69" s="1001">
        <f t="shared" si="16"/>
        <v>-3.3999999999999998E-3</v>
      </c>
      <c r="N69" s="1001">
        <f t="shared" si="16"/>
        <v>-6.7999999999999996E-3</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0" t="s">
        <v>3268</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48">
      <c r="A85" s="3070" t="s">
        <v>3269</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3.8">
      <c r="A91" s="3078" t="s">
        <v>2612</v>
      </c>
      <c r="B91" s="3079">
        <f>1+E93</f>
        <v>1</v>
      </c>
      <c r="C91" s="3072"/>
      <c r="D91" s="3073"/>
      <c r="E91" s="1675"/>
      <c r="F91" s="1675"/>
      <c r="G91" s="3074"/>
      <c r="H91" s="3075"/>
      <c r="I91" s="3076"/>
      <c r="J91" s="3077"/>
      <c r="K91" s="3077"/>
      <c r="L91" s="3077"/>
      <c r="M91" s="3077"/>
      <c r="N91" s="3077"/>
    </row>
    <row r="92" spans="1:37" ht="25.2">
      <c r="A92" s="3080" t="s">
        <v>3270</v>
      </c>
      <c r="B92" s="2310"/>
      <c r="C92" s="2310" t="s">
        <v>3279</v>
      </c>
      <c r="D92" s="2310" t="s">
        <v>3280</v>
      </c>
      <c r="E92" s="3052" t="s">
        <v>3281</v>
      </c>
      <c r="F92" s="3082" t="s">
        <v>3282</v>
      </c>
      <c r="G92" s="2310" t="s">
        <v>3283</v>
      </c>
      <c r="H92" s="3089" t="s">
        <v>3286</v>
      </c>
      <c r="I92" s="2310" t="s">
        <v>3287</v>
      </c>
      <c r="J92" s="2150" t="s">
        <v>3288</v>
      </c>
      <c r="K92" s="2150" t="s">
        <v>3289</v>
      </c>
      <c r="L92" s="2150" t="s">
        <v>3290</v>
      </c>
      <c r="M92" s="2150" t="s">
        <v>3291</v>
      </c>
      <c r="N92" s="2150" t="s">
        <v>3292</v>
      </c>
    </row>
    <row r="93" spans="1:37" ht="24">
      <c r="A93" s="3070" t="s">
        <v>3271</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2.8">
      <c r="A94" s="3080" t="s">
        <v>3272</v>
      </c>
      <c r="B94" s="3071" t="str">
        <f>估价对象房地状况!C18</f>
        <v>估价对象周边道路状况、公共交通通达情况、停车便捷程度，综合评价交通便捷度较好</v>
      </c>
      <c r="C94" s="1887"/>
      <c r="D94" s="2310">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48">
      <c r="A95" s="3070" t="s">
        <v>3268</v>
      </c>
      <c r="B95" s="3071">
        <f>估价对象房地状况!C19</f>
        <v>0</v>
      </c>
      <c r="C95" s="1887"/>
      <c r="D95" s="2310">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7.200000000000003">
      <c r="A96" s="3080" t="s">
        <v>3273</v>
      </c>
      <c r="B96" s="3086" t="s">
        <v>3284</v>
      </c>
      <c r="C96" s="1887"/>
      <c r="D96" s="2310">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3274</v>
      </c>
      <c r="B97" s="3071">
        <f>估价对象房地状况!C24</f>
        <v>0</v>
      </c>
      <c r="C97" s="1887"/>
      <c r="D97" s="2310">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36">
      <c r="A98" s="3080" t="s">
        <v>3275</v>
      </c>
      <c r="B98" s="3087" t="s">
        <v>3285</v>
      </c>
      <c r="C98" s="1887"/>
      <c r="D98" s="2310">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4">
      <c r="A99" s="3080" t="s">
        <v>3276</v>
      </c>
      <c r="B99" s="3071" t="str">
        <f>估价对象房地状况!C21</f>
        <v>估价对象所在区域公共配套设施齐备情况</v>
      </c>
      <c r="C99" s="1887"/>
      <c r="D99" s="2310">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4">
      <c r="A100" s="3080" t="s">
        <v>3277</v>
      </c>
      <c r="B100" s="3071" t="str">
        <f>估价对象房地状况!C22</f>
        <v>估价对象所在区域基础设施水平</v>
      </c>
      <c r="C100" s="1887"/>
      <c r="D100" s="2310">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40.200000000000003" thickBot="1">
      <c r="A101" s="3081" t="s">
        <v>3278</v>
      </c>
      <c r="B101" s="3088" t="str">
        <f>估价对象房地状况!C20</f>
        <v>区域自然环境：；人文环境；综合评价环境状况一般</v>
      </c>
      <c r="C101" s="1887"/>
      <c r="D101" s="2310">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451" t="s">
        <v>3293</v>
      </c>
      <c r="B103" s="3451"/>
      <c r="C103" s="3451"/>
      <c r="D103" s="3451"/>
      <c r="E103" s="3451"/>
      <c r="F103" s="3451"/>
      <c r="G103" s="3451"/>
      <c r="H103" s="3451"/>
      <c r="I103" s="3451"/>
      <c r="J103" s="3451"/>
      <c r="K103" s="1667"/>
      <c r="L103" s="1667"/>
      <c r="M103" s="1667"/>
      <c r="N103" s="1667"/>
    </row>
    <row r="104" spans="1:14">
      <c r="A104" s="3452" t="s">
        <v>3294</v>
      </c>
      <c r="B104" s="3452" t="s">
        <v>3295</v>
      </c>
      <c r="C104" s="3090" t="s">
        <v>3296</v>
      </c>
      <c r="D104" s="3091"/>
      <c r="E104" s="3091"/>
      <c r="F104" s="3091"/>
      <c r="G104" s="3091"/>
      <c r="H104" s="3091"/>
      <c r="I104" s="3091"/>
      <c r="J104" s="3092"/>
      <c r="K104" s="3093"/>
      <c r="L104" s="3093"/>
      <c r="M104" s="3093"/>
      <c r="N104" s="3093"/>
    </row>
    <row r="105" spans="1:14">
      <c r="A105" s="3452"/>
      <c r="B105" s="3452"/>
      <c r="C105" s="3094" t="s">
        <v>3297</v>
      </c>
      <c r="D105" s="3094" t="s">
        <v>3298</v>
      </c>
      <c r="E105" s="3094" t="s">
        <v>3299</v>
      </c>
      <c r="F105" s="3094" t="s">
        <v>3300</v>
      </c>
      <c r="G105" s="3094" t="s">
        <v>3301</v>
      </c>
      <c r="H105" s="3094" t="s">
        <v>3302</v>
      </c>
      <c r="I105" s="3094" t="s">
        <v>3303</v>
      </c>
      <c r="J105" s="3094" t="s">
        <v>3304</v>
      </c>
      <c r="K105" s="3094" t="s">
        <v>3305</v>
      </c>
      <c r="L105" s="3094" t="s">
        <v>3306</v>
      </c>
      <c r="M105" s="3094" t="s">
        <v>3307</v>
      </c>
      <c r="N105" s="3094" t="s">
        <v>3308</v>
      </c>
    </row>
    <row r="106" spans="1:14">
      <c r="A106" s="3438" t="s">
        <v>3309</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39"/>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39"/>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39"/>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39"/>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39"/>
      <c r="B111" s="3094" t="s">
        <v>3267</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40"/>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41" t="s">
        <v>3310</v>
      </c>
      <c r="B113" s="3441"/>
      <c r="C113" s="3441"/>
      <c r="D113" s="3441"/>
      <c r="E113" s="3441"/>
      <c r="F113" s="3441"/>
      <c r="G113" s="3441"/>
      <c r="H113" s="3441"/>
      <c r="I113" s="3441"/>
      <c r="J113" s="3441"/>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8" thickBot="1">
      <c r="A115" s="3097"/>
      <c r="B115" s="3097"/>
      <c r="C115" s="3097"/>
      <c r="D115" s="3097"/>
      <c r="E115" s="3097"/>
      <c r="F115" s="3097"/>
      <c r="G115" s="3097"/>
      <c r="H115" s="3097"/>
      <c r="I115" s="3097"/>
      <c r="J115" s="3097"/>
      <c r="K115" s="1964"/>
      <c r="L115" s="3097"/>
      <c r="M115" s="3097"/>
      <c r="N115" s="3097"/>
    </row>
    <row r="116" spans="1:14" ht="25.8" thickBot="1">
      <c r="A116" s="3098" t="s">
        <v>3311</v>
      </c>
      <c r="B116" s="3114">
        <f>G3</f>
        <v>3</v>
      </c>
      <c r="C116" s="3099" t="s">
        <v>3312</v>
      </c>
      <c r="D116" s="3100">
        <f>SUMPRODUCT((A118:A122=F116)*(B117:M117=H116)*B118:M122)</f>
        <v>0.89890000000000003</v>
      </c>
      <c r="E116" s="162" t="s">
        <v>3313</v>
      </c>
      <c r="F116" s="3101" t="str">
        <f>E2</f>
        <v>办公</v>
      </c>
      <c r="G116" s="162" t="s">
        <v>3314</v>
      </c>
      <c r="H116" s="3101" t="str">
        <f>G2</f>
        <v>四级</v>
      </c>
      <c r="I116" s="162"/>
      <c r="J116" s="3102"/>
      <c r="K116" s="3102"/>
      <c r="L116" s="3102"/>
      <c r="M116" s="3102"/>
      <c r="N116" s="3097"/>
    </row>
    <row r="117" spans="1:14">
      <c r="A117" s="3103"/>
      <c r="B117" s="3104" t="s">
        <v>3315</v>
      </c>
      <c r="C117" s="3104" t="s">
        <v>3316</v>
      </c>
      <c r="D117" s="3104" t="s">
        <v>3317</v>
      </c>
      <c r="E117" s="3105" t="s">
        <v>3318</v>
      </c>
      <c r="F117" s="3105" t="s">
        <v>3319</v>
      </c>
      <c r="G117" s="3105" t="s">
        <v>3320</v>
      </c>
      <c r="H117" s="3106" t="s">
        <v>3321</v>
      </c>
      <c r="I117" s="3106" t="s">
        <v>3322</v>
      </c>
      <c r="J117" s="3107" t="s">
        <v>3323</v>
      </c>
      <c r="K117" s="3107" t="s">
        <v>3324</v>
      </c>
      <c r="L117" s="3107" t="s">
        <v>3325</v>
      </c>
      <c r="M117" s="3108" t="s">
        <v>3326</v>
      </c>
      <c r="N117" s="3097"/>
    </row>
    <row r="118" spans="1:14">
      <c r="A118" s="3057" t="s">
        <v>3327</v>
      </c>
      <c r="B118" s="3089">
        <f>ROUND(0.9968-0.011*B116,4)</f>
        <v>0.96379999999999999</v>
      </c>
      <c r="C118" s="3089">
        <f>B118</f>
        <v>0.96379999999999999</v>
      </c>
      <c r="D118" s="3089">
        <f>ROUND(0.949-0.014*B116,4)</f>
        <v>0.90700000000000003</v>
      </c>
      <c r="E118" s="3089">
        <f>D118</f>
        <v>0.90700000000000003</v>
      </c>
      <c r="F118" s="3089">
        <f>E118</f>
        <v>0.90700000000000003</v>
      </c>
      <c r="G118" s="3089">
        <f>F118</f>
        <v>0.90700000000000003</v>
      </c>
      <c r="H118" s="3089">
        <f>G118</f>
        <v>0.90700000000000003</v>
      </c>
      <c r="I118" s="3089">
        <f>ROUND(0.8486-0.018*B116,4)</f>
        <v>0.79459999999999997</v>
      </c>
      <c r="J118" s="3089">
        <f t="shared" ref="J118:M122" si="35">I118</f>
        <v>0.79459999999999997</v>
      </c>
      <c r="K118" s="3089">
        <f t="shared" si="35"/>
        <v>0.79459999999999997</v>
      </c>
      <c r="L118" s="3089">
        <f t="shared" si="35"/>
        <v>0.79459999999999997</v>
      </c>
      <c r="M118" s="3109">
        <f t="shared" si="35"/>
        <v>0.79459999999999997</v>
      </c>
      <c r="N118" s="3097"/>
    </row>
    <row r="119" spans="1:14">
      <c r="A119" s="3057" t="s">
        <v>3328</v>
      </c>
      <c r="B119" s="3089">
        <f>ROUND(0.993-0.0112*B116,4)</f>
        <v>0.95940000000000003</v>
      </c>
      <c r="C119" s="3089">
        <f>B119</f>
        <v>0.95940000000000003</v>
      </c>
      <c r="D119" s="3089">
        <f>ROUND(0.9415-0.0142*B116,4)</f>
        <v>0.89890000000000003</v>
      </c>
      <c r="E119" s="3089">
        <f t="shared" ref="E119:H120" si="36">D119</f>
        <v>0.89890000000000003</v>
      </c>
      <c r="F119" s="3089">
        <f t="shared" si="36"/>
        <v>0.89890000000000003</v>
      </c>
      <c r="G119" s="3089">
        <f t="shared" si="36"/>
        <v>0.89890000000000003</v>
      </c>
      <c r="H119" s="3089">
        <f t="shared" si="36"/>
        <v>0.89890000000000003</v>
      </c>
      <c r="I119" s="3089">
        <f>ROUND(0.838-0.0182*B116,4)</f>
        <v>0.78339999999999999</v>
      </c>
      <c r="J119" s="3089">
        <f t="shared" si="35"/>
        <v>0.78339999999999999</v>
      </c>
      <c r="K119" s="3089">
        <f t="shared" si="35"/>
        <v>0.78339999999999999</v>
      </c>
      <c r="L119" s="3089">
        <f t="shared" si="35"/>
        <v>0.78339999999999999</v>
      </c>
      <c r="M119" s="3109">
        <f t="shared" si="35"/>
        <v>0.78339999999999999</v>
      </c>
      <c r="N119" s="3097"/>
    </row>
    <row r="120" spans="1:14">
      <c r="A120" s="3057" t="s">
        <v>3329</v>
      </c>
      <c r="B120" s="3089">
        <f>ROUND(0.9448-0.0115*B116,4)</f>
        <v>0.9103</v>
      </c>
      <c r="C120" s="3089">
        <f>B120</f>
        <v>0.9103</v>
      </c>
      <c r="D120" s="3089">
        <f>ROUND(0.937-0.0145*B116,4)</f>
        <v>0.89349999999999996</v>
      </c>
      <c r="E120" s="3089">
        <f t="shared" si="36"/>
        <v>0.89349999999999996</v>
      </c>
      <c r="F120" s="3089">
        <f t="shared" si="36"/>
        <v>0.89349999999999996</v>
      </c>
      <c r="G120" s="3089">
        <f t="shared" si="36"/>
        <v>0.89349999999999996</v>
      </c>
      <c r="H120" s="3089">
        <f t="shared" si="36"/>
        <v>0.89349999999999996</v>
      </c>
      <c r="I120" s="3089">
        <f>ROUND(0.7965-0.0185*B116,4)</f>
        <v>0.74099999999999999</v>
      </c>
      <c r="J120" s="3089">
        <f t="shared" si="35"/>
        <v>0.74099999999999999</v>
      </c>
      <c r="K120" s="3089">
        <f t="shared" si="35"/>
        <v>0.74099999999999999</v>
      </c>
      <c r="L120" s="3089">
        <f t="shared" si="35"/>
        <v>0.74099999999999999</v>
      </c>
      <c r="M120" s="3109">
        <f t="shared" si="35"/>
        <v>0.74099999999999999</v>
      </c>
      <c r="N120" s="3097"/>
    </row>
    <row r="121" spans="1:14" ht="13.8" thickBot="1">
      <c r="A121" s="3110" t="s">
        <v>3330</v>
      </c>
      <c r="B121" s="3111">
        <f>ROUND(0.7836-0.012*B116,4)</f>
        <v>0.74760000000000004</v>
      </c>
      <c r="C121" s="3111">
        <f>B121</f>
        <v>0.74760000000000004</v>
      </c>
      <c r="D121" s="3111">
        <f>ROUND(0.753-0.015*B116,4)</f>
        <v>0.70799999999999996</v>
      </c>
      <c r="E121" s="3111">
        <f>D121</f>
        <v>0.70799999999999996</v>
      </c>
      <c r="F121" s="3111">
        <f>E121</f>
        <v>0.70799999999999996</v>
      </c>
      <c r="G121" s="3111">
        <f>ROUND(0.6612-0.018*B116,4)</f>
        <v>0.60719999999999996</v>
      </c>
      <c r="H121" s="3111">
        <f>G121</f>
        <v>0.60719999999999996</v>
      </c>
      <c r="I121" s="3111">
        <f>ROUND(0.5905-0.019*B116,4)</f>
        <v>0.53349999999999997</v>
      </c>
      <c r="J121" s="3111">
        <f t="shared" si="35"/>
        <v>0.53349999999999997</v>
      </c>
      <c r="K121" s="3111">
        <f t="shared" si="35"/>
        <v>0.53349999999999997</v>
      </c>
      <c r="L121" s="3111">
        <f t="shared" si="35"/>
        <v>0.53349999999999997</v>
      </c>
      <c r="M121" s="3112">
        <f t="shared" si="35"/>
        <v>0.53349999999999997</v>
      </c>
      <c r="N121" s="3097"/>
    </row>
    <row r="122" spans="1:14">
      <c r="A122" s="3113" t="s">
        <v>2612</v>
      </c>
      <c r="B122" s="3089">
        <f>ROUND(0.9404-0.0106*B116,4)</f>
        <v>0.90859999999999996</v>
      </c>
      <c r="C122" s="3089">
        <f>B122</f>
        <v>0.90859999999999996</v>
      </c>
      <c r="D122" s="3089">
        <f>ROUND(0.8955-0.0135*B116,4)</f>
        <v>0.85499999999999998</v>
      </c>
      <c r="E122" s="3089">
        <f t="shared" ref="E122:H122" si="37">D122</f>
        <v>0.85499999999999998</v>
      </c>
      <c r="F122" s="3089">
        <f t="shared" si="37"/>
        <v>0.85499999999999998</v>
      </c>
      <c r="G122" s="3089">
        <f t="shared" si="37"/>
        <v>0.85499999999999998</v>
      </c>
      <c r="H122" s="3089">
        <f t="shared" si="37"/>
        <v>0.85499999999999998</v>
      </c>
      <c r="I122" s="3089">
        <f>ROUND(0.7632-0.0166*B116,4)</f>
        <v>0.71340000000000003</v>
      </c>
      <c r="J122" s="3089">
        <f t="shared" si="35"/>
        <v>0.71340000000000003</v>
      </c>
      <c r="K122" s="3089">
        <f t="shared" si="35"/>
        <v>0.71340000000000003</v>
      </c>
      <c r="L122" s="3089">
        <f t="shared" si="35"/>
        <v>0.71340000000000003</v>
      </c>
      <c r="M122" s="3109">
        <f t="shared" si="35"/>
        <v>0.71340000000000003</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6" priority="6" stopIfTrue="1" operator="notEqual">
      <formula>"——"</formula>
    </cfRule>
  </conditionalFormatting>
  <conditionalFormatting sqref="F61">
    <cfRule type="cellIs" dxfId="105" priority="5" stopIfTrue="1" operator="notEqual">
      <formula>"——"</formula>
    </cfRule>
  </conditionalFormatting>
  <conditionalFormatting sqref="F72">
    <cfRule type="cellIs" dxfId="104" priority="4" stopIfTrue="1" operator="notEqual">
      <formula>"——"</formula>
    </cfRule>
  </conditionalFormatting>
  <conditionalFormatting sqref="F83">
    <cfRule type="cellIs" dxfId="103" priority="3" stopIfTrue="1" operator="notEqual">
      <formula>"——"</formula>
    </cfRule>
  </conditionalFormatting>
  <conditionalFormatting sqref="H50:H58 H61:H69 H72:H80 H83:H91">
    <cfRule type="cellIs" dxfId="102" priority="2" operator="notEqual">
      <formula>"——"</formula>
    </cfRule>
  </conditionalFormatting>
  <conditionalFormatting sqref="H93:H101">
    <cfRule type="cellIs" dxfId="101"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2" customHeight="1">
      <c r="A2" s="1293" t="s">
        <v>2315</v>
      </c>
      <c r="B2" s="2594" t="e">
        <f>IF(D2="——",C40,C40+E2)</f>
        <v>#DIV/0!</v>
      </c>
      <c r="C2" s="2595" t="s">
        <v>2316</v>
      </c>
      <c r="D2" s="3138" t="s">
        <v>3358</v>
      </c>
      <c r="E2" s="3139"/>
      <c r="F2" s="2597"/>
      <c r="G2" s="2598"/>
      <c r="H2" s="2599"/>
      <c r="I2" s="2600"/>
      <c r="J2" s="3348" t="s">
        <v>2317</v>
      </c>
      <c r="K2" s="3349"/>
      <c r="L2" s="2601" t="s">
        <v>2318</v>
      </c>
      <c r="M2" s="2601" t="s">
        <v>2319</v>
      </c>
      <c r="N2" s="2601" t="s">
        <v>2320</v>
      </c>
      <c r="O2" s="2601" t="s">
        <v>2321</v>
      </c>
      <c r="P2" s="2601" t="s">
        <v>2322</v>
      </c>
      <c r="Q2" s="2602" t="s">
        <v>2323</v>
      </c>
      <c r="R2" s="2603" t="s">
        <v>2324</v>
      </c>
      <c r="S2" s="2592"/>
      <c r="T2" s="2592"/>
      <c r="U2" s="2592"/>
      <c r="V2" s="2600"/>
    </row>
    <row r="3" spans="1:22" s="2604" customFormat="1" ht="13.2" customHeight="1">
      <c r="A3" s="2605" t="s">
        <v>2325</v>
      </c>
      <c r="B3" s="2606" t="e">
        <f>ROUND(B2*10000/B4,0)</f>
        <v>#DIV/0!</v>
      </c>
      <c r="C3" s="2595" t="s">
        <v>2326</v>
      </c>
      <c r="D3" s="2595"/>
      <c r="E3" s="2596"/>
      <c r="F3" s="2597"/>
      <c r="G3" s="2598"/>
      <c r="H3" s="2599"/>
      <c r="I3" s="2600"/>
      <c r="J3" s="3350" t="s">
        <v>2327</v>
      </c>
      <c r="K3" s="3351"/>
      <c r="L3" s="2607"/>
      <c r="M3" s="2607"/>
      <c r="N3" s="2607"/>
      <c r="O3" s="2607"/>
      <c r="P3" s="2607"/>
      <c r="Q3" s="2608"/>
      <c r="R3" s="2609">
        <f>SUM(L3:Q3)</f>
        <v>0</v>
      </c>
      <c r="S3" s="2592"/>
      <c r="T3" s="2592"/>
      <c r="U3" s="2592"/>
      <c r="V3" s="2600"/>
    </row>
    <row r="4" spans="1:22" s="2604" customFormat="1" ht="13.2" customHeight="1">
      <c r="A4" s="2610" t="s">
        <v>2328</v>
      </c>
      <c r="B4" s="2611"/>
      <c r="C4" s="2595"/>
      <c r="D4" s="2595"/>
      <c r="E4" s="2596"/>
      <c r="F4" s="2597"/>
      <c r="G4" s="2598"/>
      <c r="H4" s="2599"/>
      <c r="I4" s="2600"/>
      <c r="J4" s="3350" t="s">
        <v>2329</v>
      </c>
      <c r="K4" s="3351"/>
      <c r="L4" s="2612"/>
      <c r="M4" s="2612"/>
      <c r="N4" s="2612"/>
      <c r="O4" s="2612"/>
      <c r="P4" s="2612"/>
      <c r="Q4" s="2613"/>
      <c r="R4" s="2614">
        <f>SUM(L4:Q4)</f>
        <v>0</v>
      </c>
      <c r="S4" s="2592"/>
      <c r="T4" s="2592"/>
      <c r="U4" s="2592"/>
      <c r="V4" s="2600"/>
    </row>
    <row r="5" spans="1:22" s="2604" customFormat="1" ht="13.2"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2" customHeight="1" thickBot="1">
      <c r="A6" s="3356" t="s">
        <v>2333</v>
      </c>
      <c r="B6" s="3357"/>
      <c r="C6" s="3358"/>
      <c r="D6" s="2621"/>
      <c r="E6" s="2622"/>
      <c r="F6" s="2623"/>
      <c r="G6" s="2624"/>
      <c r="H6" s="2599"/>
      <c r="I6" s="2600"/>
      <c r="J6" s="3342">
        <v>1</v>
      </c>
      <c r="K6" s="3343"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2" customHeight="1">
      <c r="A7" s="2627" t="s">
        <v>2343</v>
      </c>
      <c r="B7" s="2628"/>
      <c r="C7" s="2629"/>
      <c r="D7" s="2630">
        <f>SUM(D9,D10,D11,D17,0)</f>
        <v>0</v>
      </c>
      <c r="E7" s="2631" t="e">
        <f>E9+E10+E11+E17</f>
        <v>#DIV/0!</v>
      </c>
      <c r="F7" s="2632"/>
      <c r="G7" s="2633"/>
      <c r="H7" s="2599"/>
      <c r="I7" s="2600"/>
      <c r="J7" s="3342"/>
      <c r="K7" s="3344"/>
      <c r="L7" s="2634" t="s">
        <v>2344</v>
      </c>
      <c r="M7" s="2635"/>
      <c r="N7" s="2611"/>
      <c r="O7" s="2636"/>
      <c r="P7" s="2636"/>
      <c r="Q7" s="2637">
        <v>365</v>
      </c>
      <c r="R7" s="2638">
        <f>ROUND(M7*N7*O7*P7*Q7/10000,0)</f>
        <v>0</v>
      </c>
      <c r="S7" s="2592"/>
      <c r="T7" s="2592" t="s">
        <v>2345</v>
      </c>
      <c r="U7" s="2592"/>
      <c r="V7" s="2600"/>
    </row>
    <row r="8" spans="1:22" s="2604" customFormat="1" ht="13.2" customHeight="1">
      <c r="A8" s="2639" t="s">
        <v>2346</v>
      </c>
      <c r="B8" s="3359" t="s">
        <v>2347</v>
      </c>
      <c r="C8" s="3360"/>
      <c r="D8" s="2640" t="s">
        <v>2348</v>
      </c>
      <c r="E8" s="2641" t="s">
        <v>2349</v>
      </c>
      <c r="F8" s="2642" t="s">
        <v>2350</v>
      </c>
      <c r="G8" s="2643"/>
      <c r="H8" s="2599"/>
      <c r="I8" s="2600"/>
      <c r="J8" s="3342"/>
      <c r="K8" s="3344"/>
      <c r="L8" s="2634" t="s">
        <v>2351</v>
      </c>
      <c r="M8" s="2635"/>
      <c r="N8" s="2611"/>
      <c r="O8" s="2636"/>
      <c r="P8" s="2636"/>
      <c r="Q8" s="2637">
        <v>365</v>
      </c>
      <c r="R8" s="2638">
        <f t="shared" ref="R8:R13" si="0">ROUND(M8*N8*O8*P8*Q8/10000,0)</f>
        <v>0</v>
      </c>
      <c r="S8" s="2592"/>
      <c r="T8" s="2592" t="s">
        <v>2352</v>
      </c>
      <c r="U8" s="2592"/>
      <c r="V8" s="2600"/>
    </row>
    <row r="9" spans="1:22" s="2604" customFormat="1" ht="13.2" customHeight="1">
      <c r="A9" s="2639">
        <v>1</v>
      </c>
      <c r="B9" s="3359" t="s">
        <v>2353</v>
      </c>
      <c r="C9" s="3360"/>
      <c r="D9" s="2640">
        <f>ROUND(D6*E9,0)</f>
        <v>0</v>
      </c>
      <c r="E9" s="2644"/>
      <c r="F9" s="2645" t="s">
        <v>2354</v>
      </c>
      <c r="G9" s="2624"/>
      <c r="H9" s="2599"/>
      <c r="I9" s="2600"/>
      <c r="J9" s="3342"/>
      <c r="K9" s="3344"/>
      <c r="L9" s="2634" t="s">
        <v>2355</v>
      </c>
      <c r="M9" s="2635"/>
      <c r="N9" s="2611"/>
      <c r="O9" s="2636"/>
      <c r="P9" s="2636"/>
      <c r="Q9" s="2637">
        <v>365</v>
      </c>
      <c r="R9" s="2638">
        <f t="shared" si="0"/>
        <v>0</v>
      </c>
      <c r="S9" s="2592"/>
      <c r="T9" s="2592"/>
      <c r="U9" s="2592"/>
      <c r="V9" s="2600"/>
    </row>
    <row r="10" spans="1:22" s="2604" customFormat="1" ht="13.2" customHeight="1">
      <c r="A10" s="2639">
        <v>2</v>
      </c>
      <c r="B10" s="3359" t="s">
        <v>2356</v>
      </c>
      <c r="C10" s="3360"/>
      <c r="D10" s="2640">
        <f>ROUND(D6*E10,0)</f>
        <v>0</v>
      </c>
      <c r="E10" s="2644"/>
      <c r="F10" s="2645" t="s">
        <v>2357</v>
      </c>
      <c r="G10" s="2624"/>
      <c r="H10" s="2599"/>
      <c r="I10" s="2600"/>
      <c r="J10" s="3342"/>
      <c r="K10" s="3344"/>
      <c r="L10" s="2634" t="s">
        <v>2358</v>
      </c>
      <c r="M10" s="2635"/>
      <c r="N10" s="2611"/>
      <c r="O10" s="2636"/>
      <c r="P10" s="2636"/>
      <c r="Q10" s="2637">
        <v>365</v>
      </c>
      <c r="R10" s="2638">
        <f t="shared" si="0"/>
        <v>0</v>
      </c>
      <c r="S10" s="2592"/>
      <c r="T10" s="2592"/>
      <c r="U10" s="2592"/>
      <c r="V10" s="2600"/>
    </row>
    <row r="11" spans="1:22" s="2604" customFormat="1" ht="13.2" customHeight="1">
      <c r="A11" s="2639">
        <v>3</v>
      </c>
      <c r="B11" s="3359" t="s">
        <v>2359</v>
      </c>
      <c r="C11" s="3360"/>
      <c r="D11" s="2640">
        <f>D12+D14+D15+D16</f>
        <v>0</v>
      </c>
      <c r="E11" s="2646" t="e">
        <f>D11/D6</f>
        <v>#DIV/0!</v>
      </c>
      <c r="F11" s="2642"/>
      <c r="G11" s="2643"/>
      <c r="H11" s="2599"/>
      <c r="I11" s="2600"/>
      <c r="J11" s="3342"/>
      <c r="K11" s="3344"/>
      <c r="L11" s="2634" t="s">
        <v>2360</v>
      </c>
      <c r="M11" s="2635"/>
      <c r="N11" s="2611"/>
      <c r="O11" s="2636"/>
      <c r="P11" s="2636"/>
      <c r="Q11" s="2637">
        <v>365</v>
      </c>
      <c r="R11" s="2638">
        <f t="shared" si="0"/>
        <v>0</v>
      </c>
      <c r="S11" s="2592"/>
      <c r="T11" s="2592"/>
      <c r="U11" s="2592"/>
      <c r="V11" s="2600"/>
    </row>
    <row r="12" spans="1:22" s="2604" customFormat="1" ht="13.2" customHeight="1">
      <c r="A12" s="2647" t="s">
        <v>2361</v>
      </c>
      <c r="B12" s="3352" t="s">
        <v>2362</v>
      </c>
      <c r="C12" s="3353"/>
      <c r="D12" s="2648">
        <f>ROUND(D13*1.2%*(1-30%),0)</f>
        <v>0</v>
      </c>
      <c r="E12" s="2649">
        <v>1.2E-2</v>
      </c>
      <c r="F12" s="2642" t="s">
        <v>2363</v>
      </c>
      <c r="G12" s="2643"/>
      <c r="H12" s="2599"/>
      <c r="I12" s="2600"/>
      <c r="J12" s="3342"/>
      <c r="K12" s="3344"/>
      <c r="L12" s="2634" t="s">
        <v>2364</v>
      </c>
      <c r="M12" s="2635"/>
      <c r="N12" s="2611"/>
      <c r="O12" s="2636"/>
      <c r="P12" s="2636"/>
      <c r="Q12" s="2637">
        <v>365</v>
      </c>
      <c r="R12" s="2638">
        <f t="shared" si="0"/>
        <v>0</v>
      </c>
      <c r="S12" s="2592"/>
      <c r="T12" s="2592"/>
      <c r="U12" s="2592"/>
      <c r="V12" s="2600"/>
    </row>
    <row r="13" spans="1:22" s="2604" customFormat="1" ht="13.2" customHeight="1">
      <c r="A13" s="2647"/>
      <c r="B13" s="2650"/>
      <c r="C13" s="2651" t="s">
        <v>2365</v>
      </c>
      <c r="D13" s="2652"/>
      <c r="E13" s="2653"/>
      <c r="F13" s="2642"/>
      <c r="G13" s="2643"/>
      <c r="H13" s="2599"/>
      <c r="I13" s="2600"/>
      <c r="J13" s="3342"/>
      <c r="K13" s="3344"/>
      <c r="L13" s="2634" t="s">
        <v>2366</v>
      </c>
      <c r="M13" s="2635"/>
      <c r="N13" s="2611"/>
      <c r="O13" s="2636"/>
      <c r="P13" s="2636"/>
      <c r="Q13" s="2637">
        <v>365</v>
      </c>
      <c r="R13" s="2638">
        <f t="shared" si="0"/>
        <v>0</v>
      </c>
      <c r="S13" s="2592"/>
      <c r="T13" s="2592"/>
      <c r="U13" s="2592"/>
      <c r="V13" s="2600"/>
    </row>
    <row r="14" spans="1:22" s="2604" customFormat="1" ht="13.2" customHeight="1">
      <c r="A14" s="2647" t="s">
        <v>2367</v>
      </c>
      <c r="B14" s="3352" t="s">
        <v>2368</v>
      </c>
      <c r="C14" s="3353"/>
      <c r="D14" s="2648">
        <f>ROUND(E14*B5/10000,0)</f>
        <v>0</v>
      </c>
      <c r="E14" s="2637"/>
      <c r="F14" s="2642" t="s">
        <v>2369</v>
      </c>
      <c r="G14" s="2643"/>
      <c r="H14" s="2599"/>
      <c r="I14" s="2600"/>
      <c r="J14" s="3342"/>
      <c r="K14" s="3345"/>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2371</v>
      </c>
      <c r="B15" s="3352" t="s">
        <v>2372</v>
      </c>
      <c r="C15" s="3353"/>
      <c r="D15" s="2648">
        <f>ROUND(D6*E15,0)</f>
        <v>0</v>
      </c>
      <c r="E15" s="2649">
        <v>5.5E-2</v>
      </c>
      <c r="F15" s="2642" t="s">
        <v>2373</v>
      </c>
      <c r="G15" s="2624"/>
      <c r="H15" s="2599"/>
      <c r="I15" s="2600"/>
      <c r="J15" s="3342">
        <v>2</v>
      </c>
      <c r="K15" s="3343"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2" customHeight="1">
      <c r="A16" s="2647" t="s">
        <v>2380</v>
      </c>
      <c r="B16" s="3352" t="s">
        <v>2381</v>
      </c>
      <c r="C16" s="3353"/>
      <c r="D16" s="2659">
        <f>D6*E16</f>
        <v>0</v>
      </c>
      <c r="E16" s="2660"/>
      <c r="F16" s="2645" t="s">
        <v>2382</v>
      </c>
      <c r="G16" s="2624"/>
      <c r="H16" s="2599"/>
      <c r="I16" s="2600"/>
      <c r="J16" s="3342"/>
      <c r="K16" s="3344"/>
      <c r="L16" s="2634" t="s">
        <v>2383</v>
      </c>
      <c r="M16" s="2635"/>
      <c r="N16" s="2635"/>
      <c r="O16" s="2636"/>
      <c r="P16" s="2637">
        <v>365</v>
      </c>
      <c r="Q16" s="2611"/>
      <c r="R16" s="2658">
        <f>ROUND(M16*N16*O16*P16/10000,0)</f>
        <v>0</v>
      </c>
      <c r="S16" s="2592"/>
      <c r="T16" s="2592"/>
      <c r="U16" s="2592"/>
      <c r="V16" s="2600"/>
    </row>
    <row r="17" spans="1:22" s="2604" customFormat="1" ht="13.2" customHeight="1" thickBot="1">
      <c r="A17" s="2661">
        <v>4</v>
      </c>
      <c r="B17" s="3354" t="s">
        <v>2384</v>
      </c>
      <c r="C17" s="3355"/>
      <c r="D17" s="2662">
        <f>ROUND(D6*E17,0)</f>
        <v>0</v>
      </c>
      <c r="E17" s="2663"/>
      <c r="F17" s="2664" t="s">
        <v>2385</v>
      </c>
      <c r="G17" s="2624"/>
      <c r="H17" s="2599"/>
      <c r="I17" s="2600"/>
      <c r="J17" s="3342"/>
      <c r="K17" s="3344"/>
      <c r="L17" s="2634" t="s">
        <v>2386</v>
      </c>
      <c r="M17" s="2635"/>
      <c r="N17" s="2635"/>
      <c r="O17" s="2636"/>
      <c r="P17" s="2637">
        <v>365</v>
      </c>
      <c r="Q17" s="2611"/>
      <c r="R17" s="2658">
        <f>ROUND(M17*N17*O17*P17/10000,0)</f>
        <v>0</v>
      </c>
      <c r="S17" s="2592"/>
      <c r="T17" s="2592"/>
      <c r="U17" s="2592"/>
      <c r="V17" s="2600"/>
    </row>
    <row r="18" spans="1:22" s="2604" customFormat="1" ht="13.2" customHeight="1" thickBot="1">
      <c r="A18" s="2627" t="s">
        <v>2387</v>
      </c>
      <c r="B18" s="2628"/>
      <c r="C18" s="2628"/>
      <c r="D18" s="2665">
        <f>ROUND(D6*E18,0)</f>
        <v>0</v>
      </c>
      <c r="E18" s="2666"/>
      <c r="F18" s="2667" t="s">
        <v>2388</v>
      </c>
      <c r="G18" s="2624"/>
      <c r="H18" s="2599"/>
      <c r="I18" s="2600"/>
      <c r="J18" s="3342"/>
      <c r="K18" s="3344"/>
      <c r="L18" s="2634" t="s">
        <v>2389</v>
      </c>
      <c r="M18" s="2635"/>
      <c r="N18" s="2635"/>
      <c r="O18" s="2636"/>
      <c r="P18" s="2637">
        <v>365</v>
      </c>
      <c r="Q18" s="2611"/>
      <c r="R18" s="2658">
        <f>ROUND(M18*N18*O18*P18/10000,0)</f>
        <v>0</v>
      </c>
      <c r="S18" s="2592"/>
      <c r="T18" s="2592"/>
      <c r="U18" s="2592"/>
      <c r="V18" s="2600"/>
    </row>
    <row r="19" spans="1:22" s="2604" customFormat="1" ht="13.2" customHeight="1" thickBot="1">
      <c r="A19" s="2668" t="s">
        <v>2390</v>
      </c>
      <c r="B19" s="2622"/>
      <c r="C19" s="2622"/>
      <c r="D19" s="2622"/>
      <c r="E19" s="2622"/>
      <c r="F19" s="2623"/>
      <c r="G19" s="2643"/>
      <c r="H19" s="2599"/>
      <c r="I19" s="2600"/>
      <c r="J19" s="3342"/>
      <c r="K19" s="3345"/>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342">
        <v>3</v>
      </c>
      <c r="K20" s="3343"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2" customHeight="1">
      <c r="A21" s="2627"/>
      <c r="B21" s="2628"/>
      <c r="C21" s="2673" t="s">
        <v>2399</v>
      </c>
      <c r="D21" s="2674" t="s">
        <v>2400</v>
      </c>
      <c r="E21" s="2675" t="s">
        <v>2401</v>
      </c>
      <c r="F21" s="2671"/>
      <c r="G21" s="2643"/>
      <c r="H21" s="2599"/>
      <c r="I21" s="2600"/>
      <c r="J21" s="3342"/>
      <c r="K21" s="3344"/>
      <c r="L21" s="2634" t="s">
        <v>2402</v>
      </c>
      <c r="M21" s="2635"/>
      <c r="N21" s="2635"/>
      <c r="O21" s="2636"/>
      <c r="P21" s="2637">
        <v>365</v>
      </c>
      <c r="Q21" s="2611"/>
      <c r="R21" s="2676">
        <f>ROUND(M21*N21*O21*P21/10000,0)</f>
        <v>0</v>
      </c>
      <c r="S21" s="2592"/>
      <c r="T21" s="2592"/>
      <c r="U21" s="2592"/>
      <c r="V21" s="2600"/>
    </row>
    <row r="22" spans="1:22" s="2604" customFormat="1" ht="13.2" customHeight="1">
      <c r="A22" s="2627"/>
      <c r="B22" s="2628"/>
      <c r="C22" s="2677" t="s">
        <v>2403</v>
      </c>
      <c r="D22" s="2678" t="s">
        <v>2404</v>
      </c>
      <c r="E22" s="2679" t="s">
        <v>2405</v>
      </c>
      <c r="F22" s="2671"/>
      <c r="G22" s="2592"/>
      <c r="H22" s="2599"/>
      <c r="I22" s="2600"/>
      <c r="J22" s="3342"/>
      <c r="K22" s="3344"/>
      <c r="L22" s="2634" t="s">
        <v>2406</v>
      </c>
      <c r="M22" s="2635"/>
      <c r="N22" s="2635"/>
      <c r="O22" s="2636"/>
      <c r="P22" s="2637">
        <v>365</v>
      </c>
      <c r="Q22" s="2611"/>
      <c r="R22" s="2676">
        <f>ROUND(M22*N22*O22*P22/10000,0)</f>
        <v>0</v>
      </c>
      <c r="S22" s="2592"/>
      <c r="T22" s="2592"/>
      <c r="U22" s="2592"/>
      <c r="V22" s="2600"/>
    </row>
    <row r="23" spans="1:22" s="2604" customFormat="1" ht="13.2" customHeight="1">
      <c r="A23" s="2680">
        <v>1</v>
      </c>
      <c r="B23" s="2681" t="s">
        <v>2407</v>
      </c>
      <c r="C23" s="2682">
        <f>D6</f>
        <v>0</v>
      </c>
      <c r="D23" s="2683">
        <f>C23*(1+D24)</f>
        <v>0</v>
      </c>
      <c r="E23" s="2684">
        <f>D23*(1+E24)</f>
        <v>0</v>
      </c>
      <c r="F23" s="2685"/>
      <c r="G23" s="2686"/>
      <c r="H23" s="2599"/>
      <c r="I23" s="2600"/>
      <c r="J23" s="3342"/>
      <c r="K23" s="3344"/>
      <c r="L23" s="2634" t="s">
        <v>2408</v>
      </c>
      <c r="M23" s="2635"/>
      <c r="N23" s="2635"/>
      <c r="O23" s="2636"/>
      <c r="P23" s="2637">
        <v>365</v>
      </c>
      <c r="Q23" s="2611"/>
      <c r="R23" s="2676">
        <f>ROUND(M23*N23*O23*P23/10000,0)</f>
        <v>0</v>
      </c>
      <c r="S23" s="2592"/>
      <c r="T23" s="2592"/>
      <c r="U23" s="2592"/>
      <c r="V23" s="2600"/>
    </row>
    <row r="24" spans="1:22" s="2604" customFormat="1" ht="13.2" customHeight="1">
      <c r="A24" s="2687"/>
      <c r="B24" s="2688" t="s">
        <v>2409</v>
      </c>
      <c r="C24" s="2689"/>
      <c r="D24" s="2690"/>
      <c r="E24" s="2691"/>
      <c r="F24" s="2692"/>
      <c r="G24" s="2686"/>
      <c r="H24" s="2599"/>
      <c r="I24" s="2600"/>
      <c r="J24" s="3342"/>
      <c r="K24" s="3345"/>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2" customHeight="1">
      <c r="A26" s="2680">
        <v>2</v>
      </c>
      <c r="B26" s="2681" t="s">
        <v>2411</v>
      </c>
      <c r="C26" s="2682">
        <f>D7</f>
        <v>0</v>
      </c>
      <c r="D26" s="2683">
        <f>D23*D27</f>
        <v>0</v>
      </c>
      <c r="E26" s="2684">
        <f>E23*E27</f>
        <v>0</v>
      </c>
      <c r="F26" s="2685"/>
      <c r="G26" s="2686"/>
      <c r="H26" s="2599"/>
      <c r="I26" s="2600"/>
      <c r="J26" s="3346">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2" customHeight="1">
      <c r="A27" s="2687"/>
      <c r="B27" s="2688" t="s">
        <v>2417</v>
      </c>
      <c r="C27" s="2705" t="e">
        <f>E7</f>
        <v>#DIV/0!</v>
      </c>
      <c r="D27" s="2690"/>
      <c r="E27" s="2691"/>
      <c r="F27" s="2692"/>
      <c r="G27" s="2686"/>
      <c r="H27" s="2706"/>
      <c r="I27" s="2698"/>
      <c r="J27" s="3347"/>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2"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2" customHeight="1">
      <c r="A32" s="2680">
        <v>4</v>
      </c>
      <c r="B32" s="2681" t="s">
        <v>2425</v>
      </c>
      <c r="C32" s="2682">
        <f>C23-C26-C29</f>
        <v>0</v>
      </c>
      <c r="D32" s="2683">
        <f>D23-D26-D29</f>
        <v>0</v>
      </c>
      <c r="E32" s="2684">
        <f>E23-E26-E29</f>
        <v>0</v>
      </c>
      <c r="F32" s="2685"/>
      <c r="G32" s="2592"/>
      <c r="H32" s="2599"/>
      <c r="I32" s="2600"/>
      <c r="J32" s="3348" t="s">
        <v>2317</v>
      </c>
      <c r="K32" s="3349"/>
      <c r="L32" s="2601" t="s">
        <v>2318</v>
      </c>
      <c r="M32" s="2601" t="s">
        <v>2319</v>
      </c>
      <c r="N32" s="2601" t="s">
        <v>2320</v>
      </c>
      <c r="O32" s="2601" t="s">
        <v>2321</v>
      </c>
      <c r="P32" s="2601" t="s">
        <v>2322</v>
      </c>
      <c r="Q32" s="2602" t="s">
        <v>2323</v>
      </c>
      <c r="R32" s="2721" t="s">
        <v>2324</v>
      </c>
      <c r="S32" s="2592"/>
      <c r="T32" s="2592"/>
      <c r="U32" s="2592"/>
      <c r="V32" s="2698"/>
    </row>
    <row r="33" spans="1:23" s="2604" customFormat="1" ht="13.2" customHeight="1">
      <c r="A33" s="2680"/>
      <c r="B33" s="2681"/>
      <c r="C33" s="2682"/>
      <c r="D33" s="2722"/>
      <c r="E33" s="2723"/>
      <c r="F33" s="2685"/>
      <c r="G33" s="2592"/>
      <c r="H33" s="2706"/>
      <c r="I33" s="2698"/>
      <c r="J33" s="3350" t="s">
        <v>2327</v>
      </c>
      <c r="K33" s="3351"/>
      <c r="L33" s="2607"/>
      <c r="M33" s="2607"/>
      <c r="N33" s="2607"/>
      <c r="O33" s="2607"/>
      <c r="P33" s="2607"/>
      <c r="Q33" s="2608"/>
      <c r="R33" s="2724">
        <f>SUM(L33:Q33)</f>
        <v>0</v>
      </c>
      <c r="S33" s="2592"/>
      <c r="T33" s="2592"/>
      <c r="U33" s="2592"/>
      <c r="V33" s="2600"/>
    </row>
    <row r="34" spans="1:23" s="2604" customFormat="1" ht="13.2" customHeight="1">
      <c r="A34" s="2680">
        <v>5</v>
      </c>
      <c r="B34" s="2681" t="s">
        <v>2426</v>
      </c>
      <c r="C34" s="2725"/>
      <c r="D34" s="2726"/>
      <c r="E34" s="2727"/>
      <c r="F34" s="2685"/>
      <c r="G34" s="2592"/>
      <c r="H34" s="2706"/>
      <c r="I34" s="2698"/>
      <c r="J34" s="3350" t="s">
        <v>2329</v>
      </c>
      <c r="K34" s="3351"/>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2" customHeight="1" thickBot="1">
      <c r="A36" s="2680">
        <v>7</v>
      </c>
      <c r="B36" s="2734" t="s">
        <v>2428</v>
      </c>
      <c r="C36" s="2735"/>
      <c r="D36" s="2736"/>
      <c r="E36" s="2737"/>
      <c r="F36" s="2738">
        <f>C36+D36+E36</f>
        <v>0</v>
      </c>
      <c r="G36" s="2592"/>
      <c r="H36" s="2599"/>
      <c r="I36" s="2600"/>
      <c r="J36" s="3342">
        <v>1</v>
      </c>
      <c r="K36" s="3343" t="s">
        <v>2429</v>
      </c>
      <c r="L36" s="2625"/>
      <c r="M36" s="2626"/>
      <c r="N36" s="2626"/>
      <c r="O36" s="2626"/>
      <c r="P36" s="2626"/>
      <c r="Q36" s="2626"/>
      <c r="R36" s="2609" t="s">
        <v>2341</v>
      </c>
      <c r="S36" s="2592"/>
      <c r="T36" s="2592" t="s">
        <v>2342</v>
      </c>
      <c r="U36" s="2592"/>
      <c r="V36" s="2600"/>
    </row>
    <row r="37" spans="1:23" s="2604" customFormat="1" ht="13.2" customHeight="1">
      <c r="A37" s="2680"/>
      <c r="B37" s="2681"/>
      <c r="C37" s="2681"/>
      <c r="D37" s="2681"/>
      <c r="E37" s="2681"/>
      <c r="F37" s="2685"/>
      <c r="G37" s="2592"/>
      <c r="H37" s="2599"/>
      <c r="I37" s="2600"/>
      <c r="J37" s="3342"/>
      <c r="K37" s="3344"/>
      <c r="L37" s="2634"/>
      <c r="M37" s="2635"/>
      <c r="N37" s="2611"/>
      <c r="O37" s="2636"/>
      <c r="P37" s="2636"/>
      <c r="Q37" s="2637"/>
      <c r="R37" s="2638"/>
      <c r="S37" s="2592"/>
      <c r="T37" s="2592" t="s">
        <v>2345</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342"/>
      <c r="K38" s="3344"/>
      <c r="L38" s="2634"/>
      <c r="M38" s="2635"/>
      <c r="N38" s="2611"/>
      <c r="O38" s="2636"/>
      <c r="P38" s="2636"/>
      <c r="Q38" s="2637"/>
      <c r="R38" s="2638"/>
      <c r="S38" s="2592"/>
      <c r="T38" s="2592" t="s">
        <v>2352</v>
      </c>
      <c r="U38" s="2592"/>
      <c r="V38" s="2600"/>
    </row>
    <row r="39" spans="1:23" s="2604" customFormat="1" ht="13.2" customHeight="1">
      <c r="A39" s="2680">
        <v>9</v>
      </c>
      <c r="B39" s="2681" t="s">
        <v>2430</v>
      </c>
      <c r="C39" s="2648" t="e">
        <f>C38</f>
        <v>#DIV/0!</v>
      </c>
      <c r="D39" s="2681">
        <f>D38/(1+D34)^C36</f>
        <v>0</v>
      </c>
      <c r="E39" s="2681">
        <f>E38/(1+E34)^(C36+D36)</f>
        <v>0</v>
      </c>
      <c r="F39" s="2685"/>
      <c r="G39" s="2600"/>
      <c r="H39" s="2599"/>
      <c r="I39" s="2600"/>
      <c r="J39" s="3342"/>
      <c r="K39" s="3344"/>
      <c r="L39" s="2634"/>
      <c r="M39" s="2635"/>
      <c r="N39" s="2611"/>
      <c r="O39" s="2636"/>
      <c r="P39" s="2636"/>
      <c r="Q39" s="2637"/>
      <c r="R39" s="2638"/>
      <c r="S39" s="2592"/>
      <c r="T39" s="2592"/>
      <c r="U39" s="2592"/>
      <c r="V39" s="2600"/>
    </row>
    <row r="40" spans="1:23" s="2604" customFormat="1" ht="13.2" customHeight="1">
      <c r="A40" s="2739">
        <v>10</v>
      </c>
      <c r="B40" s="2681" t="s">
        <v>2431</v>
      </c>
      <c r="C40" s="2740" t="e">
        <f>C39+D39+E39</f>
        <v>#DIV/0!</v>
      </c>
      <c r="D40" s="2741"/>
      <c r="E40" s="2741"/>
      <c r="F40" s="2742"/>
      <c r="G40" s="2592"/>
      <c r="H40" s="2599"/>
      <c r="I40" s="2600"/>
      <c r="J40" s="3342"/>
      <c r="K40" s="3345"/>
      <c r="L40" s="2654" t="s">
        <v>2370</v>
      </c>
      <c r="M40" s="2655"/>
      <c r="N40" s="2655"/>
      <c r="O40" s="2656"/>
      <c r="P40" s="2656"/>
      <c r="Q40" s="2657"/>
      <c r="R40" s="2603">
        <f>SUM(R37:R39)</f>
        <v>0</v>
      </c>
      <c r="S40" s="2592"/>
      <c r="T40" s="2592"/>
      <c r="U40" s="2592"/>
      <c r="V40" s="2600"/>
    </row>
    <row r="41" spans="1:23" s="2604" customFormat="1" ht="13.2"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2" customHeight="1">
      <c r="G42" s="2599"/>
      <c r="H42" s="2599"/>
      <c r="I42" s="2600"/>
      <c r="J42" s="3346">
        <v>3</v>
      </c>
      <c r="K42" s="2700" t="s">
        <v>2412</v>
      </c>
      <c r="L42" s="2701"/>
      <c r="M42" s="2702"/>
      <c r="N42" s="2703" t="s">
        <v>2413</v>
      </c>
      <c r="O42" s="2703" t="s">
        <v>2414</v>
      </c>
      <c r="P42" s="2704" t="s">
        <v>2415</v>
      </c>
      <c r="Q42" s="2704" t="s">
        <v>2416</v>
      </c>
      <c r="R42" s="2609" t="s">
        <v>2341</v>
      </c>
      <c r="S42" s="2643"/>
      <c r="T42" s="2643"/>
      <c r="U42" s="2592"/>
      <c r="V42" s="2600"/>
    </row>
    <row r="43" spans="1:23" ht="13.2" customHeight="1">
      <c r="A43" s="2604"/>
      <c r="B43" s="2604"/>
      <c r="C43" s="2604"/>
      <c r="D43" s="2604"/>
      <c r="E43" s="2604"/>
      <c r="F43" s="2604"/>
      <c r="I43" s="2587"/>
      <c r="J43" s="3347"/>
      <c r="K43" s="2707"/>
      <c r="L43" s="2708"/>
      <c r="M43" s="2709"/>
      <c r="N43" s="2635"/>
      <c r="O43" s="2635"/>
      <c r="P43" s="2635"/>
      <c r="Q43" s="2697"/>
      <c r="R43" s="2670">
        <f>ROUND(O43*N43*P43*(1-Q43)/10000,0)</f>
        <v>0</v>
      </c>
      <c r="S43" s="2592"/>
      <c r="T43" s="2592"/>
      <c r="V43" s="2747"/>
      <c r="W43" s="2748"/>
    </row>
    <row r="44" spans="1:23" ht="13.2"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9"/>
      <c r="G1" s="459"/>
      <c r="H1" s="459"/>
      <c r="I1" s="459"/>
      <c r="J1" s="459"/>
      <c r="K1" s="459"/>
      <c r="L1" s="459"/>
      <c r="M1" s="459"/>
      <c r="N1" s="459"/>
      <c r="O1" s="459"/>
      <c r="P1" s="459"/>
      <c r="Q1" s="459"/>
      <c r="R1" s="459"/>
      <c r="S1" s="459"/>
    </row>
    <row r="2" spans="1:22" ht="15.6">
      <c r="A2" s="1728" t="s">
        <v>1462</v>
      </c>
      <c r="B2" s="811">
        <f ca="1">SUMIF(B6:B13,"&lt;&gt;#ref!",B6:B13)</f>
        <v>99.476399999999998</v>
      </c>
      <c r="C2" s="1729" t="s">
        <v>1651</v>
      </c>
      <c r="D2" s="1730" t="s">
        <v>1652</v>
      </c>
      <c r="E2" s="2393">
        <f>SUM(E6:E13)</f>
        <v>71.03</v>
      </c>
      <c r="F2" s="2479"/>
      <c r="G2" s="459"/>
      <c r="H2" s="459"/>
      <c r="I2" s="459"/>
      <c r="J2" s="459"/>
      <c r="K2" s="459"/>
      <c r="L2" s="459"/>
      <c r="M2" s="459"/>
      <c r="N2" s="459"/>
      <c r="O2" s="459"/>
      <c r="P2" s="459"/>
      <c r="Q2" s="459"/>
      <c r="R2" s="459"/>
      <c r="S2" s="459"/>
    </row>
    <row r="3" spans="1:22" ht="15.6">
      <c r="A3" s="1728" t="s">
        <v>686</v>
      </c>
      <c r="B3" s="2387">
        <f ca="1">ROUND(B2*10000/E2,0)</f>
        <v>14005</v>
      </c>
      <c r="C3" s="1729" t="s">
        <v>1659</v>
      </c>
      <c r="D3" s="2479"/>
      <c r="E3" s="2482"/>
      <c r="F3" s="2479"/>
      <c r="G3" s="459"/>
      <c r="H3" s="459"/>
      <c r="I3" s="459"/>
      <c r="J3" s="459"/>
      <c r="K3" s="459"/>
      <c r="L3" s="459"/>
      <c r="M3" s="459"/>
      <c r="N3" s="459"/>
      <c r="O3" s="459"/>
      <c r="P3" s="459"/>
      <c r="Q3" s="459"/>
      <c r="R3" s="459"/>
      <c r="S3" s="459"/>
    </row>
    <row r="4" spans="1:22" ht="15.6">
      <c r="A4" s="2483"/>
      <c r="B4" s="2479"/>
      <c r="C4" s="2479"/>
      <c r="D4" s="2479"/>
      <c r="E4" s="2482"/>
      <c r="F4" s="2479"/>
      <c r="G4" s="459"/>
      <c r="H4" s="459"/>
      <c r="I4" s="459"/>
      <c r="J4" s="459"/>
      <c r="K4" s="459"/>
      <c r="L4" s="459"/>
      <c r="M4" s="459"/>
      <c r="N4" s="459"/>
      <c r="O4" s="459"/>
      <c r="P4" s="459"/>
      <c r="Q4" s="459"/>
      <c r="R4" s="459"/>
      <c r="S4" s="459"/>
    </row>
    <row r="5" spans="1:22" ht="14.4">
      <c r="A5" s="2389" t="s">
        <v>1653</v>
      </c>
      <c r="B5" s="3361" t="s">
        <v>1654</v>
      </c>
      <c r="C5" s="3362"/>
      <c r="D5" s="2480"/>
      <c r="E5" s="1731" t="s">
        <v>1655</v>
      </c>
      <c r="F5" s="129" t="s">
        <v>1656</v>
      </c>
      <c r="G5" s="459"/>
      <c r="H5" s="459"/>
      <c r="I5" s="459"/>
      <c r="J5" s="459"/>
      <c r="K5" s="459"/>
      <c r="L5" s="459"/>
      <c r="M5" s="459"/>
      <c r="N5" s="459"/>
      <c r="O5" s="459"/>
      <c r="P5" s="459"/>
      <c r="Q5" s="459"/>
      <c r="R5" s="459"/>
      <c r="S5" s="459"/>
    </row>
    <row r="6" spans="1:22" ht="14.4">
      <c r="A6" s="2390" t="str">
        <f>'数据-取费表'!AN6</f>
        <v>收益法 (元)</v>
      </c>
      <c r="B6" s="2388">
        <f ca="1">IF(F6="是",'数据-取费表'!AO6,0)</f>
        <v>99.476399999999998</v>
      </c>
      <c r="C6" s="1729" t="s">
        <v>1651</v>
      </c>
      <c r="D6" s="2479"/>
      <c r="E6" s="2392">
        <f>IF(OR(A6=0,F6="否"),0,'数据-取费表'!K6+'数据-取费表'!S6)</f>
        <v>71.03</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79"/>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79"/>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79"/>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79"/>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79"/>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79"/>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1"/>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受贵公司委托，我公司对北京市通州区运河园路9号院3号楼16层1606房地产抵押价值进行了预评估。</v>
      </c>
    </row>
    <row r="5" spans="1:1" ht="17.399999999999999">
      <c r="A5" s="1383" t="s">
        <v>899</v>
      </c>
    </row>
    <row r="6" spans="1:1" ht="17.399999999999999">
      <c r="A6" s="1384" t="s">
        <v>900</v>
      </c>
    </row>
    <row r="7" spans="1:1" ht="17.399999999999999">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估价对象为北京市通州区运河园路9号院3号楼16层1606房地产，为所有。根据《国有土地使用证》[]，估价对象（分摊）出让国有建设用地使用权面积为0平方米，建筑面积为71.03平方米。</v>
      </c>
    </row>
    <row r="8" spans="1:1" ht="54.6">
      <c r="A8" s="1385" t="s">
        <v>901</v>
      </c>
    </row>
    <row r="9" spans="1:1" ht="17.399999999999999">
      <c r="A9" s="1384" t="s">
        <v>902</v>
      </c>
    </row>
    <row r="10" spans="1:1" ht="17.399999999999999">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运河园路9号院3号楼16层1606房地产,属开发建设的办公项目，该项目尚在开发建设中。根据《国有土地使用证》[]，估价对象（分摊）出让国有建设用地使用权面积为0平方米，规划建筑面积为71.03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通州区运河园路9号院3号楼16层1606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2025年1月7日（评估专业人员实地查勘之日）</v>
      </c>
    </row>
    <row r="16" spans="1:1" ht="17.399999999999999">
      <c r="A16" s="1381" t="s">
        <v>906</v>
      </c>
    </row>
    <row r="17" spans="1:1" ht="69.599999999999994">
      <c r="A17" s="1382" t="s">
        <v>907</v>
      </c>
    </row>
    <row r="18" spans="1:1" ht="52.2">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7日，估价对象规划用途为办公，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71.03</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4.4">
      <c r="A4" s="345" t="s">
        <v>1666</v>
      </c>
      <c r="B4" s="346"/>
      <c r="C4" s="3381" t="s">
        <v>1667</v>
      </c>
      <c r="D4" s="3382"/>
      <c r="E4" s="3383" t="s">
        <v>1668</v>
      </c>
      <c r="F4" s="3384"/>
      <c r="G4" s="3381" t="s">
        <v>1669</v>
      </c>
      <c r="H4" s="3382"/>
      <c r="I4" s="3381" t="s">
        <v>1670</v>
      </c>
      <c r="J4" s="3382"/>
      <c r="K4" s="1744" t="s">
        <v>1671</v>
      </c>
      <c r="L4" s="2486"/>
      <c r="M4" s="2487"/>
      <c r="N4" s="2487"/>
      <c r="O4" s="2487"/>
      <c r="P4" s="3385" t="s">
        <v>1672</v>
      </c>
      <c r="Q4" s="3386"/>
      <c r="R4" s="3391" t="s">
        <v>1668</v>
      </c>
      <c r="S4" s="3392"/>
      <c r="T4" s="3391" t="s">
        <v>1669</v>
      </c>
      <c r="U4" s="3392"/>
      <c r="V4" s="3367" t="s">
        <v>1670</v>
      </c>
      <c r="W4" s="3367"/>
      <c r="X4" s="1265"/>
      <c r="Y4" s="3391" t="s">
        <v>1672</v>
      </c>
      <c r="Z4" s="3392"/>
      <c r="AA4" s="3378" t="s">
        <v>1668</v>
      </c>
      <c r="AB4" s="3378" t="s">
        <v>1669</v>
      </c>
      <c r="AC4" s="3378" t="s">
        <v>1670</v>
      </c>
    </row>
    <row r="5" spans="1:29">
      <c r="A5" s="348"/>
      <c r="B5" s="349"/>
      <c r="C5" s="3399" t="s">
        <v>1673</v>
      </c>
      <c r="D5" s="3400"/>
      <c r="E5" s="3406" t="s">
        <v>1674</v>
      </c>
      <c r="F5" s="3407"/>
      <c r="G5" s="3399" t="s">
        <v>1675</v>
      </c>
      <c r="H5" s="3400"/>
      <c r="I5" s="3399" t="s">
        <v>1676</v>
      </c>
      <c r="J5" s="3400"/>
      <c r="K5" s="1745"/>
      <c r="L5" s="2486"/>
      <c r="M5" s="2487"/>
      <c r="N5" s="2487"/>
      <c r="O5" s="2487"/>
      <c r="P5" s="3387"/>
      <c r="Q5" s="3388"/>
      <c r="R5" s="3393"/>
      <c r="S5" s="3394"/>
      <c r="T5" s="3393"/>
      <c r="U5" s="3394"/>
      <c r="V5" s="3367"/>
      <c r="W5" s="3367"/>
      <c r="X5" s="1265"/>
      <c r="Y5" s="3393"/>
      <c r="Z5" s="3394"/>
      <c r="AA5" s="3379"/>
      <c r="AB5" s="3379"/>
      <c r="AC5" s="3379"/>
    </row>
    <row r="6" spans="1:29" ht="15" thickBot="1">
      <c r="A6" s="350"/>
      <c r="B6" s="351"/>
      <c r="C6" s="3397" t="s">
        <v>1677</v>
      </c>
      <c r="D6" s="3398"/>
      <c r="E6" s="3404" t="s">
        <v>1677</v>
      </c>
      <c r="F6" s="3405"/>
      <c r="G6" s="3397" t="s">
        <v>1677</v>
      </c>
      <c r="H6" s="3398"/>
      <c r="I6" s="3397" t="s">
        <v>1677</v>
      </c>
      <c r="J6" s="3398"/>
      <c r="K6" s="1745" t="s">
        <v>1678</v>
      </c>
      <c r="L6" s="2486"/>
      <c r="M6" s="2487"/>
      <c r="N6" s="2487"/>
      <c r="O6" s="2487"/>
      <c r="P6" s="3389"/>
      <c r="Q6" s="3390"/>
      <c r="R6" s="3393"/>
      <c r="S6" s="3394"/>
      <c r="T6" s="3395"/>
      <c r="U6" s="3396"/>
      <c r="V6" s="3367"/>
      <c r="W6" s="3367"/>
      <c r="X6" s="1265"/>
      <c r="Y6" s="3395"/>
      <c r="Z6" s="3396"/>
      <c r="AA6" s="3380"/>
      <c r="AB6" s="3380"/>
      <c r="AC6" s="3380"/>
    </row>
    <row r="7" spans="1:29" s="102" customFormat="1" ht="15" thickBot="1">
      <c r="A7" s="352" t="s">
        <v>1679</v>
      </c>
      <c r="B7" s="353"/>
      <c r="C7" s="354">
        <f>'数据-取费表'!B2</f>
        <v>45664</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401" t="s">
        <v>1680</v>
      </c>
      <c r="Q7" s="3403"/>
      <c r="R7" s="664" t="s">
        <v>20</v>
      </c>
      <c r="S7" s="665">
        <f t="shared" ref="S7:S15" si="0">F7</f>
        <v>0</v>
      </c>
      <c r="T7" s="664" t="s">
        <v>20</v>
      </c>
      <c r="U7" s="665">
        <f t="shared" ref="U7:U15" si="1">H7</f>
        <v>0</v>
      </c>
      <c r="V7" s="664" t="s">
        <v>20</v>
      </c>
      <c r="W7" s="665">
        <f t="shared" ref="W7:W15" si="2">J7</f>
        <v>0</v>
      </c>
      <c r="X7" s="666"/>
      <c r="Y7" s="3401" t="s">
        <v>1680</v>
      </c>
      <c r="Z7" s="3402"/>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401" t="s">
        <v>1683</v>
      </c>
      <c r="Q8" s="3402"/>
      <c r="R8" s="664" t="s">
        <v>20</v>
      </c>
      <c r="S8" s="665">
        <f t="shared" si="0"/>
        <v>100</v>
      </c>
      <c r="T8" s="664" t="s">
        <v>20</v>
      </c>
      <c r="U8" s="665">
        <f t="shared" si="1"/>
        <v>100</v>
      </c>
      <c r="V8" s="664" t="s">
        <v>20</v>
      </c>
      <c r="W8" s="665">
        <f t="shared" si="2"/>
        <v>100</v>
      </c>
      <c r="X8" s="666"/>
      <c r="Y8" s="3401" t="s">
        <v>1683</v>
      </c>
      <c r="Z8" s="3402"/>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377"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77"/>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77"/>
      <c r="Q11" s="530" t="str">
        <f t="shared" si="6"/>
        <v>容积率</v>
      </c>
      <c r="R11" s="664" t="s">
        <v>18</v>
      </c>
      <c r="S11" s="665" t="e">
        <f t="shared" si="0"/>
        <v>#N/A</v>
      </c>
      <c r="T11" s="664" t="s">
        <v>18</v>
      </c>
      <c r="U11" s="665" t="e">
        <f t="shared" si="1"/>
        <v>#N/A</v>
      </c>
      <c r="V11" s="664" t="s">
        <v>18</v>
      </c>
      <c r="W11" s="665" t="e">
        <f t="shared" si="2"/>
        <v>#N/A</v>
      </c>
      <c r="X11" s="666"/>
      <c r="Y11" s="324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377"/>
      <c r="Q12" s="530">
        <f t="shared" si="6"/>
        <v>111</v>
      </c>
      <c r="R12" s="664" t="s">
        <v>18</v>
      </c>
      <c r="S12" s="665">
        <f t="shared" si="0"/>
        <v>100</v>
      </c>
      <c r="T12" s="664" t="s">
        <v>18</v>
      </c>
      <c r="U12" s="665">
        <f t="shared" si="1"/>
        <v>100</v>
      </c>
      <c r="V12" s="664" t="s">
        <v>18</v>
      </c>
      <c r="W12" s="665">
        <f t="shared" si="2"/>
        <v>100</v>
      </c>
      <c r="X12" s="666"/>
      <c r="Y12" s="324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77"/>
      <c r="Q13" s="530">
        <f t="shared" si="6"/>
        <v>111</v>
      </c>
      <c r="R13" s="664" t="s">
        <v>18</v>
      </c>
      <c r="S13" s="665">
        <f t="shared" si="0"/>
        <v>100</v>
      </c>
      <c r="T13" s="664" t="s">
        <v>18</v>
      </c>
      <c r="U13" s="665">
        <f t="shared" si="1"/>
        <v>100</v>
      </c>
      <c r="V13" s="664" t="s">
        <v>18</v>
      </c>
      <c r="W13" s="665">
        <f t="shared" si="2"/>
        <v>100</v>
      </c>
      <c r="X13" s="666"/>
      <c r="Y13" s="3241"/>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77"/>
      <c r="Q14" s="530">
        <f t="shared" si="6"/>
        <v>111</v>
      </c>
      <c r="R14" s="664" t="s">
        <v>18</v>
      </c>
      <c r="S14" s="665">
        <f t="shared" si="0"/>
        <v>100</v>
      </c>
      <c r="T14" s="664" t="s">
        <v>18</v>
      </c>
      <c r="U14" s="665">
        <f t="shared" si="1"/>
        <v>100</v>
      </c>
      <c r="V14" s="664" t="s">
        <v>18</v>
      </c>
      <c r="W14" s="665">
        <f t="shared" si="2"/>
        <v>100</v>
      </c>
      <c r="X14" s="666"/>
      <c r="Y14" s="3241"/>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75" t="s">
        <v>1691</v>
      </c>
      <c r="Q15" s="1263" t="str">
        <f t="shared" si="6"/>
        <v>居住社区成熟度</v>
      </c>
      <c r="R15" s="667" t="s">
        <v>18</v>
      </c>
      <c r="S15" s="668">
        <f t="shared" si="0"/>
        <v>100</v>
      </c>
      <c r="T15" s="667" t="s">
        <v>18</v>
      </c>
      <c r="U15" s="668">
        <f t="shared" si="1"/>
        <v>100</v>
      </c>
      <c r="V15" s="667" t="s">
        <v>18</v>
      </c>
      <c r="W15" s="668">
        <f t="shared" si="2"/>
        <v>100</v>
      </c>
      <c r="X15" s="1265"/>
      <c r="Y15" s="336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376"/>
      <c r="Q16" s="1263"/>
      <c r="R16" s="667"/>
      <c r="S16" s="668"/>
      <c r="T16" s="667"/>
      <c r="U16" s="668"/>
      <c r="V16" s="667"/>
      <c r="W16" s="668"/>
      <c r="X16" s="1265"/>
      <c r="Y16" s="3369"/>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76"/>
      <c r="Q17" s="1263" t="str">
        <f>B17</f>
        <v>交通便捷度</v>
      </c>
      <c r="R17" s="667" t="s">
        <v>18</v>
      </c>
      <c r="S17" s="668">
        <f>F17</f>
        <v>100</v>
      </c>
      <c r="T17" s="667" t="s">
        <v>18</v>
      </c>
      <c r="U17" s="668">
        <f>H17</f>
        <v>100</v>
      </c>
      <c r="V17" s="667" t="s">
        <v>18</v>
      </c>
      <c r="W17" s="668">
        <f>J17</f>
        <v>100</v>
      </c>
      <c r="X17" s="1265"/>
      <c r="Y17" s="336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376"/>
      <c r="Q18" s="1263"/>
      <c r="R18" s="667"/>
      <c r="S18" s="668"/>
      <c r="T18" s="667"/>
      <c r="U18" s="668"/>
      <c r="V18" s="667"/>
      <c r="W18" s="668"/>
      <c r="X18" s="1265"/>
      <c r="Y18" s="3369"/>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76"/>
      <c r="Q19" s="1263" t="str">
        <f>B19</f>
        <v>公共配套设施</v>
      </c>
      <c r="R19" s="667" t="s">
        <v>18</v>
      </c>
      <c r="S19" s="668">
        <f>F19</f>
        <v>100</v>
      </c>
      <c r="T19" s="667" t="s">
        <v>18</v>
      </c>
      <c r="U19" s="668">
        <f>H19</f>
        <v>100</v>
      </c>
      <c r="V19" s="667" t="s">
        <v>18</v>
      </c>
      <c r="W19" s="668">
        <f>J19</f>
        <v>100</v>
      </c>
      <c r="X19" s="1265"/>
      <c r="Y19" s="336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376"/>
      <c r="Q20" s="1263"/>
      <c r="R20" s="667"/>
      <c r="S20" s="668"/>
      <c r="T20" s="667"/>
      <c r="U20" s="668"/>
      <c r="V20" s="667"/>
      <c r="W20" s="668"/>
      <c r="X20" s="1265"/>
      <c r="Y20" s="3369"/>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76"/>
      <c r="Q21" s="1263" t="str">
        <f>B21</f>
        <v>基础设施水平</v>
      </c>
      <c r="R21" s="667" t="s">
        <v>14</v>
      </c>
      <c r="S21" s="668">
        <f>F21</f>
        <v>100</v>
      </c>
      <c r="T21" s="667" t="s">
        <v>14</v>
      </c>
      <c r="U21" s="668">
        <f>H21</f>
        <v>100</v>
      </c>
      <c r="V21" s="667" t="s">
        <v>14</v>
      </c>
      <c r="W21" s="668">
        <f>J21</f>
        <v>100</v>
      </c>
      <c r="X21" s="1265"/>
      <c r="Y21" s="336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376"/>
      <c r="Q22" s="1263"/>
      <c r="R22" s="667"/>
      <c r="S22" s="668"/>
      <c r="T22" s="667"/>
      <c r="U22" s="668"/>
      <c r="V22" s="667"/>
      <c r="W22" s="668"/>
      <c r="X22" s="1265"/>
      <c r="Y22" s="3369"/>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76"/>
      <c r="Q23" s="1263" t="str">
        <f>B23</f>
        <v>自然及人文环境</v>
      </c>
      <c r="R23" s="667" t="s">
        <v>18</v>
      </c>
      <c r="S23" s="668">
        <f>F23</f>
        <v>100</v>
      </c>
      <c r="T23" s="667" t="s">
        <v>18</v>
      </c>
      <c r="U23" s="668">
        <f>H23</f>
        <v>100</v>
      </c>
      <c r="V23" s="667" t="s">
        <v>18</v>
      </c>
      <c r="W23" s="668">
        <f>J23</f>
        <v>100</v>
      </c>
      <c r="X23" s="1265"/>
      <c r="Y23" s="336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376"/>
      <c r="Q24" s="1263"/>
      <c r="R24" s="667"/>
      <c r="S24" s="668"/>
      <c r="T24" s="667"/>
      <c r="U24" s="668"/>
      <c r="V24" s="667"/>
      <c r="W24" s="668"/>
      <c r="X24" s="1265"/>
      <c r="Y24" s="336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37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6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376"/>
      <c r="Q26" s="1263" t="str">
        <f t="shared" si="11"/>
        <v>朝向</v>
      </c>
      <c r="R26" s="667" t="s">
        <v>18</v>
      </c>
      <c r="S26" s="668">
        <f t="shared" si="12"/>
        <v>100</v>
      </c>
      <c r="T26" s="667" t="s">
        <v>18</v>
      </c>
      <c r="U26" s="668">
        <f t="shared" si="13"/>
        <v>100</v>
      </c>
      <c r="V26" s="667" t="s">
        <v>18</v>
      </c>
      <c r="W26" s="668">
        <f t="shared" si="14"/>
        <v>100</v>
      </c>
      <c r="X26" s="1265"/>
      <c r="Y26" s="336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376"/>
      <c r="Q27" s="530">
        <f t="shared" si="11"/>
        <v>111</v>
      </c>
      <c r="R27" s="664" t="s">
        <v>18</v>
      </c>
      <c r="S27" s="665">
        <f t="shared" si="12"/>
        <v>100</v>
      </c>
      <c r="T27" s="664" t="s">
        <v>18</v>
      </c>
      <c r="U27" s="665">
        <f t="shared" si="13"/>
        <v>100</v>
      </c>
      <c r="V27" s="664" t="s">
        <v>18</v>
      </c>
      <c r="W27" s="665">
        <f t="shared" si="14"/>
        <v>100</v>
      </c>
      <c r="X27" s="666"/>
      <c r="Y27" s="336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376"/>
      <c r="Q28" s="1263">
        <f t="shared" si="11"/>
        <v>111</v>
      </c>
      <c r="R28" s="667" t="s">
        <v>18</v>
      </c>
      <c r="S28" s="668">
        <f t="shared" si="12"/>
        <v>100</v>
      </c>
      <c r="T28" s="667" t="s">
        <v>18</v>
      </c>
      <c r="U28" s="668">
        <f t="shared" si="13"/>
        <v>100</v>
      </c>
      <c r="V28" s="667" t="s">
        <v>18</v>
      </c>
      <c r="W28" s="668">
        <f t="shared" si="14"/>
        <v>100</v>
      </c>
      <c r="X28" s="1265"/>
      <c r="Y28" s="336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376"/>
      <c r="Q29" s="1263">
        <f t="shared" si="11"/>
        <v>111</v>
      </c>
      <c r="R29" s="667" t="s">
        <v>18</v>
      </c>
      <c r="S29" s="668">
        <f t="shared" si="12"/>
        <v>100</v>
      </c>
      <c r="T29" s="667" t="s">
        <v>18</v>
      </c>
      <c r="U29" s="668">
        <f t="shared" si="13"/>
        <v>100</v>
      </c>
      <c r="V29" s="667" t="s">
        <v>18</v>
      </c>
      <c r="W29" s="668">
        <f t="shared" si="14"/>
        <v>100</v>
      </c>
      <c r="X29" s="1265"/>
      <c r="Y29" s="336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376"/>
      <c r="Q30" s="1263">
        <f t="shared" si="11"/>
        <v>111</v>
      </c>
      <c r="R30" s="667" t="s">
        <v>18</v>
      </c>
      <c r="S30" s="668">
        <f t="shared" si="12"/>
        <v>100</v>
      </c>
      <c r="T30" s="667" t="s">
        <v>18</v>
      </c>
      <c r="U30" s="668">
        <f t="shared" si="13"/>
        <v>100</v>
      </c>
      <c r="V30" s="667" t="s">
        <v>18</v>
      </c>
      <c r="W30" s="668">
        <f t="shared" si="14"/>
        <v>100</v>
      </c>
      <c r="X30" s="1265"/>
      <c r="Y30" s="3369"/>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376"/>
      <c r="Q31" s="1263">
        <f t="shared" si="11"/>
        <v>111</v>
      </c>
      <c r="R31" s="667" t="s">
        <v>18</v>
      </c>
      <c r="S31" s="668">
        <f t="shared" si="12"/>
        <v>100</v>
      </c>
      <c r="T31" s="667" t="s">
        <v>18</v>
      </c>
      <c r="U31" s="668">
        <f t="shared" si="13"/>
        <v>100</v>
      </c>
      <c r="V31" s="667" t="s">
        <v>18</v>
      </c>
      <c r="W31" s="668">
        <f t="shared" si="14"/>
        <v>100</v>
      </c>
      <c r="X31" s="1265"/>
      <c r="Y31" s="3369"/>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370" t="s">
        <v>1696</v>
      </c>
      <c r="Q32" s="1263" t="str">
        <f t="shared" si="11"/>
        <v>建筑类型</v>
      </c>
      <c r="R32" s="667" t="s">
        <v>18</v>
      </c>
      <c r="S32" s="668">
        <f t="shared" si="12"/>
        <v>100</v>
      </c>
      <c r="T32" s="667" t="s">
        <v>18</v>
      </c>
      <c r="U32" s="668">
        <f t="shared" si="13"/>
        <v>100</v>
      </c>
      <c r="V32" s="667" t="s">
        <v>18</v>
      </c>
      <c r="W32" s="668">
        <f t="shared" si="14"/>
        <v>100</v>
      </c>
      <c r="X32" s="1265"/>
      <c r="Y32" s="3373"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371"/>
      <c r="Q33" s="531" t="str">
        <f t="shared" si="11"/>
        <v>项目建筑规模</v>
      </c>
      <c r="R33" s="669" t="s">
        <v>18</v>
      </c>
      <c r="S33" s="670" t="e">
        <f t="shared" si="12"/>
        <v>#N/A</v>
      </c>
      <c r="T33" s="669" t="s">
        <v>18</v>
      </c>
      <c r="U33" s="670" t="e">
        <f t="shared" si="13"/>
        <v>#N/A</v>
      </c>
      <c r="V33" s="669" t="s">
        <v>18</v>
      </c>
      <c r="W33" s="670" t="e">
        <f t="shared" si="14"/>
        <v>#N/A</v>
      </c>
      <c r="X33" s="671"/>
      <c r="Y33" s="3373"/>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371"/>
      <c r="Q34" s="1263" t="str">
        <f t="shared" si="11"/>
        <v>建筑结构</v>
      </c>
      <c r="R34" s="667" t="s">
        <v>18</v>
      </c>
      <c r="S34" s="668">
        <f t="shared" si="12"/>
        <v>100</v>
      </c>
      <c r="T34" s="667" t="s">
        <v>18</v>
      </c>
      <c r="U34" s="668">
        <f t="shared" si="13"/>
        <v>100</v>
      </c>
      <c r="V34" s="667" t="s">
        <v>18</v>
      </c>
      <c r="W34" s="668">
        <f t="shared" si="14"/>
        <v>100</v>
      </c>
      <c r="X34" s="1265"/>
      <c r="Y34" s="3373"/>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371"/>
      <c r="Q35" s="1263" t="str">
        <f t="shared" si="11"/>
        <v>建筑品质</v>
      </c>
      <c r="R35" s="667" t="s">
        <v>18</v>
      </c>
      <c r="S35" s="668">
        <f t="shared" si="12"/>
        <v>100</v>
      </c>
      <c r="T35" s="667" t="s">
        <v>18</v>
      </c>
      <c r="U35" s="668">
        <f t="shared" si="13"/>
        <v>100</v>
      </c>
      <c r="V35" s="667" t="s">
        <v>18</v>
      </c>
      <c r="W35" s="668">
        <f t="shared" si="14"/>
        <v>100</v>
      </c>
      <c r="X35" s="1265"/>
      <c r="Y35" s="3373"/>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371"/>
      <c r="Q36" s="1263" t="str">
        <f t="shared" si="11"/>
        <v>公共部分装修</v>
      </c>
      <c r="R36" s="667" t="s">
        <v>18</v>
      </c>
      <c r="S36" s="668">
        <f t="shared" si="12"/>
        <v>100</v>
      </c>
      <c r="T36" s="667" t="s">
        <v>18</v>
      </c>
      <c r="U36" s="668">
        <f t="shared" si="13"/>
        <v>100</v>
      </c>
      <c r="V36" s="667" t="s">
        <v>18</v>
      </c>
      <c r="W36" s="668">
        <f t="shared" si="14"/>
        <v>100</v>
      </c>
      <c r="X36" s="1265"/>
      <c r="Y36" s="3373"/>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371"/>
      <c r="Q37" s="530" t="str">
        <f t="shared" si="11"/>
        <v>成新度</v>
      </c>
      <c r="R37" s="664" t="s">
        <v>18</v>
      </c>
      <c r="S37" s="665" t="e">
        <f t="shared" si="12"/>
        <v>#N/A</v>
      </c>
      <c r="T37" s="664" t="s">
        <v>18</v>
      </c>
      <c r="U37" s="665" t="e">
        <f t="shared" si="13"/>
        <v>#N/A</v>
      </c>
      <c r="V37" s="664" t="s">
        <v>18</v>
      </c>
      <c r="W37" s="665" t="e">
        <f t="shared" si="14"/>
        <v>#N/A</v>
      </c>
      <c r="X37" s="666"/>
      <c r="Y37" s="3373"/>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371" t="s">
        <v>1696</v>
      </c>
      <c r="Q38" s="1263" t="str">
        <f t="shared" si="11"/>
        <v>物业管理</v>
      </c>
      <c r="R38" s="667" t="s">
        <v>18</v>
      </c>
      <c r="S38" s="668">
        <f t="shared" si="12"/>
        <v>100</v>
      </c>
      <c r="T38" s="667" t="s">
        <v>18</v>
      </c>
      <c r="U38" s="668">
        <f t="shared" si="13"/>
        <v>100</v>
      </c>
      <c r="V38" s="667" t="s">
        <v>18</v>
      </c>
      <c r="W38" s="668">
        <f t="shared" si="14"/>
        <v>100</v>
      </c>
      <c r="X38" s="1265"/>
      <c r="Y38" s="3373"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371"/>
      <c r="Q39" s="1263" t="str">
        <f t="shared" si="11"/>
        <v>市政基础设施</v>
      </c>
      <c r="R39" s="667" t="s">
        <v>18</v>
      </c>
      <c r="S39" s="668">
        <f t="shared" si="12"/>
        <v>100</v>
      </c>
      <c r="T39" s="667" t="s">
        <v>18</v>
      </c>
      <c r="U39" s="668">
        <f t="shared" si="13"/>
        <v>100</v>
      </c>
      <c r="V39" s="667" t="s">
        <v>18</v>
      </c>
      <c r="W39" s="668">
        <f t="shared" si="14"/>
        <v>100</v>
      </c>
      <c r="X39" s="1265"/>
      <c r="Y39" s="3373"/>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371"/>
      <c r="Q40" s="1263" t="str">
        <f t="shared" si="11"/>
        <v>房型</v>
      </c>
      <c r="R40" s="667" t="s">
        <v>18</v>
      </c>
      <c r="S40" s="668">
        <f t="shared" si="12"/>
        <v>100</v>
      </c>
      <c r="T40" s="667" t="s">
        <v>18</v>
      </c>
      <c r="U40" s="668">
        <f t="shared" si="13"/>
        <v>100</v>
      </c>
      <c r="V40" s="667" t="s">
        <v>18</v>
      </c>
      <c r="W40" s="668">
        <f t="shared" si="14"/>
        <v>100</v>
      </c>
      <c r="X40" s="1265"/>
      <c r="Y40" s="3373"/>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371"/>
      <c r="Q41" s="531" t="str">
        <f t="shared" si="11"/>
        <v>单套/主力户型建筑面积</v>
      </c>
      <c r="R41" s="669" t="s">
        <v>18</v>
      </c>
      <c r="S41" s="670">
        <f t="shared" si="12"/>
        <v>100</v>
      </c>
      <c r="T41" s="669" t="s">
        <v>18</v>
      </c>
      <c r="U41" s="670">
        <f t="shared" si="13"/>
        <v>100</v>
      </c>
      <c r="V41" s="669" t="s">
        <v>18</v>
      </c>
      <c r="W41" s="670">
        <f t="shared" si="14"/>
        <v>100</v>
      </c>
      <c r="X41" s="671"/>
      <c r="Y41" s="3373"/>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371"/>
      <c r="Q42" s="1263" t="str">
        <f t="shared" si="11"/>
        <v>内部装修</v>
      </c>
      <c r="R42" s="667" t="s">
        <v>18</v>
      </c>
      <c r="S42" s="668">
        <f t="shared" si="12"/>
        <v>100</v>
      </c>
      <c r="T42" s="667" t="s">
        <v>18</v>
      </c>
      <c r="U42" s="668">
        <f t="shared" si="13"/>
        <v>100</v>
      </c>
      <c r="V42" s="667" t="s">
        <v>18</v>
      </c>
      <c r="W42" s="668">
        <f t="shared" si="14"/>
        <v>100</v>
      </c>
      <c r="X42" s="1265"/>
      <c r="Y42" s="3373"/>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371"/>
      <c r="Q43" s="1263" t="str">
        <f t="shared" si="11"/>
        <v>内部装修维护情况</v>
      </c>
      <c r="R43" s="667" t="s">
        <v>18</v>
      </c>
      <c r="S43" s="668">
        <f t="shared" si="12"/>
        <v>100</v>
      </c>
      <c r="T43" s="667" t="s">
        <v>18</v>
      </c>
      <c r="U43" s="668">
        <f t="shared" si="13"/>
        <v>100</v>
      </c>
      <c r="V43" s="667" t="s">
        <v>18</v>
      </c>
      <c r="W43" s="668">
        <f t="shared" si="14"/>
        <v>100</v>
      </c>
      <c r="X43" s="1265"/>
      <c r="Y43" s="337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371"/>
      <c r="Q44" s="530">
        <f t="shared" si="11"/>
        <v>111</v>
      </c>
      <c r="R44" s="664" t="s">
        <v>18</v>
      </c>
      <c r="S44" s="665">
        <f t="shared" si="12"/>
        <v>100</v>
      </c>
      <c r="T44" s="664" t="s">
        <v>18</v>
      </c>
      <c r="U44" s="665">
        <f t="shared" si="13"/>
        <v>100</v>
      </c>
      <c r="V44" s="664" t="s">
        <v>18</v>
      </c>
      <c r="W44" s="665">
        <f t="shared" si="14"/>
        <v>100</v>
      </c>
      <c r="X44" s="666"/>
      <c r="Y44" s="337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371"/>
      <c r="Q45" s="1263">
        <f t="shared" si="11"/>
        <v>111</v>
      </c>
      <c r="R45" s="667" t="s">
        <v>18</v>
      </c>
      <c r="S45" s="668">
        <f t="shared" si="12"/>
        <v>100</v>
      </c>
      <c r="T45" s="667" t="s">
        <v>18</v>
      </c>
      <c r="U45" s="668">
        <f t="shared" si="13"/>
        <v>100</v>
      </c>
      <c r="V45" s="667" t="s">
        <v>18</v>
      </c>
      <c r="W45" s="668">
        <f t="shared" si="14"/>
        <v>100</v>
      </c>
      <c r="X45" s="1265"/>
      <c r="Y45" s="3373"/>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372"/>
      <c r="Q46" s="1263">
        <f t="shared" si="11"/>
        <v>111</v>
      </c>
      <c r="R46" s="667" t="s">
        <v>17</v>
      </c>
      <c r="S46" s="668">
        <f t="shared" si="12"/>
        <v>100</v>
      </c>
      <c r="T46" s="667" t="s">
        <v>17</v>
      </c>
      <c r="U46" s="668">
        <f t="shared" si="13"/>
        <v>100</v>
      </c>
      <c r="V46" s="667" t="s">
        <v>17</v>
      </c>
      <c r="W46" s="668">
        <f t="shared" si="14"/>
        <v>100</v>
      </c>
      <c r="X46" s="1265"/>
      <c r="Y46" s="3374"/>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4"/>
      <c r="M47" s="2487"/>
      <c r="N47" s="2487"/>
      <c r="O47" s="2487"/>
      <c r="P47" s="3366" t="str">
        <f>A47</f>
        <v>成交单价（元/平方米）</v>
      </c>
      <c r="Q47" s="3366"/>
      <c r="R47" s="3367">
        <f>E47</f>
        <v>0</v>
      </c>
      <c r="S47" s="3367"/>
      <c r="T47" s="3367">
        <f>G47</f>
        <v>0</v>
      </c>
      <c r="U47" s="3367"/>
      <c r="V47" s="3367">
        <f>I47</f>
        <v>0</v>
      </c>
      <c r="W47" s="3367"/>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366" t="str">
        <f>A48</f>
        <v>比较价值（元/平方米）</v>
      </c>
      <c r="Q48" s="3366"/>
      <c r="R48" s="3367" t="e">
        <f>IF(F1="售价",ROUND(PRODUCT(R47,AA7:AA46),0),ROUND(PRODUCT(R47,AA7:AA46),1))</f>
        <v>#DIV/0!</v>
      </c>
      <c r="S48" s="3367"/>
      <c r="T48" s="3367" t="e">
        <f>IF(F1="售价",ROUND(PRODUCT(T47,AB7:AB46),0),ROUND(PRODUCT(T47,AB7:AB46),1))</f>
        <v>#DIV/0!</v>
      </c>
      <c r="U48" s="3367"/>
      <c r="V48" s="3367" t="e">
        <f>IF(F1="售价",ROUND(PRODUCT(V47,AC7:AC46),0),ROUND(PRODUCT(V47,AC7:AC46),1))</f>
        <v>#DIV/0!</v>
      </c>
      <c r="W48" s="3367"/>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4"/>
      <c r="M49" s="2487"/>
      <c r="N49" s="2487"/>
      <c r="O49" s="2487"/>
      <c r="P49" s="3363" t="str">
        <f>A49</f>
        <v>估价对象XX用房的比较价值（楼面单价，元/平方米）</v>
      </c>
      <c r="Q49" s="3364"/>
      <c r="R49" s="3365" t="e">
        <f>IF(F1="售价",ROUND(IF(D48="简单平均",AVERAGE(R48:V48),R48*F48+T48*H48+V48*J48),0),ROUND(IF(D48="简单平均",AVERAGE(R48:V48),R48*F48+T48*H48+V48*J48),1))</f>
        <v>#DIV/0!</v>
      </c>
      <c r="S49" s="3365"/>
      <c r="T49" s="3365"/>
      <c r="U49" s="3365"/>
      <c r="V49" s="3365"/>
      <c r="W49" s="3365"/>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2025-1</v>
      </c>
      <c r="D58" s="1104">
        <f>EDATE(C58,-1)</f>
        <v>45627</v>
      </c>
      <c r="E58" s="1104">
        <f>EDATE(D58,-1)</f>
        <v>45597</v>
      </c>
      <c r="F58" s="1104">
        <f t="shared" ref="F58:O58" si="19">EDATE(E58,-1)</f>
        <v>45566</v>
      </c>
      <c r="G58" s="1104">
        <f t="shared" si="19"/>
        <v>45536</v>
      </c>
      <c r="H58" s="1104">
        <f t="shared" si="19"/>
        <v>45505</v>
      </c>
      <c r="I58" s="1104">
        <f t="shared" si="19"/>
        <v>45474</v>
      </c>
      <c r="J58" s="1104">
        <f t="shared" si="19"/>
        <v>45444</v>
      </c>
      <c r="K58" s="1104">
        <f t="shared" si="19"/>
        <v>45413</v>
      </c>
      <c r="L58" s="1104">
        <f t="shared" si="19"/>
        <v>45383</v>
      </c>
      <c r="M58" s="1104">
        <f t="shared" si="19"/>
        <v>45352</v>
      </c>
      <c r="N58" s="1104">
        <f t="shared" si="19"/>
        <v>45323</v>
      </c>
      <c r="O58" s="1104">
        <f t="shared" si="19"/>
        <v>45292</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0" priority="14"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J52:J54">
    <cfRule type="containsText" dxfId="95" priority="15" stopIfTrue="1" operator="containsText" text="超过">
      <formula>NOT(ISERROR(SEARCH("超过",F52)))</formula>
    </cfRule>
  </conditionalFormatting>
  <conditionalFormatting sqref="G52">
    <cfRule type="expression" dxfId="94" priority="9" stopIfTrue="1">
      <formula>$H$52="超过30%"</formula>
    </cfRule>
  </conditionalFormatting>
  <conditionalFormatting sqref="G53">
    <cfRule type="expression" dxfId="93" priority="8" stopIfTrue="1">
      <formula>$H$53="超过20%"</formula>
    </cfRule>
  </conditionalFormatting>
  <conditionalFormatting sqref="G54">
    <cfRule type="expression" dxfId="92" priority="12"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71.03</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4.4">
      <c r="A4" s="345" t="s">
        <v>1769</v>
      </c>
      <c r="B4" s="346"/>
      <c r="C4" s="3381" t="s">
        <v>1770</v>
      </c>
      <c r="D4" s="3382"/>
      <c r="E4" s="3383" t="s">
        <v>1771</v>
      </c>
      <c r="F4" s="3384"/>
      <c r="G4" s="3381" t="s">
        <v>1772</v>
      </c>
      <c r="H4" s="3382"/>
      <c r="I4" s="3381" t="s">
        <v>1773</v>
      </c>
      <c r="J4" s="3382"/>
      <c r="K4" s="537" t="s">
        <v>1774</v>
      </c>
      <c r="L4" s="2486"/>
      <c r="M4" s="2487"/>
      <c r="N4" s="2487"/>
      <c r="O4" s="2487"/>
      <c r="P4" s="3385" t="s">
        <v>1775</v>
      </c>
      <c r="Q4" s="3386"/>
      <c r="R4" s="3391" t="s">
        <v>1771</v>
      </c>
      <c r="S4" s="3392"/>
      <c r="T4" s="3391" t="s">
        <v>1772</v>
      </c>
      <c r="U4" s="3392"/>
      <c r="V4" s="3367" t="s">
        <v>1773</v>
      </c>
      <c r="W4" s="3367"/>
      <c r="X4" s="1265"/>
      <c r="Y4" s="3391" t="s">
        <v>1775</v>
      </c>
      <c r="Z4" s="3392"/>
      <c r="AA4" s="3378" t="s">
        <v>1771</v>
      </c>
      <c r="AB4" s="3367" t="s">
        <v>1772</v>
      </c>
      <c r="AC4" s="3378" t="s">
        <v>1773</v>
      </c>
    </row>
    <row r="5" spans="1:29">
      <c r="A5" s="348"/>
      <c r="B5" s="349"/>
      <c r="C5" s="3399" t="s">
        <v>1673</v>
      </c>
      <c r="D5" s="3400"/>
      <c r="E5" s="3406" t="s">
        <v>1674</v>
      </c>
      <c r="F5" s="3407"/>
      <c r="G5" s="3399" t="s">
        <v>1675</v>
      </c>
      <c r="H5" s="3400"/>
      <c r="I5" s="3399" t="s">
        <v>1676</v>
      </c>
      <c r="J5" s="3400"/>
      <c r="K5" s="537"/>
      <c r="L5" s="2486"/>
      <c r="M5" s="2487"/>
      <c r="N5" s="2487"/>
      <c r="O5" s="2487"/>
      <c r="P5" s="3387"/>
      <c r="Q5" s="3388"/>
      <c r="R5" s="3393"/>
      <c r="S5" s="3394"/>
      <c r="T5" s="3393"/>
      <c r="U5" s="3394"/>
      <c r="V5" s="3367"/>
      <c r="W5" s="3367"/>
      <c r="X5" s="1265"/>
      <c r="Y5" s="3393"/>
      <c r="Z5" s="3394"/>
      <c r="AA5" s="3379"/>
      <c r="AB5" s="3367"/>
      <c r="AC5" s="3379"/>
    </row>
    <row r="6" spans="1:29" ht="15" thickBot="1">
      <c r="A6" s="350"/>
      <c r="B6" s="351"/>
      <c r="C6" s="3397" t="s">
        <v>1677</v>
      </c>
      <c r="D6" s="3398"/>
      <c r="E6" s="3404" t="s">
        <v>1677</v>
      </c>
      <c r="F6" s="3405"/>
      <c r="G6" s="3397" t="s">
        <v>1677</v>
      </c>
      <c r="H6" s="3398"/>
      <c r="I6" s="3397" t="s">
        <v>1677</v>
      </c>
      <c r="J6" s="3398"/>
      <c r="K6" s="537" t="s">
        <v>1678</v>
      </c>
      <c r="L6" s="2486"/>
      <c r="M6" s="2487"/>
      <c r="N6" s="2487"/>
      <c r="O6" s="2487"/>
      <c r="P6" s="3389"/>
      <c r="Q6" s="3390"/>
      <c r="R6" s="3393"/>
      <c r="S6" s="3394"/>
      <c r="T6" s="3395"/>
      <c r="U6" s="3396"/>
      <c r="V6" s="3367"/>
      <c r="W6" s="3367"/>
      <c r="X6" s="1265"/>
      <c r="Y6" s="3395"/>
      <c r="Z6" s="3396"/>
      <c r="AA6" s="3380"/>
      <c r="AB6" s="3367"/>
      <c r="AC6" s="3380"/>
    </row>
    <row r="7" spans="1:29" s="102" customFormat="1" ht="15" thickBot="1">
      <c r="A7" s="352" t="s">
        <v>1679</v>
      </c>
      <c r="B7" s="353"/>
      <c r="C7" s="354">
        <f>'数据-取费表'!B2</f>
        <v>45664</v>
      </c>
      <c r="D7" s="355">
        <v>100</v>
      </c>
      <c r="E7" s="356"/>
      <c r="F7" s="357">
        <f>SUMIF(58:58,YEAR(E7)&amp;"-"&amp;MONTH(E7),59:59)</f>
        <v>0</v>
      </c>
      <c r="G7" s="356"/>
      <c r="H7" s="355">
        <f>SUMIF(58:58,YEAR(G7)&amp;"-"&amp;MONTH(G7),59:59)</f>
        <v>0</v>
      </c>
      <c r="I7" s="356"/>
      <c r="J7" s="355">
        <f>SUMIF(58:58,YEAR(I7)&amp;"-"&amp;MONTH(I7),59:59)</f>
        <v>0</v>
      </c>
      <c r="K7" s="38"/>
      <c r="L7" s="2488"/>
      <c r="M7" s="2440"/>
      <c r="N7" s="2440"/>
      <c r="O7" s="2440"/>
      <c r="P7" s="3401" t="s">
        <v>1680</v>
      </c>
      <c r="Q7" s="3403"/>
      <c r="R7" s="664" t="s">
        <v>14</v>
      </c>
      <c r="S7" s="665">
        <f t="shared" ref="S7:S15" si="0">F7</f>
        <v>0</v>
      </c>
      <c r="T7" s="664" t="s">
        <v>14</v>
      </c>
      <c r="U7" s="665">
        <f t="shared" ref="U7:U15" si="1">H7</f>
        <v>0</v>
      </c>
      <c r="V7" s="664" t="s">
        <v>14</v>
      </c>
      <c r="W7" s="665">
        <f t="shared" ref="W7:W15" si="2">J7</f>
        <v>0</v>
      </c>
      <c r="X7" s="666"/>
      <c r="Y7" s="3401" t="s">
        <v>1680</v>
      </c>
      <c r="Z7" s="3402"/>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40"/>
      <c r="N8" s="2440"/>
      <c r="O8" s="2440"/>
      <c r="P8" s="3401" t="s">
        <v>1683</v>
      </c>
      <c r="Q8" s="3402"/>
      <c r="R8" s="664" t="s">
        <v>14</v>
      </c>
      <c r="S8" s="665">
        <f t="shared" si="0"/>
        <v>100</v>
      </c>
      <c r="T8" s="664" t="s">
        <v>14</v>
      </c>
      <c r="U8" s="665">
        <f t="shared" si="1"/>
        <v>100</v>
      </c>
      <c r="V8" s="664" t="s">
        <v>14</v>
      </c>
      <c r="W8" s="665">
        <f t="shared" si="2"/>
        <v>100</v>
      </c>
      <c r="X8" s="666"/>
      <c r="Y8" s="3401" t="s">
        <v>1683</v>
      </c>
      <c r="Z8" s="3402"/>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40"/>
      <c r="N9" s="2440"/>
      <c r="O9" s="2440"/>
      <c r="P9" s="3377"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77"/>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77"/>
      <c r="Q11" s="530" t="str">
        <f t="shared" si="6"/>
        <v>容积率</v>
      </c>
      <c r="R11" s="664" t="s">
        <v>14</v>
      </c>
      <c r="S11" s="665" t="e">
        <f t="shared" si="0"/>
        <v>#N/A</v>
      </c>
      <c r="T11" s="664" t="s">
        <v>14</v>
      </c>
      <c r="U11" s="665" t="e">
        <f t="shared" si="1"/>
        <v>#N/A</v>
      </c>
      <c r="V11" s="664" t="s">
        <v>14</v>
      </c>
      <c r="W11" s="665" t="e">
        <f t="shared" si="2"/>
        <v>#N/A</v>
      </c>
      <c r="X11" s="666"/>
      <c r="Y11" s="324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377"/>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77"/>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77"/>
      <c r="Q14" s="530">
        <f t="shared" si="6"/>
        <v>111</v>
      </c>
      <c r="R14" s="664" t="s">
        <v>14</v>
      </c>
      <c r="S14" s="665">
        <f t="shared" si="0"/>
        <v>100</v>
      </c>
      <c r="T14" s="664" t="s">
        <v>14</v>
      </c>
      <c r="U14" s="665">
        <f t="shared" si="1"/>
        <v>100</v>
      </c>
      <c r="V14" s="664" t="s">
        <v>14</v>
      </c>
      <c r="W14" s="665">
        <f t="shared" si="2"/>
        <v>100</v>
      </c>
      <c r="X14" s="666"/>
      <c r="Y14" s="3241"/>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75" t="s">
        <v>1691</v>
      </c>
      <c r="Q15" s="1263" t="str">
        <f t="shared" si="6"/>
        <v>商业繁华度</v>
      </c>
      <c r="R15" s="667" t="s">
        <v>14</v>
      </c>
      <c r="S15" s="668">
        <f t="shared" si="0"/>
        <v>100</v>
      </c>
      <c r="T15" s="667" t="s">
        <v>14</v>
      </c>
      <c r="U15" s="668">
        <f t="shared" si="1"/>
        <v>100</v>
      </c>
      <c r="V15" s="667" t="s">
        <v>14</v>
      </c>
      <c r="W15" s="668">
        <f t="shared" si="2"/>
        <v>100</v>
      </c>
      <c r="X15" s="1265"/>
      <c r="Y15" s="3368"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376"/>
      <c r="Q16" s="1263"/>
      <c r="R16" s="667"/>
      <c r="S16" s="668"/>
      <c r="T16" s="667"/>
      <c r="U16" s="668"/>
      <c r="V16" s="667"/>
      <c r="W16" s="668"/>
      <c r="X16" s="1265"/>
      <c r="Y16" s="3369"/>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76"/>
      <c r="Q17" s="1263" t="str">
        <f>B17</f>
        <v>交通便捷度</v>
      </c>
      <c r="R17" s="667" t="s">
        <v>14</v>
      </c>
      <c r="S17" s="668">
        <f>F17</f>
        <v>100</v>
      </c>
      <c r="T17" s="667" t="s">
        <v>14</v>
      </c>
      <c r="U17" s="668">
        <f>H17</f>
        <v>100</v>
      </c>
      <c r="V17" s="667" t="s">
        <v>14</v>
      </c>
      <c r="W17" s="668">
        <f>J17</f>
        <v>100</v>
      </c>
      <c r="X17" s="1265"/>
      <c r="Y17" s="336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376"/>
      <c r="Q18" s="1263"/>
      <c r="R18" s="667"/>
      <c r="S18" s="668"/>
      <c r="T18" s="667"/>
      <c r="U18" s="668"/>
      <c r="V18" s="667"/>
      <c r="W18" s="668"/>
      <c r="X18" s="1265"/>
      <c r="Y18" s="3369"/>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76"/>
      <c r="Q19" s="1263" t="str">
        <f>B19</f>
        <v>公共配套设施</v>
      </c>
      <c r="R19" s="667" t="s">
        <v>14</v>
      </c>
      <c r="S19" s="668">
        <f>F19</f>
        <v>100</v>
      </c>
      <c r="T19" s="667" t="s">
        <v>14</v>
      </c>
      <c r="U19" s="668">
        <f>H19</f>
        <v>100</v>
      </c>
      <c r="V19" s="667" t="s">
        <v>14</v>
      </c>
      <c r="W19" s="668">
        <f>J19</f>
        <v>100</v>
      </c>
      <c r="X19" s="1265"/>
      <c r="Y19" s="336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376"/>
      <c r="Q20" s="1263"/>
      <c r="R20" s="667"/>
      <c r="S20" s="668"/>
      <c r="T20" s="667"/>
      <c r="U20" s="668"/>
      <c r="V20" s="667"/>
      <c r="W20" s="668"/>
      <c r="X20" s="1265"/>
      <c r="Y20" s="3369"/>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76"/>
      <c r="Q21" s="1263" t="str">
        <f>B21</f>
        <v>基础设施水平</v>
      </c>
      <c r="R21" s="667" t="s">
        <v>14</v>
      </c>
      <c r="S21" s="668">
        <f>F21</f>
        <v>100</v>
      </c>
      <c r="T21" s="667" t="s">
        <v>14</v>
      </c>
      <c r="U21" s="668">
        <f>H21</f>
        <v>100</v>
      </c>
      <c r="V21" s="667" t="s">
        <v>14</v>
      </c>
      <c r="W21" s="668">
        <f>J21</f>
        <v>100</v>
      </c>
      <c r="X21" s="1265"/>
      <c r="Y21" s="336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376"/>
      <c r="Q22" s="1263"/>
      <c r="R22" s="667"/>
      <c r="S22" s="668"/>
      <c r="T22" s="667"/>
      <c r="U22" s="668"/>
      <c r="V22" s="667"/>
      <c r="W22" s="668"/>
      <c r="X22" s="1265"/>
      <c r="Y22" s="3369"/>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76"/>
      <c r="Q23" s="1263" t="str">
        <f>B23</f>
        <v>自然及人文环境</v>
      </c>
      <c r="R23" s="667" t="s">
        <v>14</v>
      </c>
      <c r="S23" s="668">
        <f>F23</f>
        <v>100</v>
      </c>
      <c r="T23" s="667" t="s">
        <v>14</v>
      </c>
      <c r="U23" s="668">
        <f>H23</f>
        <v>100</v>
      </c>
      <c r="V23" s="667" t="s">
        <v>14</v>
      </c>
      <c r="W23" s="668">
        <f>J23</f>
        <v>100</v>
      </c>
      <c r="X23" s="1265"/>
      <c r="Y23" s="336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376"/>
      <c r="Q24" s="1263"/>
      <c r="R24" s="667"/>
      <c r="S24" s="668"/>
      <c r="T24" s="667"/>
      <c r="U24" s="668"/>
      <c r="V24" s="667"/>
      <c r="W24" s="668"/>
      <c r="X24" s="1265"/>
      <c r="Y24" s="3369"/>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76"/>
      <c r="Q25" s="1263" t="str">
        <f t="shared" ref="Q25:Q46" si="11">B25</f>
        <v>临街状况</v>
      </c>
      <c r="R25" s="667" t="s">
        <v>14</v>
      </c>
      <c r="S25" s="668">
        <f>F25</f>
        <v>100</v>
      </c>
      <c r="T25" s="667" t="s">
        <v>14</v>
      </c>
      <c r="U25" s="668">
        <f>H25</f>
        <v>100</v>
      </c>
      <c r="V25" s="667" t="s">
        <v>14</v>
      </c>
      <c r="W25" s="668">
        <f>J25</f>
        <v>100</v>
      </c>
      <c r="X25" s="1265"/>
      <c r="Y25" s="336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76"/>
      <c r="Q26" s="1263" t="str">
        <f t="shared" si="11"/>
        <v>平面位置/可视性</v>
      </c>
      <c r="R26" s="667" t="s">
        <v>14</v>
      </c>
      <c r="S26" s="668">
        <f>F26</f>
        <v>100</v>
      </c>
      <c r="T26" s="667" t="s">
        <v>14</v>
      </c>
      <c r="U26" s="668">
        <f>H26</f>
        <v>100</v>
      </c>
      <c r="V26" s="667" t="s">
        <v>14</v>
      </c>
      <c r="W26" s="668">
        <f>J26</f>
        <v>100</v>
      </c>
      <c r="X26" s="1265"/>
      <c r="Y26" s="3369"/>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40"/>
      <c r="N27" s="2440"/>
      <c r="O27" s="2440"/>
      <c r="P27" s="3376"/>
      <c r="Q27" s="530" t="str">
        <f t="shared" si="11"/>
        <v>人流量</v>
      </c>
      <c r="R27" s="664" t="s">
        <v>14</v>
      </c>
      <c r="S27" s="665">
        <f>F27</f>
        <v>100</v>
      </c>
      <c r="T27" s="664" t="s">
        <v>14</v>
      </c>
      <c r="U27" s="665">
        <f>H27</f>
        <v>100</v>
      </c>
      <c r="V27" s="664" t="s">
        <v>14</v>
      </c>
      <c r="W27" s="665">
        <f>J27</f>
        <v>100</v>
      </c>
      <c r="X27" s="666"/>
      <c r="Y27" s="3369"/>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7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6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76"/>
      <c r="Q29" s="1263">
        <f t="shared" si="11"/>
        <v>111</v>
      </c>
      <c r="R29" s="667" t="s">
        <v>14</v>
      </c>
      <c r="S29" s="668">
        <f t="shared" si="12"/>
        <v>100</v>
      </c>
      <c r="T29" s="667" t="s">
        <v>14</v>
      </c>
      <c r="U29" s="668">
        <f t="shared" si="13"/>
        <v>100</v>
      </c>
      <c r="V29" s="667" t="s">
        <v>14</v>
      </c>
      <c r="W29" s="668">
        <f t="shared" si="14"/>
        <v>100</v>
      </c>
      <c r="X29" s="1265"/>
      <c r="Y29" s="336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76"/>
      <c r="Q30" s="1263">
        <f t="shared" si="11"/>
        <v>111</v>
      </c>
      <c r="R30" s="667" t="s">
        <v>14</v>
      </c>
      <c r="S30" s="668">
        <f t="shared" si="12"/>
        <v>100</v>
      </c>
      <c r="T30" s="667" t="s">
        <v>14</v>
      </c>
      <c r="U30" s="668">
        <f t="shared" si="13"/>
        <v>100</v>
      </c>
      <c r="V30" s="667" t="s">
        <v>14</v>
      </c>
      <c r="W30" s="668">
        <f t="shared" si="14"/>
        <v>100</v>
      </c>
      <c r="X30" s="1265"/>
      <c r="Y30" s="3369"/>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76"/>
      <c r="Q31" s="1263">
        <f t="shared" si="11"/>
        <v>111</v>
      </c>
      <c r="R31" s="667" t="s">
        <v>14</v>
      </c>
      <c r="S31" s="668">
        <f t="shared" si="12"/>
        <v>100</v>
      </c>
      <c r="T31" s="667" t="s">
        <v>14</v>
      </c>
      <c r="U31" s="668">
        <f t="shared" si="13"/>
        <v>100</v>
      </c>
      <c r="V31" s="667" t="s">
        <v>14</v>
      </c>
      <c r="W31" s="668">
        <f t="shared" si="14"/>
        <v>100</v>
      </c>
      <c r="X31" s="1265"/>
      <c r="Y31" s="3369"/>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370" t="s">
        <v>1696</v>
      </c>
      <c r="Q32" s="1263" t="str">
        <f t="shared" si="11"/>
        <v>商业类型</v>
      </c>
      <c r="R32" s="667" t="s">
        <v>14</v>
      </c>
      <c r="S32" s="668">
        <f t="shared" si="12"/>
        <v>100</v>
      </c>
      <c r="T32" s="667" t="s">
        <v>14</v>
      </c>
      <c r="U32" s="668">
        <f t="shared" si="13"/>
        <v>100</v>
      </c>
      <c r="V32" s="667" t="s">
        <v>14</v>
      </c>
      <c r="W32" s="668">
        <f t="shared" si="14"/>
        <v>100</v>
      </c>
      <c r="X32" s="1265"/>
      <c r="Y32" s="3373"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371"/>
      <c r="Q33" s="531" t="str">
        <f t="shared" si="11"/>
        <v>项目建筑规模</v>
      </c>
      <c r="R33" s="669" t="s">
        <v>14</v>
      </c>
      <c r="S33" s="670" t="e">
        <f t="shared" si="12"/>
        <v>#N/A</v>
      </c>
      <c r="T33" s="669" t="s">
        <v>14</v>
      </c>
      <c r="U33" s="670" t="e">
        <f t="shared" si="13"/>
        <v>#N/A</v>
      </c>
      <c r="V33" s="669" t="s">
        <v>14</v>
      </c>
      <c r="W33" s="670" t="e">
        <f t="shared" si="14"/>
        <v>#N/A</v>
      </c>
      <c r="X33" s="671"/>
      <c r="Y33" s="3373"/>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71"/>
      <c r="Q34" s="1263" t="str">
        <f t="shared" si="11"/>
        <v>建筑结构</v>
      </c>
      <c r="R34" s="667" t="s">
        <v>14</v>
      </c>
      <c r="S34" s="668">
        <f t="shared" si="12"/>
        <v>100</v>
      </c>
      <c r="T34" s="667" t="s">
        <v>14</v>
      </c>
      <c r="U34" s="668">
        <f t="shared" si="13"/>
        <v>100</v>
      </c>
      <c r="V34" s="667" t="s">
        <v>14</v>
      </c>
      <c r="W34" s="668">
        <f t="shared" si="14"/>
        <v>100</v>
      </c>
      <c r="X34" s="1265"/>
      <c r="Y34" s="3373"/>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371"/>
      <c r="Q35" s="1263" t="str">
        <f t="shared" si="11"/>
        <v>公共部分装修</v>
      </c>
      <c r="R35" s="667" t="s">
        <v>14</v>
      </c>
      <c r="S35" s="668">
        <f t="shared" si="12"/>
        <v>100</v>
      </c>
      <c r="T35" s="667" t="s">
        <v>14</v>
      </c>
      <c r="U35" s="668">
        <f t="shared" si="13"/>
        <v>100</v>
      </c>
      <c r="V35" s="667" t="s">
        <v>14</v>
      </c>
      <c r="W35" s="668">
        <f t="shared" si="14"/>
        <v>100</v>
      </c>
      <c r="X35" s="1265"/>
      <c r="Y35" s="3373"/>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371"/>
      <c r="Q36" s="1263" t="str">
        <f t="shared" si="11"/>
        <v>成新度</v>
      </c>
      <c r="R36" s="667" t="s">
        <v>14</v>
      </c>
      <c r="S36" s="668" t="e">
        <f t="shared" si="12"/>
        <v>#N/A</v>
      </c>
      <c r="T36" s="667" t="s">
        <v>14</v>
      </c>
      <c r="U36" s="668" t="e">
        <f t="shared" si="13"/>
        <v>#N/A</v>
      </c>
      <c r="V36" s="667" t="s">
        <v>14</v>
      </c>
      <c r="W36" s="668" t="e">
        <f t="shared" si="14"/>
        <v>#N/A</v>
      </c>
      <c r="X36" s="1265"/>
      <c r="Y36" s="3373"/>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40"/>
      <c r="N37" s="2440"/>
      <c r="O37" s="2440"/>
      <c r="P37" s="3371"/>
      <c r="Q37" s="530" t="str">
        <f t="shared" si="11"/>
        <v>市政基础设施</v>
      </c>
      <c r="R37" s="664" t="s">
        <v>14</v>
      </c>
      <c r="S37" s="665">
        <f t="shared" si="12"/>
        <v>100</v>
      </c>
      <c r="T37" s="664" t="s">
        <v>14</v>
      </c>
      <c r="U37" s="665">
        <f t="shared" si="13"/>
        <v>100</v>
      </c>
      <c r="V37" s="664" t="s">
        <v>14</v>
      </c>
      <c r="W37" s="665">
        <f t="shared" si="14"/>
        <v>100</v>
      </c>
      <c r="X37" s="666"/>
      <c r="Y37" s="3373"/>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371" t="s">
        <v>1696</v>
      </c>
      <c r="Q38" s="1263" t="str">
        <f t="shared" si="11"/>
        <v>业态</v>
      </c>
      <c r="R38" s="667" t="s">
        <v>14</v>
      </c>
      <c r="S38" s="668">
        <f t="shared" si="12"/>
        <v>100</v>
      </c>
      <c r="T38" s="667" t="s">
        <v>14</v>
      </c>
      <c r="U38" s="668">
        <f t="shared" si="13"/>
        <v>100</v>
      </c>
      <c r="V38" s="667" t="s">
        <v>14</v>
      </c>
      <c r="W38" s="668">
        <f t="shared" si="14"/>
        <v>100</v>
      </c>
      <c r="X38" s="1265"/>
      <c r="Y38" s="3373"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371"/>
      <c r="Q39" s="1263" t="str">
        <f t="shared" si="11"/>
        <v>层高</v>
      </c>
      <c r="R39" s="667" t="s">
        <v>14</v>
      </c>
      <c r="S39" s="668">
        <f t="shared" si="12"/>
        <v>100</v>
      </c>
      <c r="T39" s="667" t="s">
        <v>14</v>
      </c>
      <c r="U39" s="668">
        <f t="shared" si="13"/>
        <v>100</v>
      </c>
      <c r="V39" s="667" t="s">
        <v>14</v>
      </c>
      <c r="W39" s="668">
        <f t="shared" si="14"/>
        <v>100</v>
      </c>
      <c r="X39" s="1265"/>
      <c r="Y39" s="337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71"/>
      <c r="Q40" s="1263" t="str">
        <f t="shared" si="11"/>
        <v>单套建筑面积</v>
      </c>
      <c r="R40" s="667" t="s">
        <v>14</v>
      </c>
      <c r="S40" s="668">
        <f t="shared" si="12"/>
        <v>100</v>
      </c>
      <c r="T40" s="667" t="s">
        <v>14</v>
      </c>
      <c r="U40" s="668">
        <f t="shared" si="13"/>
        <v>100</v>
      </c>
      <c r="V40" s="667" t="s">
        <v>14</v>
      </c>
      <c r="W40" s="668">
        <f t="shared" si="14"/>
        <v>100</v>
      </c>
      <c r="X40" s="1265"/>
      <c r="Y40" s="337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71"/>
      <c r="Q41" s="531" t="str">
        <f t="shared" si="11"/>
        <v>进深比</v>
      </c>
      <c r="R41" s="669" t="s">
        <v>14</v>
      </c>
      <c r="S41" s="670">
        <f t="shared" si="12"/>
        <v>100</v>
      </c>
      <c r="T41" s="669" t="s">
        <v>14</v>
      </c>
      <c r="U41" s="670">
        <f t="shared" si="13"/>
        <v>100</v>
      </c>
      <c r="V41" s="669" t="s">
        <v>14</v>
      </c>
      <c r="W41" s="670">
        <f t="shared" si="14"/>
        <v>100</v>
      </c>
      <c r="X41" s="671"/>
      <c r="Y41" s="3373"/>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371"/>
      <c r="Q42" s="1263" t="str">
        <f t="shared" si="11"/>
        <v>内部装修</v>
      </c>
      <c r="R42" s="667" t="s">
        <v>14</v>
      </c>
      <c r="S42" s="668">
        <f t="shared" si="12"/>
        <v>100</v>
      </c>
      <c r="T42" s="667" t="s">
        <v>14</v>
      </c>
      <c r="U42" s="668">
        <f t="shared" si="13"/>
        <v>100</v>
      </c>
      <c r="V42" s="667" t="s">
        <v>14</v>
      </c>
      <c r="W42" s="668">
        <f t="shared" si="14"/>
        <v>100</v>
      </c>
      <c r="X42" s="1265"/>
      <c r="Y42" s="3373"/>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371"/>
      <c r="Q43" s="1263" t="str">
        <f t="shared" si="11"/>
        <v>内部装修维护情况</v>
      </c>
      <c r="R43" s="667" t="s">
        <v>14</v>
      </c>
      <c r="S43" s="668">
        <f t="shared" si="12"/>
        <v>100</v>
      </c>
      <c r="T43" s="667" t="s">
        <v>14</v>
      </c>
      <c r="U43" s="668">
        <f t="shared" si="13"/>
        <v>100</v>
      </c>
      <c r="V43" s="667" t="s">
        <v>14</v>
      </c>
      <c r="W43" s="668">
        <f t="shared" si="14"/>
        <v>100</v>
      </c>
      <c r="X43" s="1265"/>
      <c r="Y43" s="337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40"/>
      <c r="N44" s="2440"/>
      <c r="O44" s="2440"/>
      <c r="P44" s="3371"/>
      <c r="Q44" s="530">
        <f t="shared" si="11"/>
        <v>111</v>
      </c>
      <c r="R44" s="664" t="s">
        <v>14</v>
      </c>
      <c r="S44" s="665">
        <f t="shared" si="12"/>
        <v>100</v>
      </c>
      <c r="T44" s="664" t="s">
        <v>14</v>
      </c>
      <c r="U44" s="665">
        <f t="shared" si="13"/>
        <v>100</v>
      </c>
      <c r="V44" s="664" t="s">
        <v>14</v>
      </c>
      <c r="W44" s="665">
        <f t="shared" si="14"/>
        <v>100</v>
      </c>
      <c r="X44" s="666"/>
      <c r="Y44" s="337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71"/>
      <c r="Q45" s="1263">
        <f t="shared" si="11"/>
        <v>111</v>
      </c>
      <c r="R45" s="667" t="s">
        <v>14</v>
      </c>
      <c r="S45" s="668">
        <f t="shared" si="12"/>
        <v>100</v>
      </c>
      <c r="T45" s="667" t="s">
        <v>14</v>
      </c>
      <c r="U45" s="668">
        <f t="shared" si="13"/>
        <v>100</v>
      </c>
      <c r="V45" s="667" t="s">
        <v>14</v>
      </c>
      <c r="W45" s="668">
        <f t="shared" si="14"/>
        <v>100</v>
      </c>
      <c r="X45" s="1265"/>
      <c r="Y45" s="3373"/>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72"/>
      <c r="Q46" s="1263">
        <f t="shared" si="11"/>
        <v>111</v>
      </c>
      <c r="R46" s="667" t="s">
        <v>14</v>
      </c>
      <c r="S46" s="668">
        <f t="shared" si="12"/>
        <v>100</v>
      </c>
      <c r="T46" s="667" t="s">
        <v>14</v>
      </c>
      <c r="U46" s="668">
        <f t="shared" si="13"/>
        <v>100</v>
      </c>
      <c r="V46" s="667" t="s">
        <v>14</v>
      </c>
      <c r="W46" s="668">
        <f t="shared" si="14"/>
        <v>100</v>
      </c>
      <c r="X46" s="1265"/>
      <c r="Y46" s="3374"/>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4"/>
      <c r="M47" s="2487"/>
      <c r="N47" s="2487"/>
      <c r="O47" s="2487"/>
      <c r="P47" s="3366" t="str">
        <f>A47</f>
        <v>成交单价（元/平方米）</v>
      </c>
      <c r="Q47" s="3366"/>
      <c r="R47" s="3367">
        <f>E47</f>
        <v>0</v>
      </c>
      <c r="S47" s="3367"/>
      <c r="T47" s="3367">
        <f>G47</f>
        <v>0</v>
      </c>
      <c r="U47" s="3367"/>
      <c r="V47" s="3367">
        <f>I47</f>
        <v>0</v>
      </c>
      <c r="W47" s="3367"/>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366" t="str">
        <f>A48</f>
        <v>比较价值（元/平方米）</v>
      </c>
      <c r="Q48" s="3366"/>
      <c r="R48" s="3367" t="e">
        <f>IF(F1="售价",ROUND(PRODUCT(R47,AA7:AA46),0),ROUND(PRODUCT(R47,AA7:AA46),1))</f>
        <v>#DIV/0!</v>
      </c>
      <c r="S48" s="3367"/>
      <c r="T48" s="3367" t="e">
        <f>IF(F1="售价",ROUND(PRODUCT(T47,AB7:AB46),0),ROUND(PRODUCT(T47,AB7:AB46),1))</f>
        <v>#DIV/0!</v>
      </c>
      <c r="U48" s="3367"/>
      <c r="V48" s="3367" t="e">
        <f>IF(F1="售价",ROUND(PRODUCT(V47,AC7:AC46),0),ROUND(PRODUCT(V47,AC7:AC46),1))</f>
        <v>#DIV/0!</v>
      </c>
      <c r="W48" s="3367"/>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4"/>
      <c r="M49" s="2487"/>
      <c r="N49" s="2487"/>
      <c r="O49" s="2487"/>
      <c r="P49" s="3363" t="str">
        <f>A49</f>
        <v>估价对象XX用房的比较价值（楼面单价，元/平方米）</v>
      </c>
      <c r="Q49" s="3364"/>
      <c r="R49" s="3365" t="e">
        <f>IF(F1="售价",ROUND(IF(D48="简单平均",AVERAGE(R48:V48),R48*F48+T48*H48+V48*J48),0),ROUND(IF(D48="简单平均",AVERAGE(R48:V48),R48*F48+T48*H48+V48*J48),1))</f>
        <v>#DIV/0!</v>
      </c>
      <c r="S49" s="3365"/>
      <c r="T49" s="3365"/>
      <c r="U49" s="3365"/>
      <c r="V49" s="3365"/>
      <c r="W49" s="3365"/>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4.4">
      <c r="A58" s="440" t="s">
        <v>1679</v>
      </c>
      <c r="B58" s="441"/>
      <c r="C58" s="1103" t="str">
        <f>YEAR(C7)&amp;"-"&amp;MONTH(C7)</f>
        <v>2025-1</v>
      </c>
      <c r="D58" s="1104">
        <f>EDATE(C58,-1)</f>
        <v>45627</v>
      </c>
      <c r="E58" s="1104">
        <f t="shared" ref="E58:N58" si="16">EDATE(D58,-1)</f>
        <v>45597</v>
      </c>
      <c r="F58" s="1104">
        <f t="shared" si="16"/>
        <v>45566</v>
      </c>
      <c r="G58" s="1104">
        <f t="shared" si="16"/>
        <v>45536</v>
      </c>
      <c r="H58" s="1104">
        <f t="shared" si="16"/>
        <v>45505</v>
      </c>
      <c r="I58" s="1104">
        <f t="shared" si="16"/>
        <v>45474</v>
      </c>
      <c r="J58" s="1104">
        <f t="shared" si="16"/>
        <v>45444</v>
      </c>
      <c r="K58" s="1104">
        <f t="shared" si="16"/>
        <v>45413</v>
      </c>
      <c r="L58" s="1104">
        <f t="shared" si="16"/>
        <v>45383</v>
      </c>
      <c r="M58" s="1104">
        <f t="shared" si="16"/>
        <v>45352</v>
      </c>
      <c r="N58" s="1104">
        <f t="shared" si="16"/>
        <v>45323</v>
      </c>
      <c r="O58" s="1104">
        <f>EDATE(N58,-1)</f>
        <v>45292</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ht="14.4">
      <c r="A61" s="455" t="s">
        <v>1681</v>
      </c>
      <c r="B61" s="444"/>
      <c r="C61" s="456" t="s">
        <v>1776</v>
      </c>
      <c r="D61" s="31"/>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4.4" thickBot="1">
      <c r="A62" s="455"/>
      <c r="B62" s="444"/>
      <c r="C62" s="445">
        <v>100</v>
      </c>
      <c r="D62" s="446"/>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ht="14.4">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1804</v>
      </c>
      <c r="C86" s="485"/>
      <c r="D86" s="485"/>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40"/>
      <c r="S87" s="2440"/>
      <c r="T87" s="2440"/>
      <c r="U87" s="2440"/>
      <c r="V87" s="2440"/>
      <c r="W87" s="2440"/>
      <c r="X87" s="2440"/>
      <c r="Y87" s="2440"/>
      <c r="Z87" s="2440"/>
      <c r="AA87" s="2440"/>
      <c r="AB87" s="2440"/>
      <c r="AC87" s="2440"/>
    </row>
    <row r="88" spans="1:29" s="102" customFormat="1" ht="14.4" thickTop="1">
      <c r="A88" s="370"/>
      <c r="B88" s="469" t="str">
        <f>B26</f>
        <v>平面位置/可视性</v>
      </c>
      <c r="C88" s="485"/>
      <c r="D88" s="485"/>
      <c r="E88" s="485"/>
      <c r="F88" s="1780"/>
      <c r="G88" s="485"/>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4.4" thickBot="1">
      <c r="A89" s="370"/>
      <c r="B89" s="474"/>
      <c r="C89" s="491"/>
      <c r="D89" s="467"/>
      <c r="E89" s="467"/>
      <c r="F89" s="467"/>
      <c r="G89" s="467"/>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4.4"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4"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4"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48">
    <cfRule type="expression" dxfId="82" priority="4">
      <formula>$D$48="简单平均"</formula>
    </cfRule>
  </conditionalFormatting>
  <conditionalFormatting sqref="F52:F54 H52:H54">
    <cfRule type="containsText" dxfId="81" priority="17" stopIfTrue="1" operator="containsText" text="超过">
      <formula>NOT(ISERROR(SEARCH("超过",F52)))</formula>
    </cfRule>
  </conditionalFormatting>
  <conditionalFormatting sqref="G52">
    <cfRule type="expression" dxfId="80" priority="12" stopIfTrue="1">
      <formula>$H$52="超过30%"</formula>
    </cfRule>
  </conditionalFormatting>
  <conditionalFormatting sqref="G53">
    <cfRule type="expression" dxfId="79" priority="11" stopIfTrue="1">
      <formula>$H$53="超过20%"</formula>
    </cfRule>
  </conditionalFormatting>
  <conditionalFormatting sqref="G54">
    <cfRule type="expression" dxfId="78" priority="13" stopIfTrue="1">
      <formula>$H$54="超过30%"</formula>
    </cfRule>
  </conditionalFormatting>
  <conditionalFormatting sqref="H48">
    <cfRule type="expression" dxfId="77" priority="3">
      <formula>$D$48="简单平均"</formula>
    </cfRule>
  </conditionalFormatting>
  <conditionalFormatting sqref="I52">
    <cfRule type="expression" dxfId="76" priority="7" stopIfTrue="1">
      <formula>$J$52="超过30%"</formula>
    </cfRule>
  </conditionalFormatting>
  <conditionalFormatting sqref="I53">
    <cfRule type="expression" dxfId="75" priority="6" stopIfTrue="1">
      <formula>$J$53="超过20%"</formula>
    </cfRule>
  </conditionalFormatting>
  <conditionalFormatting sqref="I54">
    <cfRule type="expression" dxfId="74" priority="5" stopIfTrue="1">
      <formula>$J$54="超过30%"</formula>
    </cfRule>
  </conditionalFormatting>
  <conditionalFormatting sqref="J48">
    <cfRule type="expression" dxfId="73" priority="2">
      <formula>$D$48="简单平均"</formula>
    </cfRule>
  </conditionalFormatting>
  <conditionalFormatting sqref="J52:J54">
    <cfRule type="containsText" dxfId="7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71.03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81" t="s">
        <v>1770</v>
      </c>
      <c r="D4" s="3382"/>
      <c r="E4" s="3383" t="s">
        <v>1771</v>
      </c>
      <c r="F4" s="3384"/>
      <c r="G4" s="3381" t="s">
        <v>1772</v>
      </c>
      <c r="H4" s="3382"/>
      <c r="I4" s="3381" t="s">
        <v>1773</v>
      </c>
      <c r="J4" s="3382"/>
      <c r="K4" s="537" t="s">
        <v>1774</v>
      </c>
      <c r="L4" s="860"/>
      <c r="M4" s="861"/>
      <c r="N4" s="861"/>
      <c r="O4" s="861"/>
      <c r="P4" s="3385" t="s">
        <v>1775</v>
      </c>
      <c r="Q4" s="3386"/>
      <c r="R4" s="3391" t="s">
        <v>1771</v>
      </c>
      <c r="S4" s="3392"/>
      <c r="T4" s="3391" t="s">
        <v>1772</v>
      </c>
      <c r="U4" s="3392"/>
      <c r="V4" s="3367" t="s">
        <v>1773</v>
      </c>
      <c r="W4" s="3367"/>
      <c r="X4" s="1265"/>
      <c r="Y4" s="3391" t="s">
        <v>1775</v>
      </c>
      <c r="Z4" s="3392"/>
      <c r="AA4" s="3378" t="s">
        <v>1771</v>
      </c>
      <c r="AB4" s="3379" t="s">
        <v>1772</v>
      </c>
      <c r="AC4" s="3378" t="s">
        <v>1773</v>
      </c>
    </row>
    <row r="5" spans="1:29">
      <c r="A5" s="348"/>
      <c r="B5" s="349"/>
      <c r="C5" s="3399" t="s">
        <v>1673</v>
      </c>
      <c r="D5" s="3400"/>
      <c r="E5" s="3406" t="s">
        <v>1674</v>
      </c>
      <c r="F5" s="3407"/>
      <c r="G5" s="3399" t="s">
        <v>1675</v>
      </c>
      <c r="H5" s="3400"/>
      <c r="I5" s="3399" t="s">
        <v>1676</v>
      </c>
      <c r="J5" s="3400"/>
      <c r="K5" s="537"/>
      <c r="L5" s="860"/>
      <c r="M5" s="861"/>
      <c r="N5" s="861"/>
      <c r="O5" s="861"/>
      <c r="P5" s="3387"/>
      <c r="Q5" s="3388"/>
      <c r="R5" s="3393"/>
      <c r="S5" s="3394"/>
      <c r="T5" s="3393"/>
      <c r="U5" s="3394"/>
      <c r="V5" s="3367"/>
      <c r="W5" s="3367"/>
      <c r="X5" s="1265"/>
      <c r="Y5" s="3393"/>
      <c r="Z5" s="3394"/>
      <c r="AA5" s="3379"/>
      <c r="AB5" s="3379"/>
      <c r="AC5" s="3379"/>
    </row>
    <row r="6" spans="1:29" ht="15" thickBot="1">
      <c r="A6" s="350"/>
      <c r="B6" s="351"/>
      <c r="C6" s="3397" t="s">
        <v>1677</v>
      </c>
      <c r="D6" s="3398"/>
      <c r="E6" s="3404" t="s">
        <v>1677</v>
      </c>
      <c r="F6" s="3405"/>
      <c r="G6" s="3397" t="s">
        <v>1677</v>
      </c>
      <c r="H6" s="3398"/>
      <c r="I6" s="3397" t="s">
        <v>1677</v>
      </c>
      <c r="J6" s="3398"/>
      <c r="K6" s="537" t="s">
        <v>1678</v>
      </c>
      <c r="L6" s="860"/>
      <c r="M6" s="861"/>
      <c r="N6" s="861"/>
      <c r="O6" s="861"/>
      <c r="P6" s="3389"/>
      <c r="Q6" s="3390"/>
      <c r="R6" s="3393"/>
      <c r="S6" s="3394"/>
      <c r="T6" s="3395"/>
      <c r="U6" s="3396"/>
      <c r="V6" s="3367"/>
      <c r="W6" s="3367"/>
      <c r="X6" s="1265"/>
      <c r="Y6" s="3395"/>
      <c r="Z6" s="3396"/>
      <c r="AA6" s="3380"/>
      <c r="AB6" s="3380"/>
      <c r="AC6" s="3380"/>
    </row>
    <row r="7" spans="1:29" s="102" customFormat="1" ht="15" thickBot="1">
      <c r="A7" s="352" t="s">
        <v>1679</v>
      </c>
      <c r="B7" s="353"/>
      <c r="C7" s="354">
        <f>'数据-取费表'!B2</f>
        <v>45664</v>
      </c>
      <c r="D7" s="355">
        <v>100</v>
      </c>
      <c r="E7" s="356"/>
      <c r="F7" s="357">
        <f>SUMIF(52:52,YEAR(E7)&amp;"-"&amp;MONTH(E7),53:53)</f>
        <v>0</v>
      </c>
      <c r="G7" s="356"/>
      <c r="H7" s="355">
        <f>SUMIF(52:52,YEAR(G7)&amp;"-"&amp;MONTH(G7),53:53)</f>
        <v>0</v>
      </c>
      <c r="I7" s="356"/>
      <c r="J7" s="355">
        <f>SUMIF(52:52,YEAR(I7)&amp;"-"&amp;MONTH(I7),53:53)</f>
        <v>0</v>
      </c>
      <c r="K7" s="38"/>
      <c r="L7" s="862"/>
      <c r="M7" s="863"/>
      <c r="N7" s="863"/>
      <c r="O7" s="863"/>
      <c r="P7" s="3401" t="s">
        <v>1680</v>
      </c>
      <c r="Q7" s="3403"/>
      <c r="R7" s="664" t="s">
        <v>14</v>
      </c>
      <c r="S7" s="665">
        <f t="shared" ref="S7:S15" si="0">F7</f>
        <v>0</v>
      </c>
      <c r="T7" s="664" t="s">
        <v>14</v>
      </c>
      <c r="U7" s="665">
        <f t="shared" ref="U7:U15" si="1">H7</f>
        <v>0</v>
      </c>
      <c r="V7" s="664" t="s">
        <v>14</v>
      </c>
      <c r="W7" s="665">
        <f t="shared" ref="W7:W15" si="2">J7</f>
        <v>0</v>
      </c>
      <c r="X7" s="666"/>
      <c r="Y7" s="3401" t="s">
        <v>1680</v>
      </c>
      <c r="Z7" s="3402"/>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1" t="s">
        <v>1683</v>
      </c>
      <c r="Q8" s="3402"/>
      <c r="R8" s="664" t="s">
        <v>14</v>
      </c>
      <c r="S8" s="665">
        <f t="shared" si="0"/>
        <v>100</v>
      </c>
      <c r="T8" s="664" t="s">
        <v>14</v>
      </c>
      <c r="U8" s="665">
        <f t="shared" si="1"/>
        <v>100</v>
      </c>
      <c r="V8" s="664" t="s">
        <v>14</v>
      </c>
      <c r="W8" s="665">
        <f t="shared" si="2"/>
        <v>100</v>
      </c>
      <c r="X8" s="666"/>
      <c r="Y8" s="3401" t="s">
        <v>1683</v>
      </c>
      <c r="Z8" s="3402"/>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6"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66"/>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6"/>
      <c r="Q11" s="530" t="str">
        <f t="shared" si="6"/>
        <v>容积率</v>
      </c>
      <c r="R11" s="664" t="s">
        <v>14</v>
      </c>
      <c r="S11" s="665">
        <f t="shared" si="0"/>
        <v>100</v>
      </c>
      <c r="T11" s="664" t="s">
        <v>14</v>
      </c>
      <c r="U11" s="665">
        <f t="shared" si="1"/>
        <v>100</v>
      </c>
      <c r="V11" s="664" t="s">
        <v>14</v>
      </c>
      <c r="W11" s="665">
        <f t="shared" si="2"/>
        <v>100</v>
      </c>
      <c r="X11" s="666"/>
      <c r="Y11" s="324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6"/>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6"/>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6"/>
      <c r="Q14" s="530">
        <f t="shared" si="6"/>
        <v>111</v>
      </c>
      <c r="R14" s="664" t="s">
        <v>14</v>
      </c>
      <c r="S14" s="665">
        <f t="shared" si="0"/>
        <v>100</v>
      </c>
      <c r="T14" s="664" t="s">
        <v>14</v>
      </c>
      <c r="U14" s="665">
        <f t="shared" si="1"/>
        <v>100</v>
      </c>
      <c r="V14" s="664" t="s">
        <v>14</v>
      </c>
      <c r="W14" s="665">
        <f t="shared" si="2"/>
        <v>100</v>
      </c>
      <c r="X14" s="666"/>
      <c r="Y14" s="3241"/>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68" t="s">
        <v>1691</v>
      </c>
      <c r="Q15" s="1263" t="str">
        <f t="shared" si="6"/>
        <v>产业集聚程度</v>
      </c>
      <c r="R15" s="667" t="s">
        <v>14</v>
      </c>
      <c r="S15" s="668">
        <f t="shared" si="0"/>
        <v>100</v>
      </c>
      <c r="T15" s="667" t="s">
        <v>14</v>
      </c>
      <c r="U15" s="668">
        <f t="shared" si="1"/>
        <v>100</v>
      </c>
      <c r="V15" s="667" t="s">
        <v>14</v>
      </c>
      <c r="W15" s="668">
        <f t="shared" si="2"/>
        <v>100</v>
      </c>
      <c r="X15" s="1265"/>
      <c r="Y15" s="336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69"/>
      <c r="Q16" s="1263"/>
      <c r="R16" s="667"/>
      <c r="S16" s="668"/>
      <c r="T16" s="667"/>
      <c r="U16" s="668"/>
      <c r="V16" s="667"/>
      <c r="W16" s="668"/>
      <c r="X16" s="1265"/>
      <c r="Y16" s="3369"/>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69"/>
      <c r="Q17" s="1263" t="str">
        <f>B17</f>
        <v>交通便捷度</v>
      </c>
      <c r="R17" s="667" t="s">
        <v>14</v>
      </c>
      <c r="S17" s="668">
        <f>F17</f>
        <v>100</v>
      </c>
      <c r="T17" s="667" t="s">
        <v>14</v>
      </c>
      <c r="U17" s="668">
        <f>H17</f>
        <v>100</v>
      </c>
      <c r="V17" s="667" t="s">
        <v>14</v>
      </c>
      <c r="W17" s="668">
        <f>J17</f>
        <v>100</v>
      </c>
      <c r="X17" s="1265"/>
      <c r="Y17" s="336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69"/>
      <c r="Q18" s="1263"/>
      <c r="R18" s="667"/>
      <c r="S18" s="668"/>
      <c r="T18" s="667"/>
      <c r="U18" s="668"/>
      <c r="V18" s="667"/>
      <c r="W18" s="668"/>
      <c r="X18" s="1265"/>
      <c r="Y18" s="3369"/>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69"/>
      <c r="Q19" s="1263" t="str">
        <f>B19</f>
        <v>公共配套设施</v>
      </c>
      <c r="R19" s="667" t="s">
        <v>14</v>
      </c>
      <c r="S19" s="668">
        <f>F19</f>
        <v>100</v>
      </c>
      <c r="T19" s="667" t="s">
        <v>14</v>
      </c>
      <c r="U19" s="668">
        <f>H19</f>
        <v>100</v>
      </c>
      <c r="V19" s="667" t="s">
        <v>14</v>
      </c>
      <c r="W19" s="668">
        <f>J19</f>
        <v>100</v>
      </c>
      <c r="X19" s="1265"/>
      <c r="Y19" s="336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69"/>
      <c r="Q20" s="1263"/>
      <c r="R20" s="667"/>
      <c r="S20" s="668"/>
      <c r="T20" s="667"/>
      <c r="U20" s="668"/>
      <c r="V20" s="667"/>
      <c r="W20" s="668"/>
      <c r="X20" s="1265"/>
      <c r="Y20" s="3369"/>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69"/>
      <c r="Q21" s="1263" t="str">
        <f>B21</f>
        <v>基础设施水平</v>
      </c>
      <c r="R21" s="667" t="s">
        <v>14</v>
      </c>
      <c r="S21" s="668">
        <f>F21</f>
        <v>100</v>
      </c>
      <c r="T21" s="667" t="s">
        <v>14</v>
      </c>
      <c r="U21" s="668">
        <f>H21</f>
        <v>100</v>
      </c>
      <c r="V21" s="667" t="s">
        <v>14</v>
      </c>
      <c r="W21" s="668">
        <f>J21</f>
        <v>100</v>
      </c>
      <c r="X21" s="1265"/>
      <c r="Y21" s="336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69"/>
      <c r="Q22" s="1263"/>
      <c r="R22" s="667"/>
      <c r="S22" s="668"/>
      <c r="T22" s="667"/>
      <c r="U22" s="668"/>
      <c r="V22" s="667"/>
      <c r="W22" s="668"/>
      <c r="X22" s="1265"/>
      <c r="Y22" s="3369"/>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69"/>
      <c r="Q23" s="1263" t="str">
        <f>B23</f>
        <v>环境质量</v>
      </c>
      <c r="R23" s="667" t="s">
        <v>14</v>
      </c>
      <c r="S23" s="668">
        <f>F23</f>
        <v>100</v>
      </c>
      <c r="T23" s="667" t="s">
        <v>14</v>
      </c>
      <c r="U23" s="668">
        <f>H23</f>
        <v>100</v>
      </c>
      <c r="V23" s="667" t="s">
        <v>14</v>
      </c>
      <c r="W23" s="668">
        <f>J23</f>
        <v>100</v>
      </c>
      <c r="X23" s="1265"/>
      <c r="Y23" s="336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69"/>
      <c r="Q24" s="1263"/>
      <c r="R24" s="667"/>
      <c r="S24" s="668"/>
      <c r="T24" s="667"/>
      <c r="U24" s="668"/>
      <c r="V24" s="667"/>
      <c r="W24" s="668"/>
      <c r="X24" s="1265"/>
      <c r="Y24" s="336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69"/>
      <c r="Q25" s="1263">
        <f>B25</f>
        <v>111</v>
      </c>
      <c r="R25" s="667" t="s">
        <v>14</v>
      </c>
      <c r="S25" s="668">
        <f>F25</f>
        <v>100</v>
      </c>
      <c r="T25" s="667" t="s">
        <v>14</v>
      </c>
      <c r="U25" s="668">
        <f>H25</f>
        <v>100</v>
      </c>
      <c r="V25" s="667" t="s">
        <v>14</v>
      </c>
      <c r="W25" s="668">
        <f>J25</f>
        <v>100</v>
      </c>
      <c r="X25" s="1265"/>
      <c r="Y25" s="336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69"/>
      <c r="Q26" s="1263">
        <f t="shared" ref="Q26:Q40" si="11">B26</f>
        <v>111</v>
      </c>
      <c r="R26" s="667" t="s">
        <v>14</v>
      </c>
      <c r="S26" s="668">
        <f>F26</f>
        <v>100</v>
      </c>
      <c r="T26" s="667" t="s">
        <v>14</v>
      </c>
      <c r="U26" s="668">
        <f>H26</f>
        <v>100</v>
      </c>
      <c r="V26" s="667" t="s">
        <v>14</v>
      </c>
      <c r="W26" s="668">
        <f>J26</f>
        <v>100</v>
      </c>
      <c r="X26" s="1265"/>
      <c r="Y26" s="336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69"/>
      <c r="Q27" s="530">
        <f t="shared" si="11"/>
        <v>111</v>
      </c>
      <c r="R27" s="664" t="s">
        <v>14</v>
      </c>
      <c r="S27" s="665">
        <f>F27</f>
        <v>100</v>
      </c>
      <c r="T27" s="664" t="s">
        <v>14</v>
      </c>
      <c r="U27" s="665">
        <f>H27</f>
        <v>100</v>
      </c>
      <c r="V27" s="664" t="s">
        <v>14</v>
      </c>
      <c r="W27" s="665">
        <f>J27</f>
        <v>100</v>
      </c>
      <c r="X27" s="666"/>
      <c r="Y27" s="3369"/>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69"/>
      <c r="Q28" s="1263">
        <f t="shared" si="11"/>
        <v>111</v>
      </c>
      <c r="R28" s="667" t="s">
        <v>14</v>
      </c>
      <c r="S28" s="668">
        <f t="shared" ref="S28:S40" si="12">F28</f>
        <v>100</v>
      </c>
      <c r="T28" s="667" t="s">
        <v>14</v>
      </c>
      <c r="U28" s="668">
        <f t="shared" ref="U28:U40" si="13">H28</f>
        <v>100</v>
      </c>
      <c r="V28" s="667" t="s">
        <v>14</v>
      </c>
      <c r="W28" s="668">
        <f t="shared" ref="W28:W40" si="14">J28</f>
        <v>100</v>
      </c>
      <c r="X28" s="1265"/>
      <c r="Y28" s="3369"/>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23" t="s">
        <v>1696</v>
      </c>
      <c r="Q29" s="1263" t="str">
        <f t="shared" si="11"/>
        <v>建筑类型</v>
      </c>
      <c r="R29" s="667" t="s">
        <v>14</v>
      </c>
      <c r="S29" s="668">
        <f t="shared" si="12"/>
        <v>100</v>
      </c>
      <c r="T29" s="667" t="s">
        <v>14</v>
      </c>
      <c r="U29" s="668">
        <f t="shared" si="13"/>
        <v>100</v>
      </c>
      <c r="V29" s="667" t="s">
        <v>14</v>
      </c>
      <c r="W29" s="668">
        <f t="shared" si="14"/>
        <v>100</v>
      </c>
      <c r="X29" s="1265"/>
      <c r="Y29" s="3373"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3"/>
      <c r="Q30" s="531" t="str">
        <f t="shared" si="11"/>
        <v>项目建筑规模</v>
      </c>
      <c r="R30" s="669" t="s">
        <v>14</v>
      </c>
      <c r="S30" s="670" t="e">
        <f t="shared" si="12"/>
        <v>#N/A</v>
      </c>
      <c r="T30" s="669" t="s">
        <v>14</v>
      </c>
      <c r="U30" s="670" t="e">
        <f t="shared" si="13"/>
        <v>#N/A</v>
      </c>
      <c r="V30" s="669" t="s">
        <v>14</v>
      </c>
      <c r="W30" s="670" t="e">
        <f t="shared" si="14"/>
        <v>#N/A</v>
      </c>
      <c r="X30" s="671"/>
      <c r="Y30" s="3373"/>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3"/>
      <c r="Q31" s="1263" t="str">
        <f t="shared" si="11"/>
        <v>建筑结构</v>
      </c>
      <c r="R31" s="667" t="s">
        <v>14</v>
      </c>
      <c r="S31" s="668">
        <f t="shared" si="12"/>
        <v>100</v>
      </c>
      <c r="T31" s="667" t="s">
        <v>14</v>
      </c>
      <c r="U31" s="668">
        <f t="shared" si="13"/>
        <v>100</v>
      </c>
      <c r="V31" s="667" t="s">
        <v>14</v>
      </c>
      <c r="W31" s="668">
        <f t="shared" si="14"/>
        <v>100</v>
      </c>
      <c r="X31" s="1265"/>
      <c r="Y31" s="337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3"/>
      <c r="Q32" s="1263" t="str">
        <f t="shared" si="11"/>
        <v>公共部分装修</v>
      </c>
      <c r="R32" s="667" t="s">
        <v>14</v>
      </c>
      <c r="S32" s="668">
        <f t="shared" si="12"/>
        <v>100</v>
      </c>
      <c r="T32" s="667" t="s">
        <v>14</v>
      </c>
      <c r="U32" s="668">
        <f t="shared" si="13"/>
        <v>100</v>
      </c>
      <c r="V32" s="667" t="s">
        <v>14</v>
      </c>
      <c r="W32" s="668">
        <f t="shared" si="14"/>
        <v>100</v>
      </c>
      <c r="X32" s="1265"/>
      <c r="Y32" s="3373"/>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3"/>
      <c r="Q33" s="1263" t="str">
        <f t="shared" si="11"/>
        <v>成新度</v>
      </c>
      <c r="R33" s="667" t="s">
        <v>14</v>
      </c>
      <c r="S33" s="668" t="e">
        <f t="shared" si="12"/>
        <v>#N/A</v>
      </c>
      <c r="T33" s="667" t="s">
        <v>14</v>
      </c>
      <c r="U33" s="668" t="e">
        <f t="shared" si="13"/>
        <v>#N/A</v>
      </c>
      <c r="V33" s="667" t="s">
        <v>14</v>
      </c>
      <c r="W33" s="668" t="e">
        <f t="shared" si="14"/>
        <v>#N/A</v>
      </c>
      <c r="X33" s="1265"/>
      <c r="Y33" s="3373"/>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3"/>
      <c r="Q34" s="530" t="str">
        <f t="shared" si="11"/>
        <v>物业管理</v>
      </c>
      <c r="R34" s="664" t="s">
        <v>14</v>
      </c>
      <c r="S34" s="665">
        <f t="shared" si="12"/>
        <v>100</v>
      </c>
      <c r="T34" s="664" t="s">
        <v>14</v>
      </c>
      <c r="U34" s="665">
        <f t="shared" si="13"/>
        <v>100</v>
      </c>
      <c r="V34" s="664" t="s">
        <v>14</v>
      </c>
      <c r="W34" s="665">
        <f t="shared" si="14"/>
        <v>100</v>
      </c>
      <c r="X34" s="666"/>
      <c r="Y34" s="337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3" t="s">
        <v>1696</v>
      </c>
      <c r="Q35" s="1263" t="str">
        <f t="shared" si="11"/>
        <v>市政基础设施</v>
      </c>
      <c r="R35" s="667" t="s">
        <v>14</v>
      </c>
      <c r="S35" s="668">
        <f t="shared" si="12"/>
        <v>100</v>
      </c>
      <c r="T35" s="667" t="s">
        <v>14</v>
      </c>
      <c r="U35" s="668">
        <f t="shared" si="13"/>
        <v>100</v>
      </c>
      <c r="V35" s="667" t="s">
        <v>14</v>
      </c>
      <c r="W35" s="668">
        <f t="shared" si="14"/>
        <v>100</v>
      </c>
      <c r="X35" s="1265"/>
      <c r="Y35" s="3373"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3"/>
      <c r="Q36" s="1263" t="str">
        <f t="shared" si="11"/>
        <v>内部装修</v>
      </c>
      <c r="R36" s="667" t="s">
        <v>14</v>
      </c>
      <c r="S36" s="668">
        <f t="shared" si="12"/>
        <v>100</v>
      </c>
      <c r="T36" s="667" t="s">
        <v>14</v>
      </c>
      <c r="U36" s="668">
        <f t="shared" si="13"/>
        <v>100</v>
      </c>
      <c r="V36" s="667" t="s">
        <v>14</v>
      </c>
      <c r="W36" s="668">
        <f t="shared" si="14"/>
        <v>100</v>
      </c>
      <c r="X36" s="1265"/>
      <c r="Y36" s="337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3"/>
      <c r="Q37" s="1263" t="str">
        <f t="shared" si="11"/>
        <v>内部装修状况</v>
      </c>
      <c r="R37" s="667" t="s">
        <v>14</v>
      </c>
      <c r="S37" s="668">
        <f t="shared" si="12"/>
        <v>100</v>
      </c>
      <c r="T37" s="667" t="s">
        <v>14</v>
      </c>
      <c r="U37" s="668">
        <f t="shared" si="13"/>
        <v>100</v>
      </c>
      <c r="V37" s="667" t="s">
        <v>14</v>
      </c>
      <c r="W37" s="668">
        <f t="shared" si="14"/>
        <v>100</v>
      </c>
      <c r="X37" s="1265"/>
      <c r="Y37" s="337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3"/>
      <c r="Q38" s="531">
        <f t="shared" si="11"/>
        <v>111</v>
      </c>
      <c r="R38" s="669" t="s">
        <v>14</v>
      </c>
      <c r="S38" s="670">
        <f t="shared" si="12"/>
        <v>100</v>
      </c>
      <c r="T38" s="669" t="s">
        <v>14</v>
      </c>
      <c r="U38" s="670">
        <f t="shared" si="13"/>
        <v>100</v>
      </c>
      <c r="V38" s="669" t="s">
        <v>14</v>
      </c>
      <c r="W38" s="670">
        <f t="shared" si="14"/>
        <v>100</v>
      </c>
      <c r="X38" s="671"/>
      <c r="Y38" s="337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3"/>
      <c r="Q39" s="1263">
        <f t="shared" si="11"/>
        <v>111</v>
      </c>
      <c r="R39" s="667" t="s">
        <v>14</v>
      </c>
      <c r="S39" s="668">
        <f t="shared" si="12"/>
        <v>100</v>
      </c>
      <c r="T39" s="667" t="s">
        <v>14</v>
      </c>
      <c r="U39" s="668">
        <f t="shared" si="13"/>
        <v>100</v>
      </c>
      <c r="V39" s="667" t="s">
        <v>14</v>
      </c>
      <c r="W39" s="668">
        <f t="shared" si="14"/>
        <v>100</v>
      </c>
      <c r="X39" s="1265"/>
      <c r="Y39" s="3373"/>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4"/>
      <c r="Q40" s="1263">
        <f t="shared" si="11"/>
        <v>111</v>
      </c>
      <c r="R40" s="667" t="s">
        <v>14</v>
      </c>
      <c r="S40" s="668">
        <f t="shared" si="12"/>
        <v>100</v>
      </c>
      <c r="T40" s="667" t="s">
        <v>14</v>
      </c>
      <c r="U40" s="668">
        <f t="shared" si="13"/>
        <v>100</v>
      </c>
      <c r="V40" s="667" t="s">
        <v>14</v>
      </c>
      <c r="W40" s="668">
        <f t="shared" si="14"/>
        <v>100</v>
      </c>
      <c r="X40" s="1265"/>
      <c r="Y40" s="3374"/>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66" t="str">
        <f>A41</f>
        <v>成交单价（元/平方米）</v>
      </c>
      <c r="Q41" s="3366"/>
      <c r="R41" s="3367">
        <f>E41</f>
        <v>0</v>
      </c>
      <c r="S41" s="3367"/>
      <c r="T41" s="3367">
        <f>G41</f>
        <v>0</v>
      </c>
      <c r="U41" s="3367"/>
      <c r="V41" s="3367">
        <f>I41</f>
        <v>0</v>
      </c>
      <c r="W41" s="3367"/>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66" t="str">
        <f>A42</f>
        <v>比较价值（元/平方米）</v>
      </c>
      <c r="Q42" s="3366"/>
      <c r="R42" s="3367" t="e">
        <f>IF(F1="售价",ROUND(PRODUCT(R41,AA7:AA40),0),ROUND(PRODUCT(R41,AA7:AA40),1))</f>
        <v>#DIV/0!</v>
      </c>
      <c r="S42" s="3367"/>
      <c r="T42" s="3367" t="e">
        <f>IF(F1="售价",ROUND(PRODUCT(T41,AB7:AB40),0),ROUND(PRODUCT(T41,AB7:AB40),1))</f>
        <v>#DIV/0!</v>
      </c>
      <c r="U42" s="3367"/>
      <c r="V42" s="3367" t="e">
        <f>IF(F1="售价",ROUND(PRODUCT(V41,AC7:AC40),0),ROUND(PRODUCT(V41,AC7:AC40),1))</f>
        <v>#DIV/0!</v>
      </c>
      <c r="W42" s="3367"/>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63" t="str">
        <f>A43</f>
        <v>估价对象XX用房的比较价值（楼面单价，元/平方米）</v>
      </c>
      <c r="Q43" s="3364"/>
      <c r="R43" s="3365" t="e">
        <f>IF(F1="售价",ROUND(IF(D42="简单平均",AVERAGE(R42:V42),R42*F42+T42*H42+V42*J42),0),ROUND(IF(D42="简单平均",AVERAGE(R42:V42),R42*F42+T42*H42+V42*J42),1))</f>
        <v>#DIV/0!</v>
      </c>
      <c r="S43" s="3365"/>
      <c r="T43" s="3365"/>
      <c r="U43" s="3365"/>
      <c r="V43" s="3365"/>
      <c r="W43" s="3365"/>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2025-1</v>
      </c>
      <c r="D52" s="1104">
        <f>EDATE(C52,-1)</f>
        <v>45627</v>
      </c>
      <c r="E52" s="1104">
        <f t="shared" ref="E52:O52" si="16">EDATE(D52,-1)</f>
        <v>45597</v>
      </c>
      <c r="F52" s="1104">
        <f t="shared" si="16"/>
        <v>45566</v>
      </c>
      <c r="G52" s="1104">
        <f t="shared" si="16"/>
        <v>45536</v>
      </c>
      <c r="H52" s="1104">
        <f t="shared" si="16"/>
        <v>45505</v>
      </c>
      <c r="I52" s="1104">
        <f t="shared" si="16"/>
        <v>45474</v>
      </c>
      <c r="J52" s="1104">
        <f t="shared" si="16"/>
        <v>45444</v>
      </c>
      <c r="K52" s="1104">
        <f t="shared" si="16"/>
        <v>45413</v>
      </c>
      <c r="L52" s="1104">
        <f t="shared" si="16"/>
        <v>45383</v>
      </c>
      <c r="M52" s="1104">
        <f t="shared" si="16"/>
        <v>45352</v>
      </c>
      <c r="N52" s="1104">
        <f t="shared" si="16"/>
        <v>45323</v>
      </c>
      <c r="O52" s="1104">
        <f t="shared" si="16"/>
        <v>45292</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8"/>
      <c r="O54" s="2539"/>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4.4">
      <c r="A4" s="345" t="s">
        <v>1769</v>
      </c>
      <c r="B4" s="346"/>
      <c r="C4" s="3381" t="s">
        <v>1770</v>
      </c>
      <c r="D4" s="3382"/>
      <c r="E4" s="3383" t="s">
        <v>1771</v>
      </c>
      <c r="F4" s="3384"/>
      <c r="G4" s="3381" t="s">
        <v>1772</v>
      </c>
      <c r="H4" s="3382"/>
      <c r="I4" s="3381" t="s">
        <v>1773</v>
      </c>
      <c r="J4" s="3382"/>
      <c r="K4" s="537" t="s">
        <v>1774</v>
      </c>
      <c r="L4" s="2486"/>
      <c r="M4" s="2487"/>
      <c r="N4" s="2487"/>
      <c r="O4" s="2487"/>
      <c r="P4" s="3385" t="s">
        <v>1775</v>
      </c>
      <c r="Q4" s="3386"/>
      <c r="R4" s="3391" t="s">
        <v>1771</v>
      </c>
      <c r="S4" s="3392"/>
      <c r="T4" s="3391" t="s">
        <v>1772</v>
      </c>
      <c r="U4" s="3392"/>
      <c r="V4" s="3367" t="s">
        <v>1773</v>
      </c>
      <c r="W4" s="3367"/>
      <c r="X4" s="1265"/>
      <c r="Y4" s="3391" t="s">
        <v>1775</v>
      </c>
      <c r="Z4" s="3392"/>
      <c r="AA4" s="3378" t="s">
        <v>1771</v>
      </c>
      <c r="AB4" s="3379" t="s">
        <v>1772</v>
      </c>
      <c r="AC4" s="3378" t="s">
        <v>1773</v>
      </c>
    </row>
    <row r="5" spans="1:29">
      <c r="A5" s="348"/>
      <c r="B5" s="349"/>
      <c r="C5" s="3399" t="s">
        <v>1673</v>
      </c>
      <c r="D5" s="3400"/>
      <c r="E5" s="3406" t="s">
        <v>1674</v>
      </c>
      <c r="F5" s="3407"/>
      <c r="G5" s="3399" t="s">
        <v>1675</v>
      </c>
      <c r="H5" s="3400"/>
      <c r="I5" s="3399" t="s">
        <v>1676</v>
      </c>
      <c r="J5" s="3400"/>
      <c r="K5" s="537"/>
      <c r="L5" s="2486"/>
      <c r="M5" s="2487"/>
      <c r="N5" s="2487"/>
      <c r="O5" s="2487"/>
      <c r="P5" s="3387"/>
      <c r="Q5" s="3388"/>
      <c r="R5" s="3393"/>
      <c r="S5" s="3394"/>
      <c r="T5" s="3393"/>
      <c r="U5" s="3394"/>
      <c r="V5" s="3367"/>
      <c r="W5" s="3367"/>
      <c r="X5" s="1265"/>
      <c r="Y5" s="3393"/>
      <c r="Z5" s="3394"/>
      <c r="AA5" s="3379"/>
      <c r="AB5" s="3379"/>
      <c r="AC5" s="3379"/>
    </row>
    <row r="6" spans="1:29" ht="15" thickBot="1">
      <c r="A6" s="350"/>
      <c r="B6" s="351"/>
      <c r="C6" s="3397" t="s">
        <v>1677</v>
      </c>
      <c r="D6" s="3398"/>
      <c r="E6" s="3404" t="s">
        <v>1677</v>
      </c>
      <c r="F6" s="3405"/>
      <c r="G6" s="3397" t="s">
        <v>1677</v>
      </c>
      <c r="H6" s="3398"/>
      <c r="I6" s="3397" t="s">
        <v>1677</v>
      </c>
      <c r="J6" s="3398"/>
      <c r="K6" s="537" t="s">
        <v>1678</v>
      </c>
      <c r="L6" s="2486"/>
      <c r="M6" s="2487"/>
      <c r="N6" s="2487"/>
      <c r="O6" s="2487"/>
      <c r="P6" s="3389"/>
      <c r="Q6" s="3390"/>
      <c r="R6" s="3393"/>
      <c r="S6" s="3394"/>
      <c r="T6" s="3395"/>
      <c r="U6" s="3396"/>
      <c r="V6" s="3367"/>
      <c r="W6" s="3367"/>
      <c r="X6" s="1265"/>
      <c r="Y6" s="3395"/>
      <c r="Z6" s="3396"/>
      <c r="AA6" s="3380"/>
      <c r="AB6" s="3380"/>
      <c r="AC6" s="3380"/>
    </row>
    <row r="7" spans="1:29" s="102" customFormat="1" ht="15" thickBot="1">
      <c r="A7" s="352" t="s">
        <v>1679</v>
      </c>
      <c r="B7" s="353"/>
      <c r="C7" s="354">
        <f>'数据-取费表'!B2</f>
        <v>45664</v>
      </c>
      <c r="D7" s="355">
        <v>100</v>
      </c>
      <c r="E7" s="356"/>
      <c r="F7" s="357">
        <f>SUMIF(48:48,YEAR(E7)&amp;"-"&amp;MONTH(E7),49:49)</f>
        <v>0</v>
      </c>
      <c r="G7" s="356"/>
      <c r="H7" s="355">
        <f>SUMIF(48:48,YEAR(G7)&amp;"-"&amp;MONTH(G7),49:49)</f>
        <v>0</v>
      </c>
      <c r="I7" s="356"/>
      <c r="J7" s="355">
        <f>SUMIF(48:48,YEAR(I7)&amp;"-"&amp;MONTH(I7),49:49)</f>
        <v>0</v>
      </c>
      <c r="K7" s="38"/>
      <c r="L7" s="2488"/>
      <c r="M7" s="2440"/>
      <c r="N7" s="2440"/>
      <c r="O7" s="2440"/>
      <c r="P7" s="3401" t="s">
        <v>1680</v>
      </c>
      <c r="Q7" s="3403"/>
      <c r="R7" s="664" t="s">
        <v>14</v>
      </c>
      <c r="S7" s="665">
        <f t="shared" ref="S7:S14" si="0">F7</f>
        <v>0</v>
      </c>
      <c r="T7" s="664" t="s">
        <v>14</v>
      </c>
      <c r="U7" s="665">
        <f t="shared" ref="U7:U14" si="1">H7</f>
        <v>0</v>
      </c>
      <c r="V7" s="664" t="s">
        <v>14</v>
      </c>
      <c r="W7" s="665">
        <f t="shared" ref="W7:W14" si="2">J7</f>
        <v>0</v>
      </c>
      <c r="X7" s="666"/>
      <c r="Y7" s="3401" t="s">
        <v>1680</v>
      </c>
      <c r="Z7" s="3402"/>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401" t="s">
        <v>1683</v>
      </c>
      <c r="Q8" s="3402"/>
      <c r="R8" s="664" t="s">
        <v>14</v>
      </c>
      <c r="S8" s="665">
        <f t="shared" si="0"/>
        <v>100</v>
      </c>
      <c r="T8" s="664" t="s">
        <v>14</v>
      </c>
      <c r="U8" s="665">
        <f t="shared" si="1"/>
        <v>100</v>
      </c>
      <c r="V8" s="664" t="s">
        <v>14</v>
      </c>
      <c r="W8" s="665">
        <f t="shared" si="2"/>
        <v>100</v>
      </c>
      <c r="X8" s="666"/>
      <c r="Y8" s="3401" t="s">
        <v>1683</v>
      </c>
      <c r="Z8" s="3402"/>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366" t="s">
        <v>1686</v>
      </c>
      <c r="Q9" s="530" t="str">
        <f t="shared" ref="Q9:Q14" si="6">B9</f>
        <v>用途</v>
      </c>
      <c r="R9" s="664" t="s">
        <v>14</v>
      </c>
      <c r="S9" s="665">
        <f t="shared" si="0"/>
        <v>100</v>
      </c>
      <c r="T9" s="664" t="s">
        <v>14</v>
      </c>
      <c r="U9" s="665">
        <f t="shared" si="1"/>
        <v>100</v>
      </c>
      <c r="V9" s="664" t="s">
        <v>14</v>
      </c>
      <c r="W9" s="665">
        <f t="shared" si="2"/>
        <v>100</v>
      </c>
      <c r="X9" s="666"/>
      <c r="Y9" s="3241" t="s">
        <v>1687</v>
      </c>
      <c r="Z9" s="50" t="str">
        <f t="shared" ref="Z9:Z14" si="7">Q9</f>
        <v>用途</v>
      </c>
      <c r="AA9" s="50">
        <f t="shared" si="3"/>
        <v>1</v>
      </c>
      <c r="AB9" s="50">
        <f t="shared" si="4"/>
        <v>1</v>
      </c>
      <c r="AC9" s="50">
        <f t="shared" si="5"/>
        <v>1</v>
      </c>
    </row>
    <row r="10" spans="1:29" s="366" customFormat="1" ht="28.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66"/>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66"/>
      <c r="Q11" s="530">
        <f t="shared" si="6"/>
        <v>111</v>
      </c>
      <c r="R11" s="664" t="s">
        <v>14</v>
      </c>
      <c r="S11" s="665">
        <f t="shared" si="0"/>
        <v>100</v>
      </c>
      <c r="T11" s="664" t="s">
        <v>14</v>
      </c>
      <c r="U11" s="665">
        <f t="shared" si="1"/>
        <v>100</v>
      </c>
      <c r="V11" s="664" t="s">
        <v>14</v>
      </c>
      <c r="W11" s="665">
        <f t="shared" si="2"/>
        <v>100</v>
      </c>
      <c r="X11" s="666"/>
      <c r="Y11" s="324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366"/>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66"/>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68" t="s">
        <v>1691</v>
      </c>
      <c r="Q14" s="1263" t="str">
        <f t="shared" si="6"/>
        <v>交通便捷度</v>
      </c>
      <c r="R14" s="667" t="s">
        <v>14</v>
      </c>
      <c r="S14" s="668">
        <f t="shared" si="0"/>
        <v>100</v>
      </c>
      <c r="T14" s="667" t="s">
        <v>14</v>
      </c>
      <c r="U14" s="668">
        <f t="shared" si="1"/>
        <v>100</v>
      </c>
      <c r="V14" s="667" t="s">
        <v>14</v>
      </c>
      <c r="W14" s="668">
        <f t="shared" si="2"/>
        <v>100</v>
      </c>
      <c r="X14" s="1265"/>
      <c r="Y14" s="336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369"/>
      <c r="Q15" s="1263"/>
      <c r="R15" s="667"/>
      <c r="S15" s="668"/>
      <c r="T15" s="667"/>
      <c r="U15" s="668"/>
      <c r="V15" s="667"/>
      <c r="W15" s="668"/>
      <c r="X15" s="1265"/>
      <c r="Y15" s="3369"/>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69"/>
      <c r="Q16" s="1263" t="str">
        <f>B16</f>
        <v>公共配套设施</v>
      </c>
      <c r="R16" s="667" t="s">
        <v>14</v>
      </c>
      <c r="S16" s="668">
        <f>F16</f>
        <v>100</v>
      </c>
      <c r="T16" s="667" t="s">
        <v>14</v>
      </c>
      <c r="U16" s="668">
        <f>H16</f>
        <v>100</v>
      </c>
      <c r="V16" s="667" t="s">
        <v>14</v>
      </c>
      <c r="W16" s="668">
        <f>J16</f>
        <v>100</v>
      </c>
      <c r="X16" s="1265"/>
      <c r="Y16" s="336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369"/>
      <c r="Q17" s="1263"/>
      <c r="R17" s="667"/>
      <c r="S17" s="668"/>
      <c r="T17" s="667"/>
      <c r="U17" s="668"/>
      <c r="V17" s="667"/>
      <c r="W17" s="668"/>
      <c r="X17" s="1265"/>
      <c r="Y17" s="3369"/>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69"/>
      <c r="Q18" s="1263" t="str">
        <f>B18</f>
        <v>基础设施水平</v>
      </c>
      <c r="R18" s="667" t="s">
        <v>14</v>
      </c>
      <c r="S18" s="668">
        <f>F18</f>
        <v>100</v>
      </c>
      <c r="T18" s="667" t="s">
        <v>14</v>
      </c>
      <c r="U18" s="668">
        <f>H18</f>
        <v>100</v>
      </c>
      <c r="V18" s="667" t="s">
        <v>14</v>
      </c>
      <c r="W18" s="668">
        <f>J18</f>
        <v>100</v>
      </c>
      <c r="X18" s="1265"/>
      <c r="Y18" s="336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369"/>
      <c r="Q19" s="1263"/>
      <c r="R19" s="667"/>
      <c r="S19" s="668"/>
      <c r="T19" s="667"/>
      <c r="U19" s="668"/>
      <c r="V19" s="667"/>
      <c r="W19" s="668"/>
      <c r="X19" s="1265"/>
      <c r="Y19" s="3369"/>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69"/>
      <c r="Q20" s="1263" t="str">
        <f>B20</f>
        <v>自然及人文环境</v>
      </c>
      <c r="R20" s="667" t="s">
        <v>14</v>
      </c>
      <c r="S20" s="668">
        <f>F20</f>
        <v>100</v>
      </c>
      <c r="T20" s="667" t="s">
        <v>14</v>
      </c>
      <c r="U20" s="668">
        <f>H20</f>
        <v>100</v>
      </c>
      <c r="V20" s="667" t="s">
        <v>14</v>
      </c>
      <c r="W20" s="668">
        <f>J20</f>
        <v>100</v>
      </c>
      <c r="X20" s="1265"/>
      <c r="Y20" s="336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369"/>
      <c r="Q21" s="1263"/>
      <c r="R21" s="667"/>
      <c r="S21" s="668"/>
      <c r="T21" s="667"/>
      <c r="U21" s="668"/>
      <c r="V21" s="667"/>
      <c r="W21" s="668"/>
      <c r="X21" s="1265"/>
      <c r="Y21" s="336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69"/>
      <c r="Q22" s="1263" t="str">
        <f>B22</f>
        <v>楼层</v>
      </c>
      <c r="R22" s="667" t="s">
        <v>14</v>
      </c>
      <c r="S22" s="668">
        <f>F22</f>
        <v>100</v>
      </c>
      <c r="T22" s="667" t="s">
        <v>14</v>
      </c>
      <c r="U22" s="668">
        <f>H22</f>
        <v>100</v>
      </c>
      <c r="V22" s="667" t="s">
        <v>14</v>
      </c>
      <c r="W22" s="668">
        <f>J22</f>
        <v>100</v>
      </c>
      <c r="X22" s="1265"/>
      <c r="Y22" s="336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69"/>
      <c r="Q23" s="1263">
        <f>B23</f>
        <v>111</v>
      </c>
      <c r="R23" s="667" t="s">
        <v>14</v>
      </c>
      <c r="S23" s="668">
        <f>F23</f>
        <v>100</v>
      </c>
      <c r="T23" s="667" t="s">
        <v>14</v>
      </c>
      <c r="U23" s="668">
        <f>H23</f>
        <v>100</v>
      </c>
      <c r="V23" s="667" t="s">
        <v>14</v>
      </c>
      <c r="W23" s="668">
        <f>J23</f>
        <v>100</v>
      </c>
      <c r="X23" s="1265"/>
      <c r="Y23" s="336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69"/>
      <c r="Q24" s="1263">
        <f t="shared" ref="Q24:Q36" si="11">B24</f>
        <v>111</v>
      </c>
      <c r="R24" s="667" t="s">
        <v>14</v>
      </c>
      <c r="S24" s="668">
        <f>F24</f>
        <v>100</v>
      </c>
      <c r="T24" s="667" t="s">
        <v>14</v>
      </c>
      <c r="U24" s="668">
        <f>H24</f>
        <v>100</v>
      </c>
      <c r="V24" s="667" t="s">
        <v>14</v>
      </c>
      <c r="W24" s="668">
        <f>J24</f>
        <v>100</v>
      </c>
      <c r="X24" s="1265"/>
      <c r="Y24" s="3369"/>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369"/>
      <c r="Q25" s="530">
        <f t="shared" si="11"/>
        <v>111</v>
      </c>
      <c r="R25" s="664" t="s">
        <v>14</v>
      </c>
      <c r="S25" s="665">
        <f>F25</f>
        <v>100</v>
      </c>
      <c r="T25" s="664" t="s">
        <v>14</v>
      </c>
      <c r="U25" s="665">
        <f>H25</f>
        <v>100</v>
      </c>
      <c r="V25" s="664" t="s">
        <v>14</v>
      </c>
      <c r="W25" s="665">
        <f>J25</f>
        <v>100</v>
      </c>
      <c r="X25" s="666"/>
      <c r="Y25" s="3369"/>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2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3"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73"/>
      <c r="Q27" s="531" t="str">
        <f t="shared" si="11"/>
        <v>项目停车位配比</v>
      </c>
      <c r="R27" s="669" t="s">
        <v>14</v>
      </c>
      <c r="S27" s="670">
        <f t="shared" si="12"/>
        <v>100</v>
      </c>
      <c r="T27" s="669" t="s">
        <v>14</v>
      </c>
      <c r="U27" s="670">
        <f t="shared" si="13"/>
        <v>100</v>
      </c>
      <c r="V27" s="669" t="s">
        <v>14</v>
      </c>
      <c r="W27" s="670">
        <f t="shared" si="14"/>
        <v>100</v>
      </c>
      <c r="X27" s="671"/>
      <c r="Y27" s="3373"/>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73"/>
      <c r="Q28" s="1263" t="str">
        <f t="shared" si="11"/>
        <v>公共部分装修</v>
      </c>
      <c r="R28" s="667" t="s">
        <v>14</v>
      </c>
      <c r="S28" s="668">
        <f t="shared" si="12"/>
        <v>100</v>
      </c>
      <c r="T28" s="667" t="s">
        <v>14</v>
      </c>
      <c r="U28" s="668">
        <f t="shared" si="13"/>
        <v>100</v>
      </c>
      <c r="V28" s="667" t="s">
        <v>14</v>
      </c>
      <c r="W28" s="668">
        <f t="shared" si="14"/>
        <v>100</v>
      </c>
      <c r="X28" s="1265"/>
      <c r="Y28" s="3373"/>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73"/>
      <c r="Q29" s="1263" t="str">
        <f t="shared" si="11"/>
        <v>成新率</v>
      </c>
      <c r="R29" s="667" t="s">
        <v>14</v>
      </c>
      <c r="S29" s="668" t="e">
        <f t="shared" si="12"/>
        <v>#N/A</v>
      </c>
      <c r="T29" s="667" t="s">
        <v>14</v>
      </c>
      <c r="U29" s="668" t="e">
        <f t="shared" si="13"/>
        <v>#N/A</v>
      </c>
      <c r="V29" s="667" t="s">
        <v>14</v>
      </c>
      <c r="W29" s="668" t="e">
        <f t="shared" si="14"/>
        <v>#N/A</v>
      </c>
      <c r="X29" s="1265"/>
      <c r="Y29" s="3373"/>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73"/>
      <c r="Q30" s="1263" t="str">
        <f t="shared" si="11"/>
        <v>物业等级</v>
      </c>
      <c r="R30" s="667" t="s">
        <v>14</v>
      </c>
      <c r="S30" s="668">
        <f t="shared" si="12"/>
        <v>100</v>
      </c>
      <c r="T30" s="667" t="s">
        <v>14</v>
      </c>
      <c r="U30" s="668">
        <f t="shared" si="13"/>
        <v>100</v>
      </c>
      <c r="V30" s="667" t="s">
        <v>14</v>
      </c>
      <c r="W30" s="668">
        <f t="shared" si="14"/>
        <v>100</v>
      </c>
      <c r="X30" s="1265"/>
      <c r="Y30" s="337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373"/>
      <c r="Q31" s="530" t="str">
        <f t="shared" si="11"/>
        <v>停车位面积</v>
      </c>
      <c r="R31" s="664" t="s">
        <v>14</v>
      </c>
      <c r="S31" s="665" t="e">
        <f t="shared" si="12"/>
        <v>#N/A</v>
      </c>
      <c r="T31" s="664" t="s">
        <v>14</v>
      </c>
      <c r="U31" s="665" t="e">
        <f t="shared" si="13"/>
        <v>#N/A</v>
      </c>
      <c r="V31" s="664" t="s">
        <v>14</v>
      </c>
      <c r="W31" s="665" t="e">
        <f t="shared" si="14"/>
        <v>#N/A</v>
      </c>
      <c r="X31" s="666"/>
      <c r="Y31" s="337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73" t="s">
        <v>1696</v>
      </c>
      <c r="Q32" s="1263" t="str">
        <f t="shared" si="11"/>
        <v>车位类型</v>
      </c>
      <c r="R32" s="667" t="s">
        <v>14</v>
      </c>
      <c r="S32" s="668">
        <f t="shared" si="12"/>
        <v>100</v>
      </c>
      <c r="T32" s="667" t="s">
        <v>14</v>
      </c>
      <c r="U32" s="668">
        <f t="shared" si="13"/>
        <v>100</v>
      </c>
      <c r="V32" s="667" t="s">
        <v>14</v>
      </c>
      <c r="W32" s="668">
        <f t="shared" si="14"/>
        <v>100</v>
      </c>
      <c r="X32" s="1265"/>
      <c r="Y32" s="337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73"/>
      <c r="Q33" s="1263" t="str">
        <f t="shared" si="11"/>
        <v>是否直接入户</v>
      </c>
      <c r="R33" s="667" t="s">
        <v>14</v>
      </c>
      <c r="S33" s="668">
        <f t="shared" si="12"/>
        <v>100</v>
      </c>
      <c r="T33" s="667" t="s">
        <v>14</v>
      </c>
      <c r="U33" s="668">
        <f t="shared" si="13"/>
        <v>100</v>
      </c>
      <c r="V33" s="667" t="s">
        <v>14</v>
      </c>
      <c r="W33" s="668">
        <f t="shared" si="14"/>
        <v>100</v>
      </c>
      <c r="X33" s="1265"/>
      <c r="Y33" s="337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73"/>
      <c r="Q34" s="1263">
        <f t="shared" si="11"/>
        <v>111</v>
      </c>
      <c r="R34" s="667" t="s">
        <v>14</v>
      </c>
      <c r="S34" s="668">
        <f t="shared" si="12"/>
        <v>100</v>
      </c>
      <c r="T34" s="667" t="s">
        <v>14</v>
      </c>
      <c r="U34" s="668">
        <f t="shared" si="13"/>
        <v>100</v>
      </c>
      <c r="V34" s="667" t="s">
        <v>14</v>
      </c>
      <c r="W34" s="668">
        <f t="shared" si="14"/>
        <v>100</v>
      </c>
      <c r="X34" s="1265"/>
      <c r="Y34" s="337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73"/>
      <c r="Q35" s="531">
        <f t="shared" si="11"/>
        <v>111</v>
      </c>
      <c r="R35" s="669" t="s">
        <v>14</v>
      </c>
      <c r="S35" s="670">
        <f t="shared" si="12"/>
        <v>100</v>
      </c>
      <c r="T35" s="669" t="s">
        <v>14</v>
      </c>
      <c r="U35" s="670">
        <f t="shared" si="13"/>
        <v>100</v>
      </c>
      <c r="V35" s="669" t="s">
        <v>14</v>
      </c>
      <c r="W35" s="670">
        <f t="shared" si="14"/>
        <v>100</v>
      </c>
      <c r="X35" s="671"/>
      <c r="Y35" s="3373"/>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73"/>
      <c r="Q36" s="1263">
        <f t="shared" si="11"/>
        <v>111</v>
      </c>
      <c r="R36" s="667" t="s">
        <v>14</v>
      </c>
      <c r="S36" s="668">
        <f t="shared" si="12"/>
        <v>100</v>
      </c>
      <c r="T36" s="667" t="s">
        <v>14</v>
      </c>
      <c r="U36" s="668">
        <f t="shared" si="13"/>
        <v>100</v>
      </c>
      <c r="V36" s="667" t="s">
        <v>14</v>
      </c>
      <c r="W36" s="668">
        <f t="shared" si="14"/>
        <v>100</v>
      </c>
      <c r="X36" s="1265"/>
      <c r="Y36" s="3373"/>
      <c r="Z36" s="1264">
        <f t="shared" si="15"/>
        <v>111</v>
      </c>
      <c r="AA36" s="1264">
        <f t="shared" si="3"/>
        <v>1</v>
      </c>
      <c r="AB36" s="1264">
        <f t="shared" si="4"/>
        <v>1</v>
      </c>
      <c r="AC36" s="1264">
        <f t="shared" si="5"/>
        <v>1</v>
      </c>
    </row>
    <row r="37" spans="1:29" ht="14.4">
      <c r="A37" s="416" t="s">
        <v>1844</v>
      </c>
      <c r="B37" s="1821" t="s">
        <v>3353</v>
      </c>
      <c r="C37" s="1081" t="s">
        <v>0</v>
      </c>
      <c r="D37" s="418"/>
      <c r="E37" s="419"/>
      <c r="F37" s="420"/>
      <c r="G37" s="421"/>
      <c r="H37" s="422"/>
      <c r="I37" s="419"/>
      <c r="J37" s="422"/>
      <c r="K37" s="545"/>
      <c r="L37" s="2494"/>
      <c r="M37" s="2487"/>
      <c r="N37" s="2487"/>
      <c r="O37" s="2487"/>
      <c r="P37" s="3366" t="str">
        <f>A37</f>
        <v>成交单价</v>
      </c>
      <c r="Q37" s="3366"/>
      <c r="R37" s="3367">
        <f>E37</f>
        <v>0</v>
      </c>
      <c r="S37" s="3367"/>
      <c r="T37" s="3367">
        <f>G37</f>
        <v>0</v>
      </c>
      <c r="U37" s="3367"/>
      <c r="V37" s="3367">
        <f>I37</f>
        <v>0</v>
      </c>
      <c r="W37" s="3367"/>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366" t="str">
        <f>A38</f>
        <v>比较价值（元/平方米）</v>
      </c>
      <c r="Q38" s="3366"/>
      <c r="R38" s="3367" t="e">
        <f>IF(F1="售价",ROUND(PRODUCT(R37,AA7:AA36),0),ROUND(PRODUCT(R37,AA7:AA36),1))</f>
        <v>#DIV/0!</v>
      </c>
      <c r="S38" s="3367"/>
      <c r="T38" s="3367" t="e">
        <f>IF(F1="售价",ROUND(PRODUCT(T37,AB7:AB36),0),ROUND(PRODUCT(T37,AB7:AB36),1))</f>
        <v>#DIV/0!</v>
      </c>
      <c r="U38" s="3367"/>
      <c r="V38" s="3367" t="e">
        <f>IF(F1="售价",ROUND(PRODUCT(V37,AC7:AC36),0),ROUND(PRODUCT(V37,AC7:AC36),1))</f>
        <v>#DIV/0!</v>
      </c>
      <c r="W38" s="3367"/>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4"/>
      <c r="M39" s="2487"/>
      <c r="N39" s="2487"/>
      <c r="O39" s="2487"/>
      <c r="P39" s="3363" t="str">
        <f>A39</f>
        <v>估价对象XX用房的比较价值（楼面单价，元/平方米）</v>
      </c>
      <c r="Q39" s="3364"/>
      <c r="R39" s="3424" t="e">
        <f>IF(F1="售价",ROUND(IF(D38="简单平均",AVERAGE(R38:W38),R38*F38+T38*H38+V38*J38),0),ROUND(IF(D38="简单平均",AVERAGE(R38:V38),R38*F38+T38*H38+V38*J38),1))</f>
        <v>#DIV/0!</v>
      </c>
      <c r="S39" s="3424"/>
      <c r="T39" s="3424"/>
      <c r="U39" s="3424"/>
      <c r="V39" s="3424"/>
      <c r="W39" s="3424"/>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4.4">
      <c r="A48" s="440" t="s">
        <v>1851</v>
      </c>
      <c r="B48" s="441"/>
      <c r="C48" s="1103" t="str">
        <f>YEAR(C7)&amp;"-"&amp;MONTH(C7)</f>
        <v>2025-1</v>
      </c>
      <c r="D48" s="1104">
        <f>EDATE(C48,-1)</f>
        <v>45627</v>
      </c>
      <c r="E48" s="1104">
        <f t="shared" ref="E48:O48" si="16">EDATE(D48,-1)</f>
        <v>45597</v>
      </c>
      <c r="F48" s="1104">
        <f t="shared" si="16"/>
        <v>45566</v>
      </c>
      <c r="G48" s="1104">
        <f t="shared" si="16"/>
        <v>45536</v>
      </c>
      <c r="H48" s="1104">
        <f t="shared" si="16"/>
        <v>45505</v>
      </c>
      <c r="I48" s="1104">
        <f t="shared" si="16"/>
        <v>45474</v>
      </c>
      <c r="J48" s="1104">
        <f t="shared" si="16"/>
        <v>45444</v>
      </c>
      <c r="K48" s="1104">
        <f t="shared" si="16"/>
        <v>45413</v>
      </c>
      <c r="L48" s="1104">
        <f t="shared" si="16"/>
        <v>45383</v>
      </c>
      <c r="M48" s="1104">
        <f t="shared" si="16"/>
        <v>45352</v>
      </c>
      <c r="N48" s="1104">
        <f t="shared" si="16"/>
        <v>45323</v>
      </c>
      <c r="O48" s="1104">
        <f t="shared" si="16"/>
        <v>45292</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4"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9.4"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4"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4"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4"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4"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4"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4"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4"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4"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4"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9.4"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4"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4"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4"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4"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4"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81" t="s">
        <v>1770</v>
      </c>
      <c r="D4" s="3382"/>
      <c r="E4" s="3383" t="s">
        <v>1771</v>
      </c>
      <c r="F4" s="3384"/>
      <c r="G4" s="3381" t="s">
        <v>1772</v>
      </c>
      <c r="H4" s="3382"/>
      <c r="I4" s="3381" t="s">
        <v>1773</v>
      </c>
      <c r="J4" s="3382"/>
      <c r="K4" s="537" t="s">
        <v>1774</v>
      </c>
      <c r="L4" s="2486"/>
      <c r="M4" s="2487"/>
      <c r="N4" s="2487"/>
      <c r="O4" s="2487"/>
      <c r="P4" s="3385" t="s">
        <v>1775</v>
      </c>
      <c r="Q4" s="3386"/>
      <c r="R4" s="3391" t="s">
        <v>1771</v>
      </c>
      <c r="S4" s="3392"/>
      <c r="T4" s="3391" t="s">
        <v>1772</v>
      </c>
      <c r="U4" s="3392"/>
      <c r="V4" s="3367" t="s">
        <v>1773</v>
      </c>
      <c r="W4" s="3367"/>
      <c r="X4" s="1265"/>
      <c r="Y4" s="3391" t="s">
        <v>1775</v>
      </c>
      <c r="Z4" s="3392"/>
      <c r="AA4" s="3378" t="s">
        <v>1771</v>
      </c>
      <c r="AB4" s="3379" t="s">
        <v>1772</v>
      </c>
      <c r="AC4" s="3378" t="s">
        <v>1773</v>
      </c>
    </row>
    <row r="5" spans="1:29">
      <c r="A5" s="348"/>
      <c r="B5" s="349"/>
      <c r="C5" s="3399" t="s">
        <v>1673</v>
      </c>
      <c r="D5" s="3400"/>
      <c r="E5" s="3406" t="s">
        <v>1674</v>
      </c>
      <c r="F5" s="3407"/>
      <c r="G5" s="3399" t="s">
        <v>1675</v>
      </c>
      <c r="H5" s="3400"/>
      <c r="I5" s="3399" t="s">
        <v>1676</v>
      </c>
      <c r="J5" s="3400"/>
      <c r="K5" s="537"/>
      <c r="L5" s="2486"/>
      <c r="M5" s="2487"/>
      <c r="N5" s="2487"/>
      <c r="O5" s="2487"/>
      <c r="P5" s="3387"/>
      <c r="Q5" s="3388"/>
      <c r="R5" s="3393"/>
      <c r="S5" s="3394"/>
      <c r="T5" s="3393"/>
      <c r="U5" s="3394"/>
      <c r="V5" s="3367"/>
      <c r="W5" s="3367"/>
      <c r="X5" s="1265"/>
      <c r="Y5" s="3393"/>
      <c r="Z5" s="3394"/>
      <c r="AA5" s="3379"/>
      <c r="AB5" s="3379"/>
      <c r="AC5" s="3379"/>
    </row>
    <row r="6" spans="1:29" ht="15" thickBot="1">
      <c r="A6" s="350"/>
      <c r="B6" s="351"/>
      <c r="C6" s="3397" t="s">
        <v>1677</v>
      </c>
      <c r="D6" s="3398"/>
      <c r="E6" s="3404" t="s">
        <v>1677</v>
      </c>
      <c r="F6" s="3405"/>
      <c r="G6" s="3397" t="s">
        <v>1677</v>
      </c>
      <c r="H6" s="3398"/>
      <c r="I6" s="3397" t="s">
        <v>1677</v>
      </c>
      <c r="J6" s="3398"/>
      <c r="K6" s="537" t="s">
        <v>1678</v>
      </c>
      <c r="L6" s="2486"/>
      <c r="M6" s="2487"/>
      <c r="N6" s="2487"/>
      <c r="O6" s="2487"/>
      <c r="P6" s="3389"/>
      <c r="Q6" s="3390"/>
      <c r="R6" s="3393"/>
      <c r="S6" s="3394"/>
      <c r="T6" s="3395"/>
      <c r="U6" s="3396"/>
      <c r="V6" s="3367"/>
      <c r="W6" s="3367"/>
      <c r="X6" s="1265"/>
      <c r="Y6" s="3395"/>
      <c r="Z6" s="3396"/>
      <c r="AA6" s="3380"/>
      <c r="AB6" s="3380"/>
      <c r="AC6" s="3380"/>
    </row>
    <row r="7" spans="1:29" s="102" customFormat="1" ht="15" thickBot="1">
      <c r="A7" s="352" t="s">
        <v>1679</v>
      </c>
      <c r="B7" s="353"/>
      <c r="C7" s="354">
        <f>'数据-取费表'!B2</f>
        <v>45664</v>
      </c>
      <c r="D7" s="355">
        <v>100</v>
      </c>
      <c r="E7" s="356"/>
      <c r="F7" s="357">
        <f>SUMIF(46:46,YEAR(E7)&amp;"-"&amp;MONTH(E7),47:47)</f>
        <v>0</v>
      </c>
      <c r="G7" s="1822"/>
      <c r="H7" s="355">
        <f>SUMIF(46:46,YEAR(G7)&amp;"-"&amp;MONTH(G7),47:47)</f>
        <v>0</v>
      </c>
      <c r="I7" s="356"/>
      <c r="J7" s="355">
        <f>SUMIF(46:46,YEAR(I7)&amp;"-"&amp;MONTH(I7),47:47)</f>
        <v>0</v>
      </c>
      <c r="K7" s="38"/>
      <c r="L7" s="2488"/>
      <c r="M7" s="2440"/>
      <c r="N7" s="2440"/>
      <c r="O7" s="2440"/>
      <c r="P7" s="3401" t="s">
        <v>1680</v>
      </c>
      <c r="Q7" s="3403"/>
      <c r="R7" s="664" t="s">
        <v>14</v>
      </c>
      <c r="S7" s="665">
        <f t="shared" ref="S7:S14" si="0">F7</f>
        <v>0</v>
      </c>
      <c r="T7" s="664" t="s">
        <v>14</v>
      </c>
      <c r="U7" s="665">
        <f t="shared" ref="U7:U14" si="1">H7</f>
        <v>0</v>
      </c>
      <c r="V7" s="664" t="s">
        <v>14</v>
      </c>
      <c r="W7" s="665">
        <f t="shared" ref="W7:W14" si="2">J7</f>
        <v>0</v>
      </c>
      <c r="X7" s="666"/>
      <c r="Y7" s="3401" t="s">
        <v>1680</v>
      </c>
      <c r="Z7" s="3402"/>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401" t="s">
        <v>1683</v>
      </c>
      <c r="Q8" s="3402"/>
      <c r="R8" s="664" t="s">
        <v>14</v>
      </c>
      <c r="S8" s="665">
        <f t="shared" si="0"/>
        <v>100</v>
      </c>
      <c r="T8" s="664" t="s">
        <v>14</v>
      </c>
      <c r="U8" s="665">
        <f t="shared" si="1"/>
        <v>100</v>
      </c>
      <c r="V8" s="664" t="s">
        <v>14</v>
      </c>
      <c r="W8" s="665">
        <f t="shared" si="2"/>
        <v>100</v>
      </c>
      <c r="X8" s="666"/>
      <c r="Y8" s="3401" t="s">
        <v>1683</v>
      </c>
      <c r="Z8" s="3402"/>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366" t="s">
        <v>1686</v>
      </c>
      <c r="Q9" s="530" t="str">
        <f t="shared" ref="Q9:Q14" si="6">B9</f>
        <v>用途</v>
      </c>
      <c r="R9" s="664" t="s">
        <v>14</v>
      </c>
      <c r="S9" s="665">
        <f t="shared" si="0"/>
        <v>100</v>
      </c>
      <c r="T9" s="664" t="s">
        <v>14</v>
      </c>
      <c r="U9" s="665">
        <f t="shared" si="1"/>
        <v>100</v>
      </c>
      <c r="V9" s="664" t="s">
        <v>14</v>
      </c>
      <c r="W9" s="665">
        <f t="shared" si="2"/>
        <v>100</v>
      </c>
      <c r="X9" s="666"/>
      <c r="Y9" s="3241" t="s">
        <v>1687</v>
      </c>
      <c r="Z9" s="50" t="str">
        <f t="shared" ref="Z9:Z14" si="7">Q9</f>
        <v>用途</v>
      </c>
      <c r="AA9" s="50">
        <f t="shared" si="3"/>
        <v>1</v>
      </c>
      <c r="AB9" s="50">
        <f t="shared" si="4"/>
        <v>1</v>
      </c>
      <c r="AC9" s="50">
        <f t="shared" si="5"/>
        <v>1</v>
      </c>
    </row>
    <row r="10" spans="1:29" s="366" customFormat="1" ht="28.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66"/>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66"/>
      <c r="Q11" s="530">
        <f t="shared" si="6"/>
        <v>111</v>
      </c>
      <c r="R11" s="664" t="s">
        <v>14</v>
      </c>
      <c r="S11" s="665">
        <f t="shared" si="0"/>
        <v>100</v>
      </c>
      <c r="T11" s="664" t="s">
        <v>14</v>
      </c>
      <c r="U11" s="665">
        <f t="shared" si="1"/>
        <v>100</v>
      </c>
      <c r="V11" s="664" t="s">
        <v>14</v>
      </c>
      <c r="W11" s="665">
        <f t="shared" si="2"/>
        <v>100</v>
      </c>
      <c r="X11" s="666"/>
      <c r="Y11" s="324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366"/>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366"/>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68" t="s">
        <v>1691</v>
      </c>
      <c r="Q14" s="1263" t="str">
        <f t="shared" si="6"/>
        <v>交通便捷度</v>
      </c>
      <c r="R14" s="667" t="s">
        <v>14</v>
      </c>
      <c r="S14" s="668">
        <f t="shared" si="0"/>
        <v>100</v>
      </c>
      <c r="T14" s="667" t="s">
        <v>14</v>
      </c>
      <c r="U14" s="668">
        <f t="shared" si="1"/>
        <v>100</v>
      </c>
      <c r="V14" s="667" t="s">
        <v>14</v>
      </c>
      <c r="W14" s="668">
        <f t="shared" si="2"/>
        <v>100</v>
      </c>
      <c r="X14" s="1265"/>
      <c r="Y14" s="336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369"/>
      <c r="Q15" s="1263"/>
      <c r="R15" s="667"/>
      <c r="S15" s="668"/>
      <c r="T15" s="667"/>
      <c r="U15" s="668"/>
      <c r="V15" s="667"/>
      <c r="W15" s="668"/>
      <c r="X15" s="1265"/>
      <c r="Y15" s="3369"/>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69"/>
      <c r="Q16" s="1263" t="str">
        <f>B16</f>
        <v>公共配套设施</v>
      </c>
      <c r="R16" s="667" t="s">
        <v>14</v>
      </c>
      <c r="S16" s="668">
        <f>F16</f>
        <v>100</v>
      </c>
      <c r="T16" s="667" t="s">
        <v>14</v>
      </c>
      <c r="U16" s="668">
        <f>H16</f>
        <v>100</v>
      </c>
      <c r="V16" s="667" t="s">
        <v>14</v>
      </c>
      <c r="W16" s="668">
        <f>J16</f>
        <v>100</v>
      </c>
      <c r="X16" s="1265"/>
      <c r="Y16" s="336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369"/>
      <c r="Q17" s="1263"/>
      <c r="R17" s="667"/>
      <c r="S17" s="668"/>
      <c r="T17" s="667"/>
      <c r="U17" s="668"/>
      <c r="V17" s="667"/>
      <c r="W17" s="668"/>
      <c r="X17" s="1265"/>
      <c r="Y17" s="3369"/>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69"/>
      <c r="Q18" s="1263" t="str">
        <f>B18</f>
        <v>基础设施水平</v>
      </c>
      <c r="R18" s="667" t="s">
        <v>14</v>
      </c>
      <c r="S18" s="668">
        <f>F18</f>
        <v>100</v>
      </c>
      <c r="T18" s="667" t="s">
        <v>14</v>
      </c>
      <c r="U18" s="668">
        <f>H18</f>
        <v>100</v>
      </c>
      <c r="V18" s="667" t="s">
        <v>14</v>
      </c>
      <c r="W18" s="668">
        <f>J18</f>
        <v>100</v>
      </c>
      <c r="X18" s="1265"/>
      <c r="Y18" s="336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369"/>
      <c r="Q19" s="1263"/>
      <c r="R19" s="667"/>
      <c r="S19" s="668"/>
      <c r="T19" s="667"/>
      <c r="U19" s="668"/>
      <c r="V19" s="667"/>
      <c r="W19" s="668"/>
      <c r="X19" s="1265"/>
      <c r="Y19" s="3369"/>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69"/>
      <c r="Q20" s="1263" t="str">
        <f>B20</f>
        <v>自然及人文环境</v>
      </c>
      <c r="R20" s="667" t="s">
        <v>14</v>
      </c>
      <c r="S20" s="668">
        <f>F20</f>
        <v>100</v>
      </c>
      <c r="T20" s="667" t="s">
        <v>14</v>
      </c>
      <c r="U20" s="668">
        <f>H20</f>
        <v>100</v>
      </c>
      <c r="V20" s="667" t="s">
        <v>14</v>
      </c>
      <c r="W20" s="668">
        <f>J20</f>
        <v>100</v>
      </c>
      <c r="X20" s="1265"/>
      <c r="Y20" s="336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369"/>
      <c r="Q21" s="1263"/>
      <c r="R21" s="667"/>
      <c r="S21" s="668"/>
      <c r="T21" s="667"/>
      <c r="U21" s="668"/>
      <c r="V21" s="667"/>
      <c r="W21" s="668"/>
      <c r="X21" s="1265"/>
      <c r="Y21" s="336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69"/>
      <c r="Q22" s="1263" t="str">
        <f>B22</f>
        <v>楼层</v>
      </c>
      <c r="R22" s="667" t="s">
        <v>14</v>
      </c>
      <c r="S22" s="668">
        <f>F22</f>
        <v>100</v>
      </c>
      <c r="T22" s="667" t="s">
        <v>14</v>
      </c>
      <c r="U22" s="668">
        <f>H22</f>
        <v>100</v>
      </c>
      <c r="V22" s="667" t="s">
        <v>14</v>
      </c>
      <c r="W22" s="668">
        <f>J22</f>
        <v>100</v>
      </c>
      <c r="X22" s="1265"/>
      <c r="Y22" s="336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69"/>
      <c r="Q23" s="1263">
        <f>B23</f>
        <v>111</v>
      </c>
      <c r="R23" s="667" t="s">
        <v>14</v>
      </c>
      <c r="S23" s="668">
        <f>F23</f>
        <v>100</v>
      </c>
      <c r="T23" s="667" t="s">
        <v>14</v>
      </c>
      <c r="U23" s="668">
        <f>H23</f>
        <v>100</v>
      </c>
      <c r="V23" s="667" t="s">
        <v>14</v>
      </c>
      <c r="W23" s="668">
        <f>J23</f>
        <v>100</v>
      </c>
      <c r="X23" s="1265"/>
      <c r="Y23" s="336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69"/>
      <c r="Q24" s="1263">
        <f t="shared" ref="Q24:Q34" si="11">B24</f>
        <v>111</v>
      </c>
      <c r="R24" s="667" t="s">
        <v>14</v>
      </c>
      <c r="S24" s="668">
        <f>F24</f>
        <v>100</v>
      </c>
      <c r="T24" s="667" t="s">
        <v>14</v>
      </c>
      <c r="U24" s="668">
        <f>H24</f>
        <v>100</v>
      </c>
      <c r="V24" s="667" t="s">
        <v>14</v>
      </c>
      <c r="W24" s="668">
        <f>J24</f>
        <v>100</v>
      </c>
      <c r="X24" s="1265"/>
      <c r="Y24" s="3369"/>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369"/>
      <c r="Q25" s="530">
        <f t="shared" si="11"/>
        <v>111</v>
      </c>
      <c r="R25" s="664" t="s">
        <v>14</v>
      </c>
      <c r="S25" s="665">
        <f>F25</f>
        <v>100</v>
      </c>
      <c r="T25" s="664" t="s">
        <v>14</v>
      </c>
      <c r="U25" s="665">
        <f>H25</f>
        <v>100</v>
      </c>
      <c r="V25" s="664" t="s">
        <v>14</v>
      </c>
      <c r="W25" s="665">
        <f>J25</f>
        <v>100</v>
      </c>
      <c r="X25" s="666"/>
      <c r="Y25" s="3369"/>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2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73"/>
      <c r="Q27" s="531" t="str">
        <f t="shared" si="11"/>
        <v>成新率</v>
      </c>
      <c r="R27" s="669" t="s">
        <v>14</v>
      </c>
      <c r="S27" s="670" t="e">
        <f t="shared" si="12"/>
        <v>#N/A</v>
      </c>
      <c r="T27" s="669" t="s">
        <v>14</v>
      </c>
      <c r="U27" s="670" t="e">
        <f t="shared" si="13"/>
        <v>#N/A</v>
      </c>
      <c r="V27" s="669" t="s">
        <v>14</v>
      </c>
      <c r="W27" s="670" t="e">
        <f t="shared" si="14"/>
        <v>#N/A</v>
      </c>
      <c r="X27" s="671"/>
      <c r="Y27" s="3373"/>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73"/>
      <c r="Q28" s="1263" t="str">
        <f t="shared" si="11"/>
        <v>物业等级</v>
      </c>
      <c r="R28" s="667" t="s">
        <v>14</v>
      </c>
      <c r="S28" s="668">
        <f t="shared" si="12"/>
        <v>100</v>
      </c>
      <c r="T28" s="667" t="s">
        <v>14</v>
      </c>
      <c r="U28" s="668">
        <f t="shared" si="13"/>
        <v>100</v>
      </c>
      <c r="V28" s="667" t="s">
        <v>14</v>
      </c>
      <c r="W28" s="668">
        <f t="shared" si="14"/>
        <v>100</v>
      </c>
      <c r="X28" s="1265"/>
      <c r="Y28" s="337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73"/>
      <c r="Q29" s="1263" t="str">
        <f t="shared" si="11"/>
        <v>有无电梯</v>
      </c>
      <c r="R29" s="667" t="s">
        <v>14</v>
      </c>
      <c r="S29" s="668">
        <f t="shared" si="12"/>
        <v>100</v>
      </c>
      <c r="T29" s="667" t="s">
        <v>14</v>
      </c>
      <c r="U29" s="668">
        <f t="shared" si="13"/>
        <v>100</v>
      </c>
      <c r="V29" s="667" t="s">
        <v>14</v>
      </c>
      <c r="W29" s="668">
        <f t="shared" si="14"/>
        <v>100</v>
      </c>
      <c r="X29" s="1265"/>
      <c r="Y29" s="337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73"/>
      <c r="Q30" s="1263" t="str">
        <f t="shared" si="11"/>
        <v>建筑面积</v>
      </c>
      <c r="R30" s="667" t="s">
        <v>14</v>
      </c>
      <c r="S30" s="668" t="e">
        <f t="shared" si="12"/>
        <v>#N/A</v>
      </c>
      <c r="T30" s="667" t="s">
        <v>14</v>
      </c>
      <c r="U30" s="668" t="e">
        <f t="shared" si="13"/>
        <v>#N/A</v>
      </c>
      <c r="V30" s="667" t="s">
        <v>14</v>
      </c>
      <c r="W30" s="668" t="e">
        <f t="shared" si="14"/>
        <v>#N/A</v>
      </c>
      <c r="X30" s="1265"/>
      <c r="Y30" s="337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373"/>
      <c r="Q31" s="530" t="str">
        <f t="shared" si="11"/>
        <v>是否封闭</v>
      </c>
      <c r="R31" s="664" t="s">
        <v>14</v>
      </c>
      <c r="S31" s="665">
        <f t="shared" si="12"/>
        <v>100</v>
      </c>
      <c r="T31" s="664" t="s">
        <v>14</v>
      </c>
      <c r="U31" s="665">
        <f t="shared" si="13"/>
        <v>100</v>
      </c>
      <c r="V31" s="664" t="s">
        <v>14</v>
      </c>
      <c r="W31" s="665">
        <f t="shared" si="14"/>
        <v>100</v>
      </c>
      <c r="X31" s="666"/>
      <c r="Y31" s="337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73" t="s">
        <v>1696</v>
      </c>
      <c r="Q32" s="1263">
        <f t="shared" si="11"/>
        <v>111</v>
      </c>
      <c r="R32" s="667" t="s">
        <v>14</v>
      </c>
      <c r="S32" s="668">
        <f t="shared" si="12"/>
        <v>100</v>
      </c>
      <c r="T32" s="667" t="s">
        <v>14</v>
      </c>
      <c r="U32" s="668">
        <f t="shared" si="13"/>
        <v>100</v>
      </c>
      <c r="V32" s="667" t="s">
        <v>14</v>
      </c>
      <c r="W32" s="668">
        <f t="shared" si="14"/>
        <v>100</v>
      </c>
      <c r="X32" s="1265"/>
      <c r="Y32" s="337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73"/>
      <c r="Q33" s="1263">
        <f t="shared" si="11"/>
        <v>111</v>
      </c>
      <c r="R33" s="667" t="s">
        <v>14</v>
      </c>
      <c r="S33" s="668">
        <f t="shared" si="12"/>
        <v>100</v>
      </c>
      <c r="T33" s="667" t="s">
        <v>14</v>
      </c>
      <c r="U33" s="668">
        <f t="shared" si="13"/>
        <v>100</v>
      </c>
      <c r="V33" s="667" t="s">
        <v>14</v>
      </c>
      <c r="W33" s="668">
        <f t="shared" si="14"/>
        <v>100</v>
      </c>
      <c r="X33" s="1265"/>
      <c r="Y33" s="3373"/>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373"/>
      <c r="Q34" s="1263">
        <f t="shared" si="11"/>
        <v>111</v>
      </c>
      <c r="R34" s="667" t="s">
        <v>14</v>
      </c>
      <c r="S34" s="668">
        <f t="shared" si="12"/>
        <v>100</v>
      </c>
      <c r="T34" s="667" t="s">
        <v>14</v>
      </c>
      <c r="U34" s="668">
        <f t="shared" si="13"/>
        <v>100</v>
      </c>
      <c r="V34" s="667" t="s">
        <v>14</v>
      </c>
      <c r="W34" s="668">
        <f t="shared" si="14"/>
        <v>100</v>
      </c>
      <c r="X34" s="1265"/>
      <c r="Y34" s="3373"/>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4"/>
      <c r="M35" s="2487"/>
      <c r="N35" s="2487"/>
      <c r="O35" s="2487"/>
      <c r="P35" s="3366" t="str">
        <f>A35</f>
        <v>成交单价（元/平方米）</v>
      </c>
      <c r="Q35" s="3366"/>
      <c r="R35" s="3367">
        <f>E35</f>
        <v>0</v>
      </c>
      <c r="S35" s="3367"/>
      <c r="T35" s="3367">
        <f>G35</f>
        <v>0</v>
      </c>
      <c r="U35" s="3367"/>
      <c r="V35" s="3367">
        <f>I35</f>
        <v>0</v>
      </c>
      <c r="W35" s="3367"/>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366" t="str">
        <f>A36</f>
        <v>比较价值（元/平方米）</v>
      </c>
      <c r="Q36" s="3366"/>
      <c r="R36" s="3367" t="e">
        <f>IF(F1="售价",ROUND(PRODUCT(R35,AA7:AA34),0),ROUND(PRODUCT(R35,AA7:AA34),1))</f>
        <v>#DIV/0!</v>
      </c>
      <c r="S36" s="3367"/>
      <c r="T36" s="3367" t="e">
        <f>IF(F1="售价",ROUND(PRODUCT(T35,AB7:AB34),0),ROUND(PRODUCT(T35,AB7:AB34),1))</f>
        <v>#DIV/0!</v>
      </c>
      <c r="U36" s="3367"/>
      <c r="V36" s="3367" t="e">
        <f>IF(F1="售价",ROUND(PRODUCT(V35,AC7:AC34),0),ROUND(PRODUCT(V35,AC7:AC34),1))</f>
        <v>#DIV/0!</v>
      </c>
      <c r="W36" s="3367"/>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4"/>
      <c r="M37" s="2487"/>
      <c r="N37" s="2487"/>
      <c r="O37" s="2487"/>
      <c r="P37" s="3363" t="str">
        <f>A37</f>
        <v>估价对象XX用房的比较价值（楼面单价，元/平方米）</v>
      </c>
      <c r="Q37" s="3364"/>
      <c r="R37" s="3424" t="e">
        <f>IF(F1="售价",ROUND(IF(D36="简单平均",AVERAGE(R36:W36),R36*F36+T36*H36+V36*J36),0),ROUND(IF(D36="简单平均",AVERAGE(R36:V36),R36*F36+T36*H36+V36*J36),1))</f>
        <v>#DIV/0!</v>
      </c>
      <c r="S37" s="3424"/>
      <c r="T37" s="3424"/>
      <c r="U37" s="3424"/>
      <c r="V37" s="3424"/>
      <c r="W37" s="3424"/>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4.4">
      <c r="A46" s="440" t="s">
        <v>1679</v>
      </c>
      <c r="B46" s="441"/>
      <c r="C46" s="1103" t="str">
        <f>YEAR(C7)&amp;"-"&amp;MONTH(C7)</f>
        <v>2025-1</v>
      </c>
      <c r="D46" s="1104">
        <f>EDATE(C46,-1)</f>
        <v>45627</v>
      </c>
      <c r="E46" s="1104">
        <f t="shared" ref="E46:O46" si="16">EDATE(D46,-1)</f>
        <v>45597</v>
      </c>
      <c r="F46" s="1104">
        <f t="shared" si="16"/>
        <v>45566</v>
      </c>
      <c r="G46" s="1104">
        <f t="shared" si="16"/>
        <v>45536</v>
      </c>
      <c r="H46" s="1104">
        <f t="shared" si="16"/>
        <v>45505</v>
      </c>
      <c r="I46" s="1104">
        <f t="shared" si="16"/>
        <v>45474</v>
      </c>
      <c r="J46" s="1104">
        <f t="shared" si="16"/>
        <v>45444</v>
      </c>
      <c r="K46" s="1104">
        <f t="shared" si="16"/>
        <v>45413</v>
      </c>
      <c r="L46" s="1104">
        <f t="shared" si="16"/>
        <v>45383</v>
      </c>
      <c r="M46" s="1104">
        <f t="shared" si="16"/>
        <v>45352</v>
      </c>
      <c r="N46" s="1104">
        <f t="shared" si="16"/>
        <v>45323</v>
      </c>
      <c r="O46" s="1104">
        <f t="shared" si="16"/>
        <v>45292</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4"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9.4"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4"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4"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4"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4"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4"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4"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4"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9.4"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4"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4"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4"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4"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4"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4"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4"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4"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4"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4"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81" t="s">
        <v>1770</v>
      </c>
      <c r="D4" s="3382"/>
      <c r="E4" s="3383" t="s">
        <v>1771</v>
      </c>
      <c r="F4" s="3384"/>
      <c r="G4" s="3381" t="s">
        <v>1772</v>
      </c>
      <c r="H4" s="3382"/>
      <c r="I4" s="3381" t="s">
        <v>1773</v>
      </c>
      <c r="J4" s="3382"/>
      <c r="K4" s="537" t="s">
        <v>1774</v>
      </c>
      <c r="L4" s="2486"/>
      <c r="M4" s="2487"/>
      <c r="N4" s="2487"/>
      <c r="O4" s="2487"/>
      <c r="P4" s="3385" t="s">
        <v>1775</v>
      </c>
      <c r="Q4" s="3386"/>
      <c r="R4" s="3391" t="s">
        <v>1771</v>
      </c>
      <c r="S4" s="3392"/>
      <c r="T4" s="3391" t="s">
        <v>1772</v>
      </c>
      <c r="U4" s="3392"/>
      <c r="V4" s="3367" t="s">
        <v>1773</v>
      </c>
      <c r="W4" s="3367"/>
      <c r="X4" s="1265"/>
      <c r="Y4" s="3391" t="s">
        <v>1775</v>
      </c>
      <c r="Z4" s="3392"/>
      <c r="AA4" s="3378" t="s">
        <v>1771</v>
      </c>
      <c r="AB4" s="3379" t="s">
        <v>1772</v>
      </c>
      <c r="AC4" s="3378" t="s">
        <v>1773</v>
      </c>
    </row>
    <row r="5" spans="1:29">
      <c r="A5" s="348"/>
      <c r="B5" s="349"/>
      <c r="C5" s="3399" t="s">
        <v>1673</v>
      </c>
      <c r="D5" s="3400"/>
      <c r="E5" s="3406" t="s">
        <v>1674</v>
      </c>
      <c r="F5" s="3407"/>
      <c r="G5" s="3399" t="s">
        <v>1675</v>
      </c>
      <c r="H5" s="3400"/>
      <c r="I5" s="3399" t="s">
        <v>1676</v>
      </c>
      <c r="J5" s="3400"/>
      <c r="K5" s="537"/>
      <c r="L5" s="2486"/>
      <c r="M5" s="2487"/>
      <c r="N5" s="2487"/>
      <c r="O5" s="2487"/>
      <c r="P5" s="3387"/>
      <c r="Q5" s="3388"/>
      <c r="R5" s="3393"/>
      <c r="S5" s="3394"/>
      <c r="T5" s="3393"/>
      <c r="U5" s="3394"/>
      <c r="V5" s="3367"/>
      <c r="W5" s="3367"/>
      <c r="X5" s="1265"/>
      <c r="Y5" s="3393"/>
      <c r="Z5" s="3394"/>
      <c r="AA5" s="3379"/>
      <c r="AB5" s="3379"/>
      <c r="AC5" s="3379"/>
    </row>
    <row r="6" spans="1:29" ht="15" thickBot="1">
      <c r="A6" s="350"/>
      <c r="B6" s="351"/>
      <c r="C6" s="3397" t="s">
        <v>1677</v>
      </c>
      <c r="D6" s="3398"/>
      <c r="E6" s="3404" t="s">
        <v>1677</v>
      </c>
      <c r="F6" s="3405"/>
      <c r="G6" s="3397" t="s">
        <v>1677</v>
      </c>
      <c r="H6" s="3398"/>
      <c r="I6" s="3397" t="s">
        <v>1677</v>
      </c>
      <c r="J6" s="3398"/>
      <c r="K6" s="537" t="s">
        <v>1678</v>
      </c>
      <c r="L6" s="2486"/>
      <c r="M6" s="2487"/>
      <c r="N6" s="2487"/>
      <c r="O6" s="2487"/>
      <c r="P6" s="3389"/>
      <c r="Q6" s="3390"/>
      <c r="R6" s="3393"/>
      <c r="S6" s="3394"/>
      <c r="T6" s="3395"/>
      <c r="U6" s="3396"/>
      <c r="V6" s="3367"/>
      <c r="W6" s="3367"/>
      <c r="X6" s="1265"/>
      <c r="Y6" s="3395"/>
      <c r="Z6" s="3396"/>
      <c r="AA6" s="3380"/>
      <c r="AB6" s="3380"/>
      <c r="AC6" s="3380"/>
    </row>
    <row r="7" spans="1:29" s="102" customFormat="1" ht="15" thickBot="1">
      <c r="A7" s="352" t="s">
        <v>1679</v>
      </c>
      <c r="B7" s="353"/>
      <c r="C7" s="354">
        <f>'数据-取费表'!B2</f>
        <v>45664</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401" t="s">
        <v>1680</v>
      </c>
      <c r="Q7" s="3403"/>
      <c r="R7" s="664" t="s">
        <v>14</v>
      </c>
      <c r="S7" s="665">
        <f t="shared" ref="S7:S15" si="0">F7</f>
        <v>0</v>
      </c>
      <c r="T7" s="664" t="s">
        <v>14</v>
      </c>
      <c r="U7" s="665">
        <f t="shared" ref="U7:U15" si="1">H7</f>
        <v>0</v>
      </c>
      <c r="V7" s="664" t="s">
        <v>14</v>
      </c>
      <c r="W7" s="665">
        <f t="shared" ref="W7:W15" si="2">J7</f>
        <v>0</v>
      </c>
      <c r="X7" s="666"/>
      <c r="Y7" s="3401" t="s">
        <v>1680</v>
      </c>
      <c r="Z7" s="3402"/>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401" t="s">
        <v>1683</v>
      </c>
      <c r="Q8" s="3402"/>
      <c r="R8" s="664" t="s">
        <v>14</v>
      </c>
      <c r="S8" s="665">
        <f t="shared" si="0"/>
        <v>0</v>
      </c>
      <c r="T8" s="664" t="s">
        <v>14</v>
      </c>
      <c r="U8" s="665">
        <f t="shared" si="1"/>
        <v>0</v>
      </c>
      <c r="V8" s="664" t="s">
        <v>14</v>
      </c>
      <c r="W8" s="665">
        <f t="shared" si="2"/>
        <v>0</v>
      </c>
      <c r="X8" s="666"/>
      <c r="Y8" s="3401" t="s">
        <v>1683</v>
      </c>
      <c r="Z8" s="3402"/>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366"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110</v>
      </c>
      <c r="G10" s="402"/>
      <c r="H10" s="119">
        <f>ROUND(100/'数据-取费表'!G16,0)</f>
        <v>110</v>
      </c>
      <c r="I10" s="402"/>
      <c r="J10" s="119">
        <f>ROUND(100/'数据-取费表'!G16,0)</f>
        <v>110</v>
      </c>
      <c r="K10" s="592"/>
      <c r="L10" s="2489"/>
      <c r="M10" s="2490"/>
      <c r="N10" s="2490"/>
      <c r="O10" s="2541"/>
      <c r="P10" s="3366"/>
      <c r="Q10" s="530" t="str">
        <f t="shared" si="6"/>
        <v>土地使用年限（年）</v>
      </c>
      <c r="R10" s="664" t="s">
        <v>14</v>
      </c>
      <c r="S10" s="665">
        <f t="shared" si="0"/>
        <v>110</v>
      </c>
      <c r="T10" s="664" t="s">
        <v>14</v>
      </c>
      <c r="U10" s="665">
        <f t="shared" si="1"/>
        <v>110</v>
      </c>
      <c r="V10" s="664" t="s">
        <v>14</v>
      </c>
      <c r="W10" s="665">
        <f t="shared" si="2"/>
        <v>110</v>
      </c>
      <c r="X10" s="666"/>
      <c r="Y10" s="3241"/>
      <c r="Z10" s="50" t="str">
        <f t="shared" si="7"/>
        <v>土地使用年限（年）</v>
      </c>
      <c r="AA10" s="50">
        <f t="shared" si="3"/>
        <v>0.90909090909090906</v>
      </c>
      <c r="AB10" s="50">
        <f t="shared" si="4"/>
        <v>0.90909090909090906</v>
      </c>
      <c r="AC10" s="50">
        <f t="shared" si="5"/>
        <v>0.90909090909090906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66"/>
      <c r="Q11" s="530" t="str">
        <f t="shared" si="6"/>
        <v>容积率</v>
      </c>
      <c r="R11" s="664" t="s">
        <v>14</v>
      </c>
      <c r="S11" s="665" t="e">
        <f t="shared" si="0"/>
        <v>#N/A</v>
      </c>
      <c r="T11" s="664" t="s">
        <v>14</v>
      </c>
      <c r="U11" s="665" t="e">
        <f t="shared" si="1"/>
        <v>#N/A</v>
      </c>
      <c r="V11" s="664" t="s">
        <v>14</v>
      </c>
      <c r="W11" s="665" t="e">
        <f t="shared" si="2"/>
        <v>#N/A</v>
      </c>
      <c r="X11" s="666"/>
      <c r="Y11" s="324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366"/>
      <c r="Q12" s="530" t="str">
        <f t="shared" si="6"/>
        <v>配建</v>
      </c>
      <c r="R12" s="664" t="s">
        <v>14</v>
      </c>
      <c r="S12" s="665">
        <f t="shared" si="0"/>
        <v>100</v>
      </c>
      <c r="T12" s="664" t="s">
        <v>14</v>
      </c>
      <c r="U12" s="665">
        <f t="shared" si="1"/>
        <v>100</v>
      </c>
      <c r="V12" s="664" t="s">
        <v>14</v>
      </c>
      <c r="W12" s="665">
        <f t="shared" si="2"/>
        <v>100</v>
      </c>
      <c r="X12" s="666"/>
      <c r="Y12" s="324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66"/>
      <c r="Q13" s="530">
        <f t="shared" si="6"/>
        <v>111</v>
      </c>
      <c r="R13" s="664" t="s">
        <v>14</v>
      </c>
      <c r="S13" s="665">
        <f t="shared" si="0"/>
        <v>100</v>
      </c>
      <c r="T13" s="664" t="s">
        <v>14</v>
      </c>
      <c r="U13" s="665">
        <f t="shared" si="1"/>
        <v>100</v>
      </c>
      <c r="V13" s="664" t="s">
        <v>14</v>
      </c>
      <c r="W13" s="665">
        <f t="shared" si="2"/>
        <v>100</v>
      </c>
      <c r="X13" s="666"/>
      <c r="Y13" s="3241"/>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66"/>
      <c r="Q14" s="530">
        <f t="shared" si="6"/>
        <v>111</v>
      </c>
      <c r="R14" s="664" t="s">
        <v>14</v>
      </c>
      <c r="S14" s="665">
        <f t="shared" si="0"/>
        <v>100</v>
      </c>
      <c r="T14" s="664" t="s">
        <v>14</v>
      </c>
      <c r="U14" s="665">
        <f t="shared" si="1"/>
        <v>100</v>
      </c>
      <c r="V14" s="664" t="s">
        <v>14</v>
      </c>
      <c r="W14" s="665">
        <f t="shared" si="2"/>
        <v>100</v>
      </c>
      <c r="X14" s="666"/>
      <c r="Y14" s="3241"/>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68" t="s">
        <v>1691</v>
      </c>
      <c r="Q15" s="1263" t="str">
        <f t="shared" si="6"/>
        <v>居住社区成熟度</v>
      </c>
      <c r="R15" s="667" t="s">
        <v>14</v>
      </c>
      <c r="S15" s="668">
        <f t="shared" si="0"/>
        <v>100</v>
      </c>
      <c r="T15" s="667" t="s">
        <v>14</v>
      </c>
      <c r="U15" s="668">
        <f t="shared" si="1"/>
        <v>100</v>
      </c>
      <c r="V15" s="667" t="s">
        <v>14</v>
      </c>
      <c r="W15" s="668">
        <f t="shared" si="2"/>
        <v>100</v>
      </c>
      <c r="X15" s="1265"/>
      <c r="Y15" s="336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369"/>
      <c r="Q16" s="1263"/>
      <c r="R16" s="667"/>
      <c r="S16" s="668"/>
      <c r="T16" s="667"/>
      <c r="U16" s="668"/>
      <c r="V16" s="667"/>
      <c r="W16" s="668"/>
      <c r="X16" s="1265"/>
      <c r="Y16" s="3369"/>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69"/>
      <c r="Q17" s="1263" t="str">
        <f>B17</f>
        <v>商业繁华度</v>
      </c>
      <c r="R17" s="667" t="s">
        <v>14</v>
      </c>
      <c r="S17" s="668">
        <f>F17</f>
        <v>100</v>
      </c>
      <c r="T17" s="667" t="s">
        <v>14</v>
      </c>
      <c r="U17" s="668">
        <f>H17</f>
        <v>100</v>
      </c>
      <c r="V17" s="667" t="s">
        <v>14</v>
      </c>
      <c r="W17" s="668">
        <f>J17</f>
        <v>100</v>
      </c>
      <c r="X17" s="1265"/>
      <c r="Y17" s="336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369"/>
      <c r="Q18" s="1263"/>
      <c r="R18" s="667"/>
      <c r="S18" s="668"/>
      <c r="T18" s="667"/>
      <c r="U18" s="668"/>
      <c r="V18" s="667"/>
      <c r="W18" s="668"/>
      <c r="X18" s="1265"/>
      <c r="Y18" s="3369"/>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69"/>
      <c r="Q19" s="1263" t="str">
        <f>B19</f>
        <v>办公集聚程度</v>
      </c>
      <c r="R19" s="667" t="s">
        <v>14</v>
      </c>
      <c r="S19" s="668">
        <f>F19</f>
        <v>100</v>
      </c>
      <c r="T19" s="667" t="s">
        <v>14</v>
      </c>
      <c r="U19" s="668">
        <f>H19</f>
        <v>100</v>
      </c>
      <c r="V19" s="667" t="s">
        <v>14</v>
      </c>
      <c r="W19" s="668">
        <f>J19</f>
        <v>100</v>
      </c>
      <c r="X19" s="1265"/>
      <c r="Y19" s="336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369"/>
      <c r="Q20" s="1263"/>
      <c r="R20" s="667"/>
      <c r="S20" s="668"/>
      <c r="T20" s="667"/>
      <c r="U20" s="668"/>
      <c r="V20" s="667"/>
      <c r="W20" s="668"/>
      <c r="X20" s="1265"/>
      <c r="Y20" s="3369"/>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69"/>
      <c r="Q21" s="1263" t="str">
        <f>B21</f>
        <v>交通便捷度</v>
      </c>
      <c r="R21" s="667" t="s">
        <v>14</v>
      </c>
      <c r="S21" s="668">
        <f>F21</f>
        <v>100</v>
      </c>
      <c r="T21" s="667" t="s">
        <v>14</v>
      </c>
      <c r="U21" s="668">
        <f>H21</f>
        <v>100</v>
      </c>
      <c r="V21" s="667" t="s">
        <v>14</v>
      </c>
      <c r="W21" s="668">
        <f>J21</f>
        <v>100</v>
      </c>
      <c r="X21" s="1265"/>
      <c r="Y21" s="336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369"/>
      <c r="Q22" s="1263"/>
      <c r="R22" s="667"/>
      <c r="S22" s="668"/>
      <c r="T22" s="667"/>
      <c r="U22" s="668"/>
      <c r="V22" s="667"/>
      <c r="W22" s="668"/>
      <c r="X22" s="1265"/>
      <c r="Y22" s="3369"/>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69"/>
      <c r="Q23" s="1263" t="str">
        <f t="shared" ref="Q23:Q37" si="8">B23</f>
        <v>区域土地利用方向</v>
      </c>
      <c r="R23" s="667" t="s">
        <v>14</v>
      </c>
      <c r="S23" s="668">
        <f>F23</f>
        <v>100</v>
      </c>
      <c r="T23" s="667" t="s">
        <v>14</v>
      </c>
      <c r="U23" s="668">
        <f>H23</f>
        <v>100</v>
      </c>
      <c r="V23" s="667" t="s">
        <v>14</v>
      </c>
      <c r="W23" s="668">
        <f>J23</f>
        <v>100</v>
      </c>
      <c r="X23" s="1265"/>
      <c r="Y23" s="336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369"/>
      <c r="Q24" s="1263"/>
      <c r="R24" s="667"/>
      <c r="S24" s="668"/>
      <c r="T24" s="667"/>
      <c r="U24" s="668"/>
      <c r="V24" s="667"/>
      <c r="W24" s="668"/>
      <c r="X24" s="1265"/>
      <c r="Y24" s="3369"/>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69"/>
      <c r="Q25" s="1263" t="str">
        <f t="shared" si="8"/>
        <v>自然及人文环境状况</v>
      </c>
      <c r="R25" s="667" t="s">
        <v>14</v>
      </c>
      <c r="S25" s="668">
        <f>F25</f>
        <v>100</v>
      </c>
      <c r="T25" s="667" t="s">
        <v>14</v>
      </c>
      <c r="U25" s="668">
        <f>H25</f>
        <v>100</v>
      </c>
      <c r="V25" s="667" t="s">
        <v>14</v>
      </c>
      <c r="W25" s="668">
        <f>J25</f>
        <v>100</v>
      </c>
      <c r="X25" s="1265"/>
      <c r="Y25" s="336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369"/>
      <c r="Q26" s="1263"/>
      <c r="R26" s="667"/>
      <c r="S26" s="668"/>
      <c r="T26" s="667"/>
      <c r="U26" s="668"/>
      <c r="V26" s="667"/>
      <c r="W26" s="668"/>
      <c r="X26" s="1265"/>
      <c r="Y26" s="3369"/>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369"/>
      <c r="Q27" s="530" t="str">
        <f t="shared" si="8"/>
        <v>公共配套设施</v>
      </c>
      <c r="R27" s="664" t="s">
        <v>14</v>
      </c>
      <c r="S27" s="665">
        <f>F27</f>
        <v>100</v>
      </c>
      <c r="T27" s="664" t="s">
        <v>14</v>
      </c>
      <c r="U27" s="665">
        <f>H27</f>
        <v>100</v>
      </c>
      <c r="V27" s="664" t="s">
        <v>14</v>
      </c>
      <c r="W27" s="665">
        <f>J27</f>
        <v>100</v>
      </c>
      <c r="X27" s="666"/>
      <c r="Y27" s="336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40"/>
      <c r="N28" s="2440"/>
      <c r="O28" s="2540"/>
      <c r="P28" s="3369"/>
      <c r="Q28" s="530"/>
      <c r="R28" s="664"/>
      <c r="S28" s="665"/>
      <c r="T28" s="664"/>
      <c r="U28" s="665"/>
      <c r="V28" s="664"/>
      <c r="W28" s="665"/>
      <c r="X28" s="666"/>
      <c r="Y28" s="3369"/>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369"/>
      <c r="Q29" s="530" t="str">
        <f t="shared" ref="Q29" si="9">B29</f>
        <v>基础设施水平</v>
      </c>
      <c r="R29" s="664" t="s">
        <v>14</v>
      </c>
      <c r="S29" s="665">
        <f>F29</f>
        <v>100</v>
      </c>
      <c r="T29" s="664" t="s">
        <v>14</v>
      </c>
      <c r="U29" s="665">
        <f>H29</f>
        <v>100</v>
      </c>
      <c r="V29" s="664" t="s">
        <v>14</v>
      </c>
      <c r="W29" s="665">
        <f>J29</f>
        <v>100</v>
      </c>
      <c r="X29" s="666"/>
      <c r="Y29" s="336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40"/>
      <c r="N30" s="2440"/>
      <c r="O30" s="2540"/>
      <c r="P30" s="3369"/>
      <c r="Q30" s="530"/>
      <c r="R30" s="664"/>
      <c r="S30" s="665"/>
      <c r="T30" s="664"/>
      <c r="U30" s="665"/>
      <c r="V30" s="664"/>
      <c r="W30" s="665"/>
      <c r="X30" s="666"/>
      <c r="Y30" s="336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6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69"/>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69"/>
      <c r="Q32" s="1263" t="str">
        <f t="shared" si="8"/>
        <v>毗邻道路的类型与等级</v>
      </c>
      <c r="R32" s="667" t="s">
        <v>14</v>
      </c>
      <c r="S32" s="668">
        <f t="shared" si="10"/>
        <v>100</v>
      </c>
      <c r="T32" s="667" t="s">
        <v>14</v>
      </c>
      <c r="U32" s="668">
        <f t="shared" si="11"/>
        <v>100</v>
      </c>
      <c r="V32" s="667" t="s">
        <v>14</v>
      </c>
      <c r="W32" s="668">
        <f t="shared" si="12"/>
        <v>100</v>
      </c>
      <c r="X32" s="1265"/>
      <c r="Y32" s="336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369"/>
      <c r="Q33" s="1263"/>
      <c r="R33" s="667"/>
      <c r="S33" s="668"/>
      <c r="T33" s="667"/>
      <c r="U33" s="668"/>
      <c r="V33" s="667"/>
      <c r="W33" s="668"/>
      <c r="X33" s="1265"/>
      <c r="Y33" s="336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69"/>
      <c r="Q34" s="1263" t="str">
        <f t="shared" si="8"/>
        <v>土地级别</v>
      </c>
      <c r="R34" s="667" t="s">
        <v>14</v>
      </c>
      <c r="S34" s="668">
        <f t="shared" si="10"/>
        <v>100</v>
      </c>
      <c r="T34" s="667" t="s">
        <v>14</v>
      </c>
      <c r="U34" s="668">
        <f t="shared" si="11"/>
        <v>100</v>
      </c>
      <c r="V34" s="667" t="s">
        <v>14</v>
      </c>
      <c r="W34" s="668">
        <f t="shared" si="12"/>
        <v>100</v>
      </c>
      <c r="X34" s="1265"/>
      <c r="Y34" s="336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69"/>
      <c r="Q35" s="1263">
        <f t="shared" si="8"/>
        <v>111</v>
      </c>
      <c r="R35" s="667" t="s">
        <v>14</v>
      </c>
      <c r="S35" s="668">
        <f t="shared" si="10"/>
        <v>100</v>
      </c>
      <c r="T35" s="667" t="s">
        <v>14</v>
      </c>
      <c r="U35" s="668">
        <f t="shared" si="11"/>
        <v>100</v>
      </c>
      <c r="V35" s="667" t="s">
        <v>14</v>
      </c>
      <c r="W35" s="668">
        <f t="shared" si="12"/>
        <v>100</v>
      </c>
      <c r="X35" s="1265"/>
      <c r="Y35" s="336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23" t="s">
        <v>1696</v>
      </c>
      <c r="Q36" s="1263">
        <f t="shared" si="8"/>
        <v>111</v>
      </c>
      <c r="R36" s="667" t="s">
        <v>14</v>
      </c>
      <c r="S36" s="668">
        <f t="shared" si="10"/>
        <v>100</v>
      </c>
      <c r="T36" s="667" t="s">
        <v>14</v>
      </c>
      <c r="U36" s="668">
        <f t="shared" si="11"/>
        <v>100</v>
      </c>
      <c r="V36" s="667" t="s">
        <v>14</v>
      </c>
      <c r="W36" s="668">
        <f t="shared" si="12"/>
        <v>100</v>
      </c>
      <c r="X36" s="1265"/>
      <c r="Y36" s="3373"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73"/>
      <c r="Q37" s="1263">
        <f t="shared" si="8"/>
        <v>111</v>
      </c>
      <c r="R37" s="669" t="s">
        <v>14</v>
      </c>
      <c r="S37" s="670">
        <f t="shared" si="10"/>
        <v>100</v>
      </c>
      <c r="T37" s="669" t="s">
        <v>14</v>
      </c>
      <c r="U37" s="670">
        <f t="shared" si="11"/>
        <v>100</v>
      </c>
      <c r="V37" s="669" t="s">
        <v>14</v>
      </c>
      <c r="W37" s="670">
        <f t="shared" si="12"/>
        <v>100</v>
      </c>
      <c r="X37" s="671"/>
      <c r="Y37" s="3373"/>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73"/>
      <c r="Q38" s="1263" t="str">
        <f>B38</f>
        <v>宗地面积</v>
      </c>
      <c r="R38" s="667" t="s">
        <v>14</v>
      </c>
      <c r="S38" s="668" t="e">
        <f t="shared" si="10"/>
        <v>#N/A</v>
      </c>
      <c r="T38" s="667" t="s">
        <v>14</v>
      </c>
      <c r="U38" s="668" t="e">
        <f t="shared" si="11"/>
        <v>#N/A</v>
      </c>
      <c r="V38" s="667" t="s">
        <v>14</v>
      </c>
      <c r="W38" s="668" t="e">
        <f t="shared" si="12"/>
        <v>#N/A</v>
      </c>
      <c r="X38" s="1265"/>
      <c r="Y38" s="3373"/>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373"/>
      <c r="Q39" s="1263" t="str">
        <f t="shared" ref="Q39:Q45" si="14">B39</f>
        <v>宗地形状</v>
      </c>
      <c r="R39" s="667" t="s">
        <v>14</v>
      </c>
      <c r="S39" s="668">
        <f t="shared" si="10"/>
        <v>100</v>
      </c>
      <c r="T39" s="667" t="s">
        <v>14</v>
      </c>
      <c r="U39" s="668">
        <f t="shared" si="11"/>
        <v>100</v>
      </c>
      <c r="V39" s="667" t="s">
        <v>14</v>
      </c>
      <c r="W39" s="668">
        <f t="shared" si="12"/>
        <v>100</v>
      </c>
      <c r="X39" s="1265"/>
      <c r="Y39" s="3373"/>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373"/>
      <c r="Q40" s="1263" t="str">
        <f t="shared" si="14"/>
        <v>临街宽度及深度</v>
      </c>
      <c r="R40" s="667" t="s">
        <v>14</v>
      </c>
      <c r="S40" s="668">
        <f t="shared" si="10"/>
        <v>100</v>
      </c>
      <c r="T40" s="667" t="s">
        <v>14</v>
      </c>
      <c r="U40" s="668">
        <f t="shared" si="11"/>
        <v>100</v>
      </c>
      <c r="V40" s="667" t="s">
        <v>14</v>
      </c>
      <c r="W40" s="668">
        <f t="shared" si="12"/>
        <v>100</v>
      </c>
      <c r="X40" s="1265"/>
      <c r="Y40" s="3373"/>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373"/>
      <c r="Q41" s="1263" t="str">
        <f t="shared" si="14"/>
        <v>宗地开发程度</v>
      </c>
      <c r="R41" s="664" t="s">
        <v>14</v>
      </c>
      <c r="S41" s="665">
        <f t="shared" si="10"/>
        <v>100</v>
      </c>
      <c r="T41" s="664" t="s">
        <v>14</v>
      </c>
      <c r="U41" s="665">
        <f t="shared" si="11"/>
        <v>100</v>
      </c>
      <c r="V41" s="664" t="s">
        <v>14</v>
      </c>
      <c r="W41" s="665">
        <f t="shared" si="12"/>
        <v>100</v>
      </c>
      <c r="X41" s="666"/>
      <c r="Y41" s="3373"/>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373" t="s">
        <v>1696</v>
      </c>
      <c r="Q42" s="1263" t="str">
        <f t="shared" si="14"/>
        <v>工程地质条件</v>
      </c>
      <c r="R42" s="667" t="s">
        <v>14</v>
      </c>
      <c r="S42" s="668">
        <f t="shared" si="10"/>
        <v>100</v>
      </c>
      <c r="T42" s="667" t="s">
        <v>14</v>
      </c>
      <c r="U42" s="668">
        <f t="shared" si="11"/>
        <v>100</v>
      </c>
      <c r="V42" s="667" t="s">
        <v>14</v>
      </c>
      <c r="W42" s="668">
        <f t="shared" si="12"/>
        <v>100</v>
      </c>
      <c r="X42" s="1265"/>
      <c r="Y42" s="337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73"/>
      <c r="Q43" s="1263">
        <f t="shared" si="14"/>
        <v>111</v>
      </c>
      <c r="R43" s="667" t="s">
        <v>14</v>
      </c>
      <c r="S43" s="668">
        <f t="shared" si="10"/>
        <v>100</v>
      </c>
      <c r="T43" s="667" t="s">
        <v>14</v>
      </c>
      <c r="U43" s="668">
        <f t="shared" si="11"/>
        <v>100</v>
      </c>
      <c r="V43" s="667" t="s">
        <v>14</v>
      </c>
      <c r="W43" s="668">
        <f t="shared" si="12"/>
        <v>100</v>
      </c>
      <c r="X43" s="1265"/>
      <c r="Y43" s="337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73"/>
      <c r="Q44" s="1263">
        <f t="shared" si="14"/>
        <v>111</v>
      </c>
      <c r="R44" s="667" t="s">
        <v>14</v>
      </c>
      <c r="S44" s="668">
        <f t="shared" si="10"/>
        <v>100</v>
      </c>
      <c r="T44" s="667" t="s">
        <v>14</v>
      </c>
      <c r="U44" s="668">
        <f t="shared" si="11"/>
        <v>100</v>
      </c>
      <c r="V44" s="667" t="s">
        <v>14</v>
      </c>
      <c r="W44" s="668">
        <f t="shared" si="12"/>
        <v>100</v>
      </c>
      <c r="X44" s="1265"/>
      <c r="Y44" s="3373"/>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73"/>
      <c r="Q45" s="1263">
        <f t="shared" si="14"/>
        <v>111</v>
      </c>
      <c r="R45" s="669" t="s">
        <v>14</v>
      </c>
      <c r="S45" s="670">
        <f t="shared" si="10"/>
        <v>100</v>
      </c>
      <c r="T45" s="669" t="s">
        <v>14</v>
      </c>
      <c r="U45" s="670">
        <f t="shared" si="11"/>
        <v>100</v>
      </c>
      <c r="V45" s="669" t="s">
        <v>14</v>
      </c>
      <c r="W45" s="670">
        <f t="shared" si="12"/>
        <v>100</v>
      </c>
      <c r="X45" s="671"/>
      <c r="Y45" s="3373"/>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4"/>
      <c r="M46" s="2487"/>
      <c r="N46" s="2487"/>
      <c r="O46" s="2487"/>
      <c r="P46" s="3366" t="str">
        <f>A46</f>
        <v>成交单价</v>
      </c>
      <c r="Q46" s="3366"/>
      <c r="R46" s="3367">
        <f>E46</f>
        <v>0</v>
      </c>
      <c r="S46" s="3367"/>
      <c r="T46" s="3367">
        <f>G46</f>
        <v>0</v>
      </c>
      <c r="U46" s="3367"/>
      <c r="V46" s="3367">
        <f>I46</f>
        <v>0</v>
      </c>
      <c r="W46" s="3367"/>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366" t="str">
        <f>A47</f>
        <v>比较价值（元/平方米）</v>
      </c>
      <c r="Q47" s="3366"/>
      <c r="R47" s="3425" t="e">
        <f>ROUND(PRODUCT(R46,AA7:AA45),0)</f>
        <v>#DIV/0!</v>
      </c>
      <c r="S47" s="3425"/>
      <c r="T47" s="3425" t="e">
        <f>ROUND(PRODUCT(T46,AB7:AB45),0)</f>
        <v>#DIV/0!</v>
      </c>
      <c r="U47" s="3425"/>
      <c r="V47" s="3425" t="e">
        <f>ROUND(PRODUCT(V46,AC7:AC45),0)</f>
        <v>#DIV/0!</v>
      </c>
      <c r="W47" s="3425"/>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4"/>
      <c r="M48" s="2487"/>
      <c r="N48" s="2487"/>
      <c r="O48" s="2487"/>
      <c r="P48" s="3363" t="str">
        <f>A48</f>
        <v>估价对象XX用房的比较价值（楼面单价，元/平方米）</v>
      </c>
      <c r="Q48" s="3364"/>
      <c r="R48" s="3426" t="e">
        <f>ROUND(IF(D47="简单平均",AVERAGE(R47:W47),R47*F47+T47*H47+V47*J47),0)</f>
        <v>#DIV/0!</v>
      </c>
      <c r="S48" s="3426"/>
      <c r="T48" s="3426"/>
      <c r="U48" s="3426"/>
      <c r="V48" s="3426"/>
      <c r="W48" s="3426"/>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4"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81" t="s">
        <v>1887</v>
      </c>
      <c r="H55" s="3427"/>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71.03</v>
      </c>
      <c r="F56" s="833" t="e">
        <f t="shared" ref="F56:F64" si="15">ROUND(B56*E56/10000,0)</f>
        <v>#DIV/0!</v>
      </c>
      <c r="G56" s="3377"/>
      <c r="H56" s="3366"/>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四级</v>
      </c>
      <c r="I60" s="838">
        <f>SUMIF(修正!A57:A68,H60,修正!E57:E68)</f>
        <v>0.25</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四级</v>
      </c>
      <c r="I61" s="838">
        <f>SUMIF(修正!A57:A68,H61,修正!F57:F68)</f>
        <v>0.25</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4" thickBot="1">
      <c r="A64" s="613" t="s">
        <v>1902</v>
      </c>
      <c r="B64" s="210" t="e">
        <f t="shared" si="17"/>
        <v>#DIV/0!</v>
      </c>
      <c r="C64" s="163">
        <f t="shared" si="16"/>
        <v>0.15</v>
      </c>
      <c r="D64" s="891">
        <v>0.25</v>
      </c>
      <c r="E64" s="209">
        <f>'数据-汇总表'!E15</f>
        <v>0</v>
      </c>
      <c r="F64" s="833" t="e">
        <f t="shared" si="15"/>
        <v>#DIV/0!</v>
      </c>
      <c r="G64" s="1836" t="s">
        <v>1896</v>
      </c>
      <c r="H64" s="844" t="str">
        <f>项目基本情况!C37</f>
        <v>四级</v>
      </c>
      <c r="I64" s="840">
        <f>SUMIF(修正!A57:A68,H64,修正!G57:G68)</f>
        <v>0.15</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71.03</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2025-1-1</v>
      </c>
      <c r="D67" s="656">
        <f>EDATE(C67,-3)</f>
        <v>45566</v>
      </c>
      <c r="E67" s="656">
        <f>EDATE(D67,-3)</f>
        <v>45474</v>
      </c>
      <c r="F67" s="656">
        <f t="shared" ref="F67:O67" si="18">EDATE(E67,-3)</f>
        <v>45383</v>
      </c>
      <c r="G67" s="656">
        <f t="shared" si="18"/>
        <v>45292</v>
      </c>
      <c r="H67" s="656">
        <f t="shared" si="18"/>
        <v>45200</v>
      </c>
      <c r="I67" s="656">
        <f t="shared" si="18"/>
        <v>45108</v>
      </c>
      <c r="J67" s="656">
        <f t="shared" si="18"/>
        <v>45017</v>
      </c>
      <c r="K67" s="656">
        <f t="shared" si="18"/>
        <v>44927</v>
      </c>
      <c r="L67" s="656">
        <f t="shared" si="18"/>
        <v>44835</v>
      </c>
      <c r="M67" s="656">
        <f t="shared" si="18"/>
        <v>44743</v>
      </c>
      <c r="N67" s="656">
        <f t="shared" si="18"/>
        <v>44652</v>
      </c>
      <c r="O67" s="656">
        <f t="shared" si="18"/>
        <v>44562</v>
      </c>
      <c r="P67" s="2487"/>
      <c r="Q67" s="2487"/>
      <c r="R67" s="2487"/>
      <c r="S67" s="2487"/>
      <c r="T67" s="2487"/>
      <c r="U67" s="2487"/>
      <c r="V67" s="2487"/>
      <c r="W67" s="2487"/>
      <c r="X67" s="2487"/>
      <c r="Y67" s="2487"/>
      <c r="Z67" s="2487"/>
      <c r="AA67" s="2487"/>
      <c r="AB67" s="2487"/>
      <c r="AC67" s="2487"/>
    </row>
    <row r="68" spans="1:29" ht="22.2"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4"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9.4"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4"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4"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4"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4"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4"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4"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4"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ht="14.4">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4"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4"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4"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4"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4"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4"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4"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4"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4"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4"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4"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81" t="s">
        <v>1770</v>
      </c>
      <c r="D4" s="3382"/>
      <c r="E4" s="3383" t="s">
        <v>1771</v>
      </c>
      <c r="F4" s="3384"/>
      <c r="G4" s="3381" t="s">
        <v>1772</v>
      </c>
      <c r="H4" s="3382"/>
      <c r="I4" s="3381" t="s">
        <v>1773</v>
      </c>
      <c r="J4" s="3382"/>
      <c r="K4" s="537" t="s">
        <v>1774</v>
      </c>
      <c r="L4" s="2486"/>
      <c r="M4" s="2487"/>
      <c r="N4" s="2487"/>
      <c r="O4" s="2487"/>
      <c r="P4" s="3385" t="s">
        <v>1775</v>
      </c>
      <c r="Q4" s="3386"/>
      <c r="R4" s="3391" t="s">
        <v>1771</v>
      </c>
      <c r="S4" s="3392"/>
      <c r="T4" s="3391" t="s">
        <v>1772</v>
      </c>
      <c r="U4" s="3392"/>
      <c r="V4" s="3367" t="s">
        <v>1773</v>
      </c>
      <c r="W4" s="3367"/>
      <c r="X4" s="1265"/>
      <c r="Y4" s="3391" t="s">
        <v>1775</v>
      </c>
      <c r="Z4" s="3392"/>
      <c r="AA4" s="3378" t="s">
        <v>1771</v>
      </c>
      <c r="AB4" s="3379" t="s">
        <v>1772</v>
      </c>
      <c r="AC4" s="3378" t="s">
        <v>1773</v>
      </c>
    </row>
    <row r="5" spans="1:29">
      <c r="A5" s="348"/>
      <c r="B5" s="349"/>
      <c r="C5" s="3399" t="s">
        <v>1673</v>
      </c>
      <c r="D5" s="3400"/>
      <c r="E5" s="3406" t="s">
        <v>1674</v>
      </c>
      <c r="F5" s="3407"/>
      <c r="G5" s="3399" t="s">
        <v>1675</v>
      </c>
      <c r="H5" s="3400"/>
      <c r="I5" s="3399" t="s">
        <v>1676</v>
      </c>
      <c r="J5" s="3400"/>
      <c r="K5" s="537"/>
      <c r="L5" s="2486"/>
      <c r="M5" s="2487"/>
      <c r="N5" s="2487"/>
      <c r="O5" s="2487"/>
      <c r="P5" s="3387"/>
      <c r="Q5" s="3388"/>
      <c r="R5" s="3393"/>
      <c r="S5" s="3394"/>
      <c r="T5" s="3393"/>
      <c r="U5" s="3394"/>
      <c r="V5" s="3367"/>
      <c r="W5" s="3367"/>
      <c r="X5" s="1265"/>
      <c r="Y5" s="3393"/>
      <c r="Z5" s="3394"/>
      <c r="AA5" s="3379"/>
      <c r="AB5" s="3379"/>
      <c r="AC5" s="3379"/>
    </row>
    <row r="6" spans="1:29" ht="15" thickBot="1">
      <c r="A6" s="350"/>
      <c r="B6" s="351"/>
      <c r="C6" s="3428" t="s">
        <v>1919</v>
      </c>
      <c r="D6" s="3429"/>
      <c r="E6" s="3430" t="s">
        <v>1919</v>
      </c>
      <c r="F6" s="3431"/>
      <c r="G6" s="3428" t="s">
        <v>1919</v>
      </c>
      <c r="H6" s="3429"/>
      <c r="I6" s="3428" t="s">
        <v>1919</v>
      </c>
      <c r="J6" s="3429"/>
      <c r="K6" s="537" t="s">
        <v>1678</v>
      </c>
      <c r="L6" s="2486"/>
      <c r="M6" s="2487"/>
      <c r="N6" s="2487"/>
      <c r="O6" s="2487"/>
      <c r="P6" s="3389"/>
      <c r="Q6" s="3390"/>
      <c r="R6" s="3393"/>
      <c r="S6" s="3394"/>
      <c r="T6" s="3395"/>
      <c r="U6" s="3396"/>
      <c r="V6" s="3367"/>
      <c r="W6" s="3367"/>
      <c r="X6" s="1265"/>
      <c r="Y6" s="3395"/>
      <c r="Z6" s="3396"/>
      <c r="AA6" s="3380"/>
      <c r="AB6" s="3380"/>
      <c r="AC6" s="3380"/>
    </row>
    <row r="7" spans="1:29" s="102" customFormat="1" ht="15" thickBot="1">
      <c r="A7" s="352" t="s">
        <v>1679</v>
      </c>
      <c r="B7" s="353"/>
      <c r="C7" s="354">
        <f>'数据-取费表'!B2</f>
        <v>45664</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401" t="s">
        <v>1680</v>
      </c>
      <c r="Q7" s="3403"/>
      <c r="R7" s="664" t="s">
        <v>14</v>
      </c>
      <c r="S7" s="665">
        <f t="shared" ref="S7:S15" si="0">F7</f>
        <v>0</v>
      </c>
      <c r="T7" s="664" t="s">
        <v>14</v>
      </c>
      <c r="U7" s="665">
        <f t="shared" ref="U7:U15" si="1">H7</f>
        <v>0</v>
      </c>
      <c r="V7" s="664" t="s">
        <v>14</v>
      </c>
      <c r="W7" s="665">
        <f t="shared" ref="W7:W15" si="2">J7</f>
        <v>0</v>
      </c>
      <c r="X7" s="666"/>
      <c r="Y7" s="3401" t="s">
        <v>1680</v>
      </c>
      <c r="Z7" s="3402"/>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401" t="s">
        <v>1683</v>
      </c>
      <c r="Q8" s="3402"/>
      <c r="R8" s="664" t="s">
        <v>14</v>
      </c>
      <c r="S8" s="665">
        <f t="shared" si="0"/>
        <v>0</v>
      </c>
      <c r="T8" s="664" t="s">
        <v>14</v>
      </c>
      <c r="U8" s="665">
        <f t="shared" si="1"/>
        <v>0</v>
      </c>
      <c r="V8" s="664" t="s">
        <v>14</v>
      </c>
      <c r="W8" s="665">
        <f t="shared" si="2"/>
        <v>0</v>
      </c>
      <c r="X8" s="666"/>
      <c r="Y8" s="3401" t="s">
        <v>1683</v>
      </c>
      <c r="Z8" s="3402"/>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366"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110</v>
      </c>
      <c r="G10" s="371"/>
      <c r="H10" s="119">
        <f>ROUND(100/'数据-取费表'!G16,0)</f>
        <v>110</v>
      </c>
      <c r="I10" s="371"/>
      <c r="J10" s="119">
        <f>ROUND(100/'数据-取费表'!G16,0)</f>
        <v>110</v>
      </c>
      <c r="K10" s="592"/>
      <c r="L10" s="2489"/>
      <c r="M10" s="2490"/>
      <c r="N10" s="2490"/>
      <c r="O10" s="2541"/>
      <c r="P10" s="3366"/>
      <c r="Q10" s="530" t="str">
        <f t="shared" si="6"/>
        <v>土地使用年限（年）</v>
      </c>
      <c r="R10" s="664" t="s">
        <v>14</v>
      </c>
      <c r="S10" s="665">
        <f t="shared" si="0"/>
        <v>110</v>
      </c>
      <c r="T10" s="664" t="s">
        <v>14</v>
      </c>
      <c r="U10" s="665">
        <f t="shared" si="1"/>
        <v>110</v>
      </c>
      <c r="V10" s="664" t="s">
        <v>14</v>
      </c>
      <c r="W10" s="665">
        <f t="shared" si="2"/>
        <v>110</v>
      </c>
      <c r="X10" s="666"/>
      <c r="Y10" s="3241"/>
      <c r="Z10" s="50" t="str">
        <f t="shared" si="7"/>
        <v>土地使用年限（年）</v>
      </c>
      <c r="AA10" s="50">
        <f t="shared" si="3"/>
        <v>0.90909090909090906</v>
      </c>
      <c r="AB10" s="50">
        <f t="shared" si="4"/>
        <v>0.90909090909090906</v>
      </c>
      <c r="AC10" s="50">
        <f t="shared" si="5"/>
        <v>0.90909090909090906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66"/>
      <c r="Q11" s="530" t="str">
        <f t="shared" si="6"/>
        <v>容积率</v>
      </c>
      <c r="R11" s="664" t="s">
        <v>14</v>
      </c>
      <c r="S11" s="665" t="e">
        <f t="shared" si="0"/>
        <v>#N/A</v>
      </c>
      <c r="T11" s="664" t="s">
        <v>14</v>
      </c>
      <c r="U11" s="665" t="e">
        <f t="shared" si="1"/>
        <v>#N/A</v>
      </c>
      <c r="V11" s="664" t="s">
        <v>14</v>
      </c>
      <c r="W11" s="665" t="e">
        <f t="shared" si="2"/>
        <v>#N/A</v>
      </c>
      <c r="X11" s="666"/>
      <c r="Y11" s="324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366"/>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66"/>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66"/>
      <c r="Q14" s="530">
        <f t="shared" si="6"/>
        <v>111</v>
      </c>
      <c r="R14" s="664" t="s">
        <v>14</v>
      </c>
      <c r="S14" s="665">
        <f t="shared" si="0"/>
        <v>100</v>
      </c>
      <c r="T14" s="664" t="s">
        <v>14</v>
      </c>
      <c r="U14" s="665">
        <f t="shared" si="1"/>
        <v>100</v>
      </c>
      <c r="V14" s="664" t="s">
        <v>14</v>
      </c>
      <c r="W14" s="665">
        <f t="shared" si="2"/>
        <v>100</v>
      </c>
      <c r="X14" s="666"/>
      <c r="Y14" s="3241"/>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68" t="s">
        <v>1691</v>
      </c>
      <c r="Q15" s="1263" t="str">
        <f t="shared" si="6"/>
        <v>产业集聚程度</v>
      </c>
      <c r="R15" s="667" t="s">
        <v>14</v>
      </c>
      <c r="S15" s="668">
        <f t="shared" si="0"/>
        <v>100</v>
      </c>
      <c r="T15" s="667" t="s">
        <v>14</v>
      </c>
      <c r="U15" s="668">
        <f t="shared" si="1"/>
        <v>100</v>
      </c>
      <c r="V15" s="667" t="s">
        <v>14</v>
      </c>
      <c r="W15" s="668">
        <f t="shared" si="2"/>
        <v>100</v>
      </c>
      <c r="X15" s="1265"/>
      <c r="Y15" s="336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369"/>
      <c r="Q16" s="1263"/>
      <c r="R16" s="667"/>
      <c r="S16" s="668"/>
      <c r="T16" s="667"/>
      <c r="U16" s="668"/>
      <c r="V16" s="667"/>
      <c r="W16" s="668"/>
      <c r="X16" s="1265"/>
      <c r="Y16" s="3369"/>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69"/>
      <c r="Q17" s="1263" t="str">
        <f>B17</f>
        <v>交通便捷度</v>
      </c>
      <c r="R17" s="667" t="s">
        <v>14</v>
      </c>
      <c r="S17" s="668">
        <f>F17</f>
        <v>100</v>
      </c>
      <c r="T17" s="667" t="s">
        <v>14</v>
      </c>
      <c r="U17" s="668">
        <f>H17</f>
        <v>100</v>
      </c>
      <c r="V17" s="667" t="s">
        <v>14</v>
      </c>
      <c r="W17" s="668">
        <f>J17</f>
        <v>100</v>
      </c>
      <c r="X17" s="1265"/>
      <c r="Y17" s="336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369"/>
      <c r="Q18" s="1263"/>
      <c r="R18" s="667"/>
      <c r="S18" s="668"/>
      <c r="T18" s="667"/>
      <c r="U18" s="668"/>
      <c r="V18" s="667"/>
      <c r="W18" s="668"/>
      <c r="X18" s="1265"/>
      <c r="Y18" s="3369"/>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69"/>
      <c r="Q19" s="1263" t="str">
        <f t="shared" ref="Q19:Q33" si="8">B19</f>
        <v>区域土地利用方向</v>
      </c>
      <c r="R19" s="667" t="s">
        <v>14</v>
      </c>
      <c r="S19" s="668">
        <f>F19</f>
        <v>100</v>
      </c>
      <c r="T19" s="667" t="s">
        <v>14</v>
      </c>
      <c r="U19" s="668">
        <f>H19</f>
        <v>100</v>
      </c>
      <c r="V19" s="667" t="s">
        <v>14</v>
      </c>
      <c r="W19" s="668">
        <f>J19</f>
        <v>100</v>
      </c>
      <c r="X19" s="1265"/>
      <c r="Y19" s="336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369"/>
      <c r="Q20" s="1263"/>
      <c r="R20" s="667"/>
      <c r="S20" s="668"/>
      <c r="T20" s="667"/>
      <c r="U20" s="668"/>
      <c r="V20" s="667"/>
      <c r="W20" s="668"/>
      <c r="X20" s="1265"/>
      <c r="Y20" s="3369"/>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69"/>
      <c r="Q21" s="1263" t="str">
        <f t="shared" si="8"/>
        <v>环境状况</v>
      </c>
      <c r="R21" s="667" t="s">
        <v>14</v>
      </c>
      <c r="S21" s="668">
        <f>F21</f>
        <v>100</v>
      </c>
      <c r="T21" s="667" t="s">
        <v>14</v>
      </c>
      <c r="U21" s="668">
        <f>H21</f>
        <v>100</v>
      </c>
      <c r="V21" s="667" t="s">
        <v>14</v>
      </c>
      <c r="W21" s="668">
        <f>J21</f>
        <v>100</v>
      </c>
      <c r="X21" s="1265"/>
      <c r="Y21" s="336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369"/>
      <c r="Q22" s="1263"/>
      <c r="R22" s="667"/>
      <c r="S22" s="668"/>
      <c r="T22" s="667"/>
      <c r="U22" s="668"/>
      <c r="V22" s="667"/>
      <c r="W22" s="668"/>
      <c r="X22" s="1265"/>
      <c r="Y22" s="3369"/>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369"/>
      <c r="Q23" s="530" t="str">
        <f t="shared" si="8"/>
        <v>公共配套设施</v>
      </c>
      <c r="R23" s="664" t="s">
        <v>14</v>
      </c>
      <c r="S23" s="665">
        <f>F23</f>
        <v>100</v>
      </c>
      <c r="T23" s="664" t="s">
        <v>14</v>
      </c>
      <c r="U23" s="665">
        <f>H23</f>
        <v>100</v>
      </c>
      <c r="V23" s="664" t="s">
        <v>14</v>
      </c>
      <c r="W23" s="665">
        <f>J23</f>
        <v>100</v>
      </c>
      <c r="X23" s="666"/>
      <c r="Y23" s="336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40"/>
      <c r="N24" s="2440"/>
      <c r="O24" s="2540"/>
      <c r="P24" s="3369"/>
      <c r="Q24" s="530"/>
      <c r="R24" s="664"/>
      <c r="S24" s="665"/>
      <c r="T24" s="664"/>
      <c r="U24" s="665"/>
      <c r="V24" s="664"/>
      <c r="W24" s="665"/>
      <c r="X24" s="666"/>
      <c r="Y24" s="3369"/>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369"/>
      <c r="Q25" s="530" t="str">
        <f t="shared" ref="Q25" si="9">B25</f>
        <v>基础设施水平</v>
      </c>
      <c r="R25" s="664" t="s">
        <v>14</v>
      </c>
      <c r="S25" s="665">
        <f>F25</f>
        <v>100</v>
      </c>
      <c r="T25" s="664" t="s">
        <v>14</v>
      </c>
      <c r="U25" s="665">
        <f>H25</f>
        <v>100</v>
      </c>
      <c r="V25" s="664" t="s">
        <v>14</v>
      </c>
      <c r="W25" s="665">
        <f>J25</f>
        <v>100</v>
      </c>
      <c r="X25" s="666"/>
      <c r="Y25" s="336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40"/>
      <c r="N26" s="2440"/>
      <c r="O26" s="2540"/>
      <c r="P26" s="3369"/>
      <c r="Q26" s="530"/>
      <c r="R26" s="664"/>
      <c r="S26" s="665"/>
      <c r="T26" s="664"/>
      <c r="U26" s="665"/>
      <c r="V26" s="664"/>
      <c r="W26" s="665"/>
      <c r="X26" s="666"/>
      <c r="Y26" s="336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6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69"/>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69"/>
      <c r="Q28" s="1263" t="str">
        <f t="shared" si="8"/>
        <v>毗邻道路的类型与等级</v>
      </c>
      <c r="R28" s="667" t="s">
        <v>14</v>
      </c>
      <c r="S28" s="668">
        <f t="shared" si="10"/>
        <v>100</v>
      </c>
      <c r="T28" s="667" t="s">
        <v>14</v>
      </c>
      <c r="U28" s="668">
        <f t="shared" si="11"/>
        <v>100</v>
      </c>
      <c r="V28" s="667" t="s">
        <v>14</v>
      </c>
      <c r="W28" s="668">
        <f t="shared" si="12"/>
        <v>100</v>
      </c>
      <c r="X28" s="1265"/>
      <c r="Y28" s="336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369"/>
      <c r="Q29" s="1263"/>
      <c r="R29" s="667"/>
      <c r="S29" s="668"/>
      <c r="T29" s="667"/>
      <c r="U29" s="668"/>
      <c r="V29" s="667"/>
      <c r="W29" s="668"/>
      <c r="X29" s="1265"/>
      <c r="Y29" s="336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69"/>
      <c r="Q30" s="1263" t="str">
        <f t="shared" si="8"/>
        <v>土地级别</v>
      </c>
      <c r="R30" s="667" t="s">
        <v>14</v>
      </c>
      <c r="S30" s="668">
        <f t="shared" si="10"/>
        <v>100</v>
      </c>
      <c r="T30" s="667" t="s">
        <v>14</v>
      </c>
      <c r="U30" s="668">
        <f t="shared" si="11"/>
        <v>100</v>
      </c>
      <c r="V30" s="667" t="s">
        <v>14</v>
      </c>
      <c r="W30" s="668">
        <f t="shared" si="12"/>
        <v>100</v>
      </c>
      <c r="X30" s="1265"/>
      <c r="Y30" s="336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69"/>
      <c r="Q31" s="1263">
        <f t="shared" si="8"/>
        <v>111</v>
      </c>
      <c r="R31" s="667" t="s">
        <v>14</v>
      </c>
      <c r="S31" s="668">
        <f t="shared" si="10"/>
        <v>100</v>
      </c>
      <c r="T31" s="667" t="s">
        <v>14</v>
      </c>
      <c r="U31" s="668">
        <f t="shared" si="11"/>
        <v>100</v>
      </c>
      <c r="V31" s="667" t="s">
        <v>14</v>
      </c>
      <c r="W31" s="668">
        <f t="shared" si="12"/>
        <v>100</v>
      </c>
      <c r="X31" s="1265"/>
      <c r="Y31" s="336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23" t="s">
        <v>1696</v>
      </c>
      <c r="Q32" s="1263">
        <f t="shared" si="8"/>
        <v>111</v>
      </c>
      <c r="R32" s="667" t="s">
        <v>14</v>
      </c>
      <c r="S32" s="668">
        <f t="shared" si="10"/>
        <v>100</v>
      </c>
      <c r="T32" s="667" t="s">
        <v>14</v>
      </c>
      <c r="U32" s="668">
        <f t="shared" si="11"/>
        <v>100</v>
      </c>
      <c r="V32" s="667" t="s">
        <v>14</v>
      </c>
      <c r="W32" s="668">
        <f t="shared" si="12"/>
        <v>100</v>
      </c>
      <c r="X32" s="1265"/>
      <c r="Y32" s="3373"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73"/>
      <c r="Q33" s="1263">
        <f t="shared" si="8"/>
        <v>111</v>
      </c>
      <c r="R33" s="669" t="s">
        <v>14</v>
      </c>
      <c r="S33" s="670">
        <f t="shared" si="10"/>
        <v>100</v>
      </c>
      <c r="T33" s="669" t="s">
        <v>14</v>
      </c>
      <c r="U33" s="670">
        <f t="shared" si="11"/>
        <v>100</v>
      </c>
      <c r="V33" s="669" t="s">
        <v>14</v>
      </c>
      <c r="W33" s="670">
        <f t="shared" si="12"/>
        <v>100</v>
      </c>
      <c r="X33" s="671"/>
      <c r="Y33" s="3373"/>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73"/>
      <c r="Q34" s="1263" t="str">
        <f>B34</f>
        <v>宗地面积</v>
      </c>
      <c r="R34" s="667" t="s">
        <v>14</v>
      </c>
      <c r="S34" s="668" t="e">
        <f t="shared" si="10"/>
        <v>#N/A</v>
      </c>
      <c r="T34" s="667" t="s">
        <v>14</v>
      </c>
      <c r="U34" s="668" t="e">
        <f t="shared" si="11"/>
        <v>#N/A</v>
      </c>
      <c r="V34" s="667" t="s">
        <v>14</v>
      </c>
      <c r="W34" s="668" t="e">
        <f t="shared" si="12"/>
        <v>#N/A</v>
      </c>
      <c r="X34" s="1265"/>
      <c r="Y34" s="3373"/>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373"/>
      <c r="Q35" s="1263" t="str">
        <f t="shared" ref="Q35:Q40" si="14">B35</f>
        <v>宗地形状</v>
      </c>
      <c r="R35" s="667" t="s">
        <v>14</v>
      </c>
      <c r="S35" s="668">
        <f t="shared" si="10"/>
        <v>100</v>
      </c>
      <c r="T35" s="667" t="s">
        <v>14</v>
      </c>
      <c r="U35" s="668">
        <f t="shared" si="11"/>
        <v>100</v>
      </c>
      <c r="V35" s="667" t="s">
        <v>14</v>
      </c>
      <c r="W35" s="668">
        <f t="shared" si="12"/>
        <v>100</v>
      </c>
      <c r="X35" s="1265"/>
      <c r="Y35" s="3373"/>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373"/>
      <c r="Q36" s="1263" t="str">
        <f t="shared" si="14"/>
        <v>宗地开发程度</v>
      </c>
      <c r="R36" s="664" t="s">
        <v>14</v>
      </c>
      <c r="S36" s="665">
        <f t="shared" si="10"/>
        <v>100</v>
      </c>
      <c r="T36" s="664" t="s">
        <v>14</v>
      </c>
      <c r="U36" s="665">
        <f t="shared" si="11"/>
        <v>100</v>
      </c>
      <c r="V36" s="664" t="s">
        <v>14</v>
      </c>
      <c r="W36" s="665">
        <f t="shared" si="12"/>
        <v>100</v>
      </c>
      <c r="X36" s="666"/>
      <c r="Y36" s="3373"/>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373" t="s">
        <v>1696</v>
      </c>
      <c r="Q37" s="1263" t="str">
        <f t="shared" si="14"/>
        <v>工程地质条件</v>
      </c>
      <c r="R37" s="667" t="s">
        <v>14</v>
      </c>
      <c r="S37" s="668">
        <f t="shared" si="10"/>
        <v>100</v>
      </c>
      <c r="T37" s="667" t="s">
        <v>14</v>
      </c>
      <c r="U37" s="668">
        <f t="shared" si="11"/>
        <v>100</v>
      </c>
      <c r="V37" s="667" t="s">
        <v>14</v>
      </c>
      <c r="W37" s="668">
        <f t="shared" si="12"/>
        <v>100</v>
      </c>
      <c r="X37" s="1265"/>
      <c r="Y37" s="337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73"/>
      <c r="Q38" s="1263">
        <f t="shared" si="14"/>
        <v>111</v>
      </c>
      <c r="R38" s="667" t="s">
        <v>14</v>
      </c>
      <c r="S38" s="668">
        <f t="shared" si="10"/>
        <v>100</v>
      </c>
      <c r="T38" s="667" t="s">
        <v>14</v>
      </c>
      <c r="U38" s="668">
        <f t="shared" si="11"/>
        <v>100</v>
      </c>
      <c r="V38" s="667" t="s">
        <v>14</v>
      </c>
      <c r="W38" s="668">
        <f t="shared" si="12"/>
        <v>100</v>
      </c>
      <c r="X38" s="1265"/>
      <c r="Y38" s="337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73"/>
      <c r="Q39" s="1263">
        <f t="shared" si="14"/>
        <v>111</v>
      </c>
      <c r="R39" s="667" t="s">
        <v>14</v>
      </c>
      <c r="S39" s="668">
        <f t="shared" si="10"/>
        <v>100</v>
      </c>
      <c r="T39" s="667" t="s">
        <v>14</v>
      </c>
      <c r="U39" s="668">
        <f t="shared" si="11"/>
        <v>100</v>
      </c>
      <c r="V39" s="667" t="s">
        <v>14</v>
      </c>
      <c r="W39" s="668">
        <f t="shared" si="12"/>
        <v>100</v>
      </c>
      <c r="X39" s="1265"/>
      <c r="Y39" s="3373"/>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73"/>
      <c r="Q40" s="1263">
        <f t="shared" si="14"/>
        <v>111</v>
      </c>
      <c r="R40" s="669" t="s">
        <v>14</v>
      </c>
      <c r="S40" s="670">
        <f t="shared" si="10"/>
        <v>100</v>
      </c>
      <c r="T40" s="669" t="s">
        <v>14</v>
      </c>
      <c r="U40" s="670">
        <f t="shared" si="11"/>
        <v>100</v>
      </c>
      <c r="V40" s="669" t="s">
        <v>14</v>
      </c>
      <c r="W40" s="670">
        <f t="shared" si="12"/>
        <v>100</v>
      </c>
      <c r="X40" s="671"/>
      <c r="Y40" s="3373"/>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4"/>
      <c r="M41" s="2487"/>
      <c r="N41" s="2487"/>
      <c r="O41" s="2487"/>
      <c r="P41" s="3366" t="str">
        <f>A41</f>
        <v>成交单价</v>
      </c>
      <c r="Q41" s="3366"/>
      <c r="R41" s="3367">
        <f>E41</f>
        <v>0</v>
      </c>
      <c r="S41" s="3367"/>
      <c r="T41" s="3367">
        <f>G41</f>
        <v>0</v>
      </c>
      <c r="U41" s="3367"/>
      <c r="V41" s="3367">
        <f>I41</f>
        <v>0</v>
      </c>
      <c r="W41" s="3367"/>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366" t="str">
        <f>A42</f>
        <v>比较价值（元/平方米）</v>
      </c>
      <c r="Q42" s="3366"/>
      <c r="R42" s="3425" t="e">
        <f>ROUND(PRODUCT(R41,AA7:AA40),0)</f>
        <v>#DIV/0!</v>
      </c>
      <c r="S42" s="3425"/>
      <c r="T42" s="3425" t="e">
        <f>ROUND(PRODUCT(T41,AB7:AB40),0)</f>
        <v>#DIV/0!</v>
      </c>
      <c r="U42" s="3425"/>
      <c r="V42" s="3425" t="e">
        <f>ROUND(PRODUCT(V41,AC7:AC40),0)</f>
        <v>#DIV/0!</v>
      </c>
      <c r="W42" s="3425"/>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4"/>
      <c r="M43" s="2487"/>
      <c r="N43" s="2487"/>
      <c r="O43" s="2487"/>
      <c r="P43" s="3363" t="str">
        <f>A43</f>
        <v>估价对象XX用房的比较价值（楼面单价，元/平方米）</v>
      </c>
      <c r="Q43" s="3364"/>
      <c r="R43" s="3426" t="e">
        <f>ROUND(IF(D42="简单平均",AVERAGE(R42:W42),R42*F42+T42*H42+V42*J42),0)</f>
        <v>#DIV/0!</v>
      </c>
      <c r="S43" s="3426"/>
      <c r="T43" s="3426"/>
      <c r="U43" s="3426"/>
      <c r="V43" s="3426"/>
      <c r="W43" s="3426"/>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4"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4" t="s">
        <v>1881</v>
      </c>
      <c r="B50" s="605" t="s">
        <v>1882</v>
      </c>
      <c r="C50" s="1831" t="s">
        <v>1883</v>
      </c>
      <c r="D50" s="1832" t="s">
        <v>1884</v>
      </c>
      <c r="E50" s="606" t="s">
        <v>1885</v>
      </c>
      <c r="F50" s="607" t="s">
        <v>1886</v>
      </c>
      <c r="G50" s="3381" t="s">
        <v>1887</v>
      </c>
      <c r="H50" s="3427"/>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71.03</v>
      </c>
      <c r="F51" s="611" t="e">
        <f t="shared" ref="F51:F60" si="15">ROUND(B51*E51/10000,0)</f>
        <v>#DIV/0!</v>
      </c>
      <c r="G51" s="3377"/>
      <c r="H51" s="3366"/>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四级</v>
      </c>
      <c r="I56" s="727">
        <f>SUMIF(修正!A57:A68,H56,修正!E57:E68)</f>
        <v>0.25</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四级</v>
      </c>
      <c r="I57" s="727">
        <f>SUMIF(修正!A57:A68,H57,修正!F57:F68)</f>
        <v>0.25</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4" thickBot="1">
      <c r="A60" s="613" t="s">
        <v>1902</v>
      </c>
      <c r="B60" s="210" t="e">
        <f t="shared" si="17"/>
        <v>#DIV/0!</v>
      </c>
      <c r="C60" s="163">
        <f t="shared" si="16"/>
        <v>0.15</v>
      </c>
      <c r="D60" s="891">
        <v>0.25</v>
      </c>
      <c r="E60" s="209">
        <f>'数据-汇总表'!E15</f>
        <v>0</v>
      </c>
      <c r="F60" s="611" t="e">
        <f t="shared" si="15"/>
        <v>#DIV/0!</v>
      </c>
      <c r="G60" s="1836" t="s">
        <v>1896</v>
      </c>
      <c r="H60" s="844" t="str">
        <f>项目基本情况!C37</f>
        <v>四级</v>
      </c>
      <c r="I60" s="727">
        <f>SUMIF(修正!A57:A68,H60,修正!G57:G68)</f>
        <v>0.15</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2025-1-1</v>
      </c>
      <c r="D63" s="656">
        <f>EDATE(C63,-3)</f>
        <v>45566</v>
      </c>
      <c r="E63" s="656">
        <f>EDATE(D63,-3)</f>
        <v>45474</v>
      </c>
      <c r="F63" s="656">
        <f t="shared" ref="F63:O63" si="18">EDATE(E63,-3)</f>
        <v>45383</v>
      </c>
      <c r="G63" s="656">
        <f t="shared" si="18"/>
        <v>45292</v>
      </c>
      <c r="H63" s="656">
        <f t="shared" si="18"/>
        <v>45200</v>
      </c>
      <c r="I63" s="656">
        <f t="shared" si="18"/>
        <v>45108</v>
      </c>
      <c r="J63" s="656">
        <f t="shared" si="18"/>
        <v>45017</v>
      </c>
      <c r="K63" s="656">
        <f t="shared" si="18"/>
        <v>44927</v>
      </c>
      <c r="L63" s="656">
        <f t="shared" si="18"/>
        <v>44835</v>
      </c>
      <c r="M63" s="656">
        <f t="shared" si="18"/>
        <v>44743</v>
      </c>
      <c r="N63" s="656">
        <f t="shared" si="18"/>
        <v>44652</v>
      </c>
      <c r="O63" s="656">
        <f t="shared" si="18"/>
        <v>44562</v>
      </c>
      <c r="P63" s="2487"/>
      <c r="Q63" s="2487"/>
      <c r="R63" s="2487"/>
      <c r="S63" s="2487"/>
      <c r="T63" s="2487"/>
      <c r="U63" s="2487"/>
      <c r="V63" s="2487"/>
      <c r="W63" s="2487"/>
      <c r="X63" s="2487"/>
      <c r="Y63" s="2487"/>
      <c r="Z63" s="2487"/>
      <c r="AA63" s="2487"/>
      <c r="AB63" s="2487"/>
      <c r="AC63" s="2487"/>
      <c r="AD63" s="2487"/>
      <c r="AE63" s="2487"/>
    </row>
    <row r="64" spans="1:31" ht="22.2"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4"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4"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4"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4"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4"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4"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ht="14.4">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4"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4"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4"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4"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5" t="s">
        <v>2084</v>
      </c>
      <c r="D1" s="3436"/>
      <c r="E1" s="3436"/>
      <c r="F1" s="3436"/>
      <c r="G1" s="3436"/>
      <c r="H1" s="3436"/>
      <c r="I1" s="3436"/>
      <c r="J1" s="3436"/>
      <c r="K1" s="3436"/>
      <c r="L1" s="3436"/>
      <c r="M1" s="3436"/>
      <c r="N1" s="3436"/>
      <c r="O1" s="3436"/>
      <c r="P1" s="3436"/>
      <c r="Q1" s="3436"/>
      <c r="R1" s="3436"/>
      <c r="S1" s="343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2" t="s">
        <v>27</v>
      </c>
      <c r="D22" s="3433"/>
      <c r="E22" s="3433"/>
      <c r="F22" s="3433"/>
      <c r="G22" s="3433"/>
      <c r="H22" s="3433"/>
      <c r="I22" s="3433"/>
      <c r="J22" s="3433"/>
      <c r="K22" s="3433"/>
      <c r="L22" s="3433"/>
      <c r="M22" s="3433"/>
      <c r="N22" s="3433"/>
      <c r="O22" s="3433"/>
      <c r="P22" s="3433"/>
      <c r="Q22" s="343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4"/>
      <c r="G1" s="2544"/>
      <c r="H1" s="2544"/>
      <c r="I1" s="2544"/>
      <c r="J1" s="2544"/>
      <c r="K1" s="2544"/>
      <c r="L1" s="2544"/>
      <c r="M1" s="2544"/>
      <c r="N1" s="2544"/>
      <c r="O1" s="2544"/>
      <c r="P1" s="2544"/>
    </row>
    <row r="2" spans="1:16" ht="15.6">
      <c r="A2" s="1984" t="s">
        <v>2073</v>
      </c>
      <c r="B2" s="2388">
        <f ca="1">SUMIF(B6:B13,"&lt;&gt;#ref!",B6:B13)</f>
        <v>110</v>
      </c>
      <c r="C2" s="1984" t="s">
        <v>2074</v>
      </c>
      <c r="D2" s="1984" t="s">
        <v>2075</v>
      </c>
      <c r="E2" s="2398">
        <f ca="1">SUMIF(E6:E13,"&lt;&gt;#ref!",E6:E13)</f>
        <v>71.03</v>
      </c>
      <c r="F2" s="2544"/>
      <c r="G2" s="2544"/>
      <c r="H2" s="2544"/>
      <c r="I2" s="2544"/>
      <c r="J2" s="2544"/>
      <c r="K2" s="2544"/>
      <c r="L2" s="2544"/>
      <c r="M2" s="2544"/>
      <c r="N2" s="2544"/>
      <c r="O2" s="2544"/>
      <c r="P2" s="2544"/>
    </row>
    <row r="3" spans="1:16" ht="15.6">
      <c r="A3" s="1984" t="s">
        <v>2076</v>
      </c>
      <c r="B3" s="2388">
        <f ca="1">ROUND(B2*10000/E2,0)</f>
        <v>15486</v>
      </c>
      <c r="C3" s="1984" t="s">
        <v>2082</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4" t="s">
        <v>2077</v>
      </c>
      <c r="B5" s="2396" t="s">
        <v>2078</v>
      </c>
      <c r="C5" s="1985"/>
      <c r="D5" s="2544"/>
      <c r="E5" s="2397" t="s">
        <v>2079</v>
      </c>
      <c r="F5" s="2544"/>
      <c r="G5" s="2544"/>
      <c r="H5" s="2544"/>
      <c r="I5" s="2544"/>
      <c r="J5" s="2544"/>
      <c r="K5" s="2544"/>
      <c r="L5" s="2544"/>
      <c r="M5" s="2544"/>
      <c r="N5" s="2544"/>
      <c r="O5" s="2544"/>
      <c r="P5" s="2544"/>
    </row>
    <row r="6" spans="1:16" ht="15.6">
      <c r="A6" s="2395" t="s">
        <v>2080</v>
      </c>
      <c r="B6" s="2388">
        <f ca="1">SUMIF(INDIRECT("'"&amp;A6&amp;"'"&amp;"!A:A"),"总价",INDIRECT("'"&amp;A6&amp;"'"&amp;"!B:B"))</f>
        <v>110</v>
      </c>
      <c r="C6" s="1984" t="s">
        <v>2074</v>
      </c>
      <c r="D6" s="2544"/>
      <c r="E6" s="2398">
        <f ca="1">SUMIF(INDIRECT("'"&amp;A6&amp;"'"&amp;"!C:C"),"建筑面积",INDIRECT("'"&amp;A6&amp;"'"&amp;"!D:D"))</f>
        <v>71.03</v>
      </c>
      <c r="F6" s="2544"/>
      <c r="G6" s="2544"/>
      <c r="H6" s="2544"/>
      <c r="I6" s="2544"/>
      <c r="J6" s="2544"/>
      <c r="K6" s="2544"/>
      <c r="L6" s="2544"/>
      <c r="M6" s="2544"/>
      <c r="N6" s="2544"/>
      <c r="O6" s="2544"/>
      <c r="P6" s="2544"/>
    </row>
    <row r="7" spans="1:16" ht="15.6">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6">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6">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6">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6">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6">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6">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466" t="s">
        <v>2607</v>
      </c>
      <c r="B20" s="3461" t="s">
        <v>2628</v>
      </c>
      <c r="C20" s="2842" t="s">
        <v>2439</v>
      </c>
      <c r="D20" s="2843"/>
      <c r="E20" s="2844">
        <v>1</v>
      </c>
      <c r="F20" s="2845" t="s">
        <v>2440</v>
      </c>
      <c r="G20" s="2845"/>
    </row>
    <row r="21" spans="1:13" ht="19.5" customHeight="1">
      <c r="A21" s="3467"/>
      <c r="B21" s="3460"/>
      <c r="C21" s="2846" t="s">
        <v>2441</v>
      </c>
      <c r="D21" s="2847"/>
      <c r="E21" s="2848">
        <v>1</v>
      </c>
      <c r="F21" s="2845" t="s">
        <v>2442</v>
      </c>
      <c r="G21" s="2845"/>
    </row>
    <row r="22" spans="1:13" ht="19.5" customHeight="1">
      <c r="A22" s="3467"/>
      <c r="B22" s="3460"/>
      <c r="C22" s="2846" t="s">
        <v>2443</v>
      </c>
      <c r="D22" s="2847"/>
      <c r="E22" s="2848">
        <v>0.9</v>
      </c>
      <c r="F22" s="2845" t="s">
        <v>2444</v>
      </c>
      <c r="G22" s="2845"/>
    </row>
    <row r="23" spans="1:13" ht="19.5" customHeight="1">
      <c r="A23" s="3467"/>
      <c r="B23" s="3460"/>
      <c r="C23" s="2846" t="s">
        <v>2445</v>
      </c>
      <c r="D23" s="2847"/>
      <c r="E23" s="2848">
        <v>0.9</v>
      </c>
      <c r="F23" s="2845" t="s">
        <v>2446</v>
      </c>
      <c r="G23" s="2845"/>
    </row>
    <row r="24" spans="1:13" ht="19.5" customHeight="1">
      <c r="A24" s="3467"/>
      <c r="B24" s="3460"/>
      <c r="C24" s="2846" t="s">
        <v>2447</v>
      </c>
      <c r="D24" s="2847"/>
      <c r="E24" s="2848">
        <v>0.8</v>
      </c>
      <c r="F24" s="2845" t="s">
        <v>2448</v>
      </c>
      <c r="G24" s="2845"/>
    </row>
    <row r="25" spans="1:13" ht="19.5" customHeight="1" thickBot="1">
      <c r="A25" s="3468"/>
      <c r="B25" s="3462"/>
      <c r="C25" s="2849" t="s">
        <v>2449</v>
      </c>
      <c r="D25" s="2850"/>
      <c r="E25" s="2851">
        <v>0.8</v>
      </c>
      <c r="F25" s="2845" t="s">
        <v>2450</v>
      </c>
      <c r="G25" s="2845"/>
    </row>
    <row r="26" spans="1:13" ht="19.5" customHeight="1" thickBot="1">
      <c r="A26" s="2852" t="s">
        <v>2629</v>
      </c>
      <c r="B26" s="2853" t="s">
        <v>2628</v>
      </c>
      <c r="C26" s="2854" t="s">
        <v>2630</v>
      </c>
      <c r="D26" s="2855"/>
      <c r="E26" s="2856">
        <v>1</v>
      </c>
      <c r="F26" s="2845" t="s">
        <v>2451</v>
      </c>
      <c r="G26" s="2845"/>
    </row>
    <row r="27" spans="1:13" ht="19.5" customHeight="1">
      <c r="A27" s="3463" t="s">
        <v>2631</v>
      </c>
      <c r="B27" s="3461" t="s">
        <v>2612</v>
      </c>
      <c r="C27" s="2842" t="s">
        <v>2452</v>
      </c>
      <c r="D27" s="2843"/>
      <c r="E27" s="2844">
        <v>1</v>
      </c>
      <c r="F27" s="2845" t="s">
        <v>2453</v>
      </c>
      <c r="G27" s="2845"/>
    </row>
    <row r="28" spans="1:13" ht="19.5" customHeight="1">
      <c r="A28" s="3464"/>
      <c r="B28" s="3460"/>
      <c r="C28" s="2846" t="s">
        <v>2454</v>
      </c>
      <c r="D28" s="2847"/>
      <c r="E28" s="2848">
        <v>1</v>
      </c>
      <c r="F28" s="2845" t="s">
        <v>2455</v>
      </c>
      <c r="G28" s="2845"/>
    </row>
    <row r="29" spans="1:13" ht="19.5" customHeight="1">
      <c r="A29" s="3464"/>
      <c r="B29" s="3460"/>
      <c r="C29" s="2846" t="s">
        <v>2456</v>
      </c>
      <c r="D29" s="2847"/>
      <c r="E29" s="2848">
        <v>0.8</v>
      </c>
      <c r="F29" s="2845" t="s">
        <v>2457</v>
      </c>
      <c r="G29" s="2845"/>
    </row>
    <row r="30" spans="1:13" ht="19.5" customHeight="1">
      <c r="A30" s="3464"/>
      <c r="B30" s="3460"/>
      <c r="C30" s="2846" t="s">
        <v>2458</v>
      </c>
      <c r="D30" s="2847"/>
      <c r="E30" s="2848">
        <v>0.8</v>
      </c>
      <c r="F30" s="2845" t="s">
        <v>2459</v>
      </c>
      <c r="G30" s="2845"/>
    </row>
    <row r="31" spans="1:13" ht="19.5" customHeight="1">
      <c r="A31" s="3464"/>
      <c r="B31" s="3460"/>
      <c r="C31" s="2846" t="s">
        <v>2460</v>
      </c>
      <c r="D31" s="2847"/>
      <c r="E31" s="2848">
        <v>0.8</v>
      </c>
      <c r="F31" s="2845" t="s">
        <v>2461</v>
      </c>
      <c r="G31" s="2845"/>
    </row>
    <row r="32" spans="1:13" ht="19.5" customHeight="1">
      <c r="A32" s="3464"/>
      <c r="B32" s="3460"/>
      <c r="C32" s="2846" t="s">
        <v>2462</v>
      </c>
      <c r="D32" s="2847"/>
      <c r="E32" s="2848">
        <v>0.7</v>
      </c>
      <c r="F32" s="2845" t="s">
        <v>2463</v>
      </c>
      <c r="G32" s="2845"/>
    </row>
    <row r="33" spans="1:7" ht="19.5" customHeight="1">
      <c r="A33" s="3464"/>
      <c r="B33" s="3460"/>
      <c r="C33" s="2846" t="s">
        <v>2464</v>
      </c>
      <c r="D33" s="2847"/>
      <c r="E33" s="2848">
        <v>0.8</v>
      </c>
      <c r="F33" s="2845" t="s">
        <v>2465</v>
      </c>
      <c r="G33" s="2845"/>
    </row>
    <row r="34" spans="1:7" ht="19.5" customHeight="1">
      <c r="A34" s="3464"/>
      <c r="B34" s="3460"/>
      <c r="C34" s="2846" t="s">
        <v>2466</v>
      </c>
      <c r="D34" s="2847"/>
      <c r="E34" s="2848">
        <v>0.6</v>
      </c>
      <c r="F34" s="2845" t="s">
        <v>2467</v>
      </c>
      <c r="G34" s="2845"/>
    </row>
    <row r="35" spans="1:7" ht="19.5" customHeight="1">
      <c r="A35" s="3464"/>
      <c r="B35" s="3460"/>
      <c r="C35" s="2846" t="s">
        <v>2468</v>
      </c>
      <c r="D35" s="2847"/>
      <c r="E35" s="2848">
        <v>0.2</v>
      </c>
      <c r="F35" s="2845" t="s">
        <v>2469</v>
      </c>
      <c r="G35" s="2845"/>
    </row>
    <row r="36" spans="1:7" ht="19.5" customHeight="1">
      <c r="A36" s="3464"/>
      <c r="B36" s="3460"/>
      <c r="C36" s="2846" t="s">
        <v>2470</v>
      </c>
      <c r="D36" s="2847"/>
      <c r="E36" s="2848">
        <v>0.2</v>
      </c>
      <c r="F36" s="2845" t="s">
        <v>2471</v>
      </c>
      <c r="G36" s="2845"/>
    </row>
    <row r="37" spans="1:7" ht="19.5" customHeight="1">
      <c r="A37" s="3464"/>
      <c r="B37" s="3458" t="s">
        <v>2632</v>
      </c>
      <c r="C37" s="2846" t="s">
        <v>2472</v>
      </c>
      <c r="D37" s="2847"/>
      <c r="E37" s="2848">
        <v>0.6</v>
      </c>
      <c r="F37" s="2845" t="s">
        <v>2473</v>
      </c>
      <c r="G37" s="2845"/>
    </row>
    <row r="38" spans="1:7" ht="19.5" customHeight="1">
      <c r="A38" s="3464"/>
      <c r="B38" s="3460"/>
      <c r="C38" s="2846" t="s">
        <v>2474</v>
      </c>
      <c r="D38" s="2847"/>
      <c r="E38" s="2848">
        <v>0.6</v>
      </c>
      <c r="F38" s="2845" t="s">
        <v>2475</v>
      </c>
      <c r="G38" s="2845"/>
    </row>
    <row r="39" spans="1:7" ht="19.5" customHeight="1" thickBot="1">
      <c r="A39" s="3465"/>
      <c r="B39" s="3462"/>
      <c r="C39" s="2849" t="s">
        <v>2476</v>
      </c>
      <c r="D39" s="2850"/>
      <c r="E39" s="2851">
        <v>0.6</v>
      </c>
      <c r="F39" s="2845" t="s">
        <v>2477</v>
      </c>
      <c r="G39" s="2845"/>
    </row>
    <row r="40" spans="1:7" ht="19.5" customHeight="1" thickBot="1">
      <c r="A40" s="2852" t="s">
        <v>2609</v>
      </c>
      <c r="B40" s="2853" t="s">
        <v>2609</v>
      </c>
      <c r="C40" s="2854" t="s">
        <v>2633</v>
      </c>
      <c r="D40" s="2855"/>
      <c r="E40" s="2856">
        <v>1</v>
      </c>
      <c r="F40" s="2845" t="s">
        <v>2478</v>
      </c>
      <c r="G40" s="2845"/>
    </row>
    <row r="41" spans="1:7" ht="19.5" customHeight="1">
      <c r="A41" s="3466" t="s">
        <v>2610</v>
      </c>
      <c r="B41" s="3461" t="s">
        <v>2634</v>
      </c>
      <c r="C41" s="2842" t="s">
        <v>2479</v>
      </c>
      <c r="D41" s="2843"/>
      <c r="E41" s="2844">
        <v>1</v>
      </c>
      <c r="F41" s="2845" t="s">
        <v>2480</v>
      </c>
      <c r="G41" s="2845"/>
    </row>
    <row r="42" spans="1:7" ht="19.5" customHeight="1">
      <c r="A42" s="3467"/>
      <c r="B42" s="3460"/>
      <c r="C42" s="2846" t="s">
        <v>2481</v>
      </c>
      <c r="D42" s="2847"/>
      <c r="E42" s="2848">
        <v>1</v>
      </c>
      <c r="F42" s="2845" t="s">
        <v>2482</v>
      </c>
      <c r="G42" s="2845"/>
    </row>
    <row r="43" spans="1:7" ht="19.5" customHeight="1">
      <c r="A43" s="3467"/>
      <c r="B43" s="3459"/>
      <c r="C43" s="2846" t="s">
        <v>2483</v>
      </c>
      <c r="D43" s="2847"/>
      <c r="E43" s="2848">
        <v>1.5</v>
      </c>
      <c r="F43" s="2845" t="s">
        <v>2484</v>
      </c>
      <c r="G43" s="2845"/>
    </row>
    <row r="44" spans="1:7" ht="19.5" customHeight="1">
      <c r="A44" s="3467"/>
      <c r="B44" s="2857" t="s">
        <v>2635</v>
      </c>
      <c r="C44" s="2846" t="s">
        <v>2636</v>
      </c>
      <c r="D44" s="2847"/>
      <c r="E44" s="2848">
        <v>2</v>
      </c>
      <c r="F44" s="2845" t="s">
        <v>2485</v>
      </c>
      <c r="G44" s="2845"/>
    </row>
    <row r="45" spans="1:7" ht="19.5" customHeight="1">
      <c r="A45" s="3467"/>
      <c r="B45" s="3458" t="s">
        <v>2637</v>
      </c>
      <c r="C45" s="2846" t="s">
        <v>2486</v>
      </c>
      <c r="D45" s="2847"/>
      <c r="E45" s="2848">
        <v>1</v>
      </c>
      <c r="F45" s="2845" t="s">
        <v>2487</v>
      </c>
      <c r="G45" s="2845"/>
    </row>
    <row r="46" spans="1:7" ht="19.5" customHeight="1">
      <c r="A46" s="3467"/>
      <c r="B46" s="3460"/>
      <c r="C46" s="2846" t="s">
        <v>2488</v>
      </c>
      <c r="D46" s="2847"/>
      <c r="E46" s="2848">
        <v>1</v>
      </c>
      <c r="F46" s="2845" t="s">
        <v>2489</v>
      </c>
      <c r="G46" s="2845"/>
    </row>
    <row r="47" spans="1:7" ht="19.5" customHeight="1">
      <c r="A47" s="3467"/>
      <c r="B47" s="3460"/>
      <c r="C47" s="2846" t="s">
        <v>2490</v>
      </c>
      <c r="D47" s="2847"/>
      <c r="E47" s="2848">
        <v>1</v>
      </c>
      <c r="F47" s="2845" t="s">
        <v>2491</v>
      </c>
      <c r="G47" s="2845"/>
    </row>
    <row r="48" spans="1:7" ht="19.5" customHeight="1">
      <c r="A48" s="3467"/>
      <c r="B48" s="3460"/>
      <c r="C48" s="2846" t="s">
        <v>2492</v>
      </c>
      <c r="D48" s="2847"/>
      <c r="E48" s="2848">
        <v>1</v>
      </c>
      <c r="F48" s="2845" t="s">
        <v>2493</v>
      </c>
      <c r="G48" s="2845"/>
    </row>
    <row r="49" spans="1:7" ht="19.5" customHeight="1">
      <c r="A49" s="3467"/>
      <c r="B49" s="3460"/>
      <c r="C49" s="2846" t="s">
        <v>2494</v>
      </c>
      <c r="D49" s="2847"/>
      <c r="E49" s="2848">
        <v>1</v>
      </c>
      <c r="F49" s="2845" t="s">
        <v>2495</v>
      </c>
      <c r="G49" s="2845"/>
    </row>
    <row r="50" spans="1:7" ht="19.5" customHeight="1">
      <c r="A50" s="3467"/>
      <c r="B50" s="3460"/>
      <c r="C50" s="2846" t="s">
        <v>2496</v>
      </c>
      <c r="D50" s="2847"/>
      <c r="E50" s="2848">
        <v>1</v>
      </c>
      <c r="F50" s="2845" t="s">
        <v>2497</v>
      </c>
      <c r="G50" s="2845"/>
    </row>
    <row r="51" spans="1:7" ht="19.5" customHeight="1" thickBot="1">
      <c r="A51" s="3468"/>
      <c r="B51" s="3462"/>
      <c r="C51" s="2849" t="s">
        <v>2498</v>
      </c>
      <c r="D51" s="2850"/>
      <c r="E51" s="2851">
        <v>1</v>
      </c>
      <c r="F51" s="2845" t="s">
        <v>2499</v>
      </c>
      <c r="G51" s="2845"/>
    </row>
    <row r="52" spans="1:7" ht="19.5" customHeight="1">
      <c r="A52" s="2858"/>
      <c r="B52" s="2858"/>
      <c r="C52" s="2858"/>
      <c r="D52" s="2858"/>
      <c r="E52" s="2858"/>
      <c r="F52" s="2858"/>
      <c r="G52" s="2858"/>
    </row>
    <row r="54" spans="1:7" ht="19.5" customHeight="1">
      <c r="A54" s="2859"/>
      <c r="B54" s="2831" t="s">
        <v>2638</v>
      </c>
      <c r="C54" s="2831" t="s">
        <v>2638</v>
      </c>
      <c r="D54" s="2831" t="s">
        <v>2638</v>
      </c>
      <c r="E54" s="2834" t="s">
        <v>2638</v>
      </c>
      <c r="F54" s="2834" t="s">
        <v>2639</v>
      </c>
      <c r="G54" s="2834" t="s">
        <v>2640</v>
      </c>
    </row>
    <row r="55" spans="1:7" ht="19.5" customHeight="1">
      <c r="A55" s="2860"/>
      <c r="B55" s="2834" t="s">
        <v>2607</v>
      </c>
      <c r="C55" s="2834" t="s">
        <v>2607</v>
      </c>
      <c r="D55" s="2834" t="s">
        <v>2607</v>
      </c>
      <c r="E55" s="2831" t="s">
        <v>2608</v>
      </c>
      <c r="F55" s="2831" t="s">
        <v>2610</v>
      </c>
      <c r="G55" s="2831" t="s">
        <v>2641</v>
      </c>
    </row>
    <row r="56" spans="1:7" ht="19.5" customHeight="1">
      <c r="A56" s="2861"/>
      <c r="B56" s="2831">
        <v>1</v>
      </c>
      <c r="C56" s="2831">
        <v>2</v>
      </c>
      <c r="D56" s="2831">
        <v>3</v>
      </c>
      <c r="E56" s="2862" t="s">
        <v>2642</v>
      </c>
      <c r="F56" s="2862" t="s">
        <v>2642</v>
      </c>
      <c r="G56" s="2862" t="s">
        <v>2642</v>
      </c>
    </row>
    <row r="57" spans="1:7" ht="19.5" customHeight="1">
      <c r="A57" s="2863" t="s">
        <v>2595</v>
      </c>
      <c r="B57" s="2831">
        <v>0.7</v>
      </c>
      <c r="C57" s="2831">
        <v>0.4</v>
      </c>
      <c r="D57" s="2831">
        <v>0.3</v>
      </c>
      <c r="E57" s="2862">
        <v>0.3</v>
      </c>
      <c r="F57" s="2831">
        <v>0.3</v>
      </c>
      <c r="G57" s="2831">
        <v>0.2</v>
      </c>
    </row>
    <row r="58" spans="1:7" ht="19.5" customHeight="1">
      <c r="A58" s="2863" t="s">
        <v>2596</v>
      </c>
      <c r="B58" s="2831">
        <v>0.7</v>
      </c>
      <c r="C58" s="2831">
        <v>0.4</v>
      </c>
      <c r="D58" s="2831">
        <v>0.3</v>
      </c>
      <c r="E58" s="2831">
        <v>0.3</v>
      </c>
      <c r="F58" s="2831">
        <v>0.3</v>
      </c>
      <c r="G58" s="2831">
        <v>0.2</v>
      </c>
    </row>
    <row r="59" spans="1:7" ht="19.5" customHeight="1">
      <c r="A59" s="2863" t="s">
        <v>2597</v>
      </c>
      <c r="B59" s="2831">
        <v>0.6</v>
      </c>
      <c r="C59" s="2831">
        <v>0.3</v>
      </c>
      <c r="D59" s="2831">
        <v>0.25</v>
      </c>
      <c r="E59" s="2831">
        <v>0.25</v>
      </c>
      <c r="F59" s="2831">
        <v>0.25</v>
      </c>
      <c r="G59" s="2831">
        <v>0.15</v>
      </c>
    </row>
    <row r="60" spans="1:7" ht="19.5" customHeight="1">
      <c r="A60" s="2863" t="s">
        <v>2598</v>
      </c>
      <c r="B60" s="2831">
        <v>0.6</v>
      </c>
      <c r="C60" s="2831">
        <v>0.3</v>
      </c>
      <c r="D60" s="2831">
        <v>0.25</v>
      </c>
      <c r="E60" s="2831">
        <v>0.25</v>
      </c>
      <c r="F60" s="2831">
        <v>0.25</v>
      </c>
      <c r="G60" s="2831">
        <v>0.15</v>
      </c>
    </row>
    <row r="61" spans="1:7" ht="19.5" customHeight="1">
      <c r="A61" s="2863" t="s">
        <v>2599</v>
      </c>
      <c r="B61" s="2831">
        <v>0.6</v>
      </c>
      <c r="C61" s="2831">
        <v>0.3</v>
      </c>
      <c r="D61" s="2831">
        <v>0.25</v>
      </c>
      <c r="E61" s="2831">
        <v>0.25</v>
      </c>
      <c r="F61" s="2831">
        <v>0.25</v>
      </c>
      <c r="G61" s="2831">
        <v>0.15</v>
      </c>
    </row>
    <row r="62" spans="1:7" ht="19.5" customHeight="1">
      <c r="A62" s="2863" t="s">
        <v>2600</v>
      </c>
      <c r="B62" s="2831">
        <v>0.6</v>
      </c>
      <c r="C62" s="2831">
        <v>0.3</v>
      </c>
      <c r="D62" s="2831">
        <v>0.25</v>
      </c>
      <c r="E62" s="2831">
        <v>0.25</v>
      </c>
      <c r="F62" s="2831">
        <v>0.25</v>
      </c>
      <c r="G62" s="2831">
        <v>0.15</v>
      </c>
    </row>
    <row r="63" spans="1:7" ht="19.5" customHeight="1">
      <c r="A63" s="2863" t="s">
        <v>2601</v>
      </c>
      <c r="B63" s="2831">
        <v>0.6</v>
      </c>
      <c r="C63" s="2831">
        <v>0.3</v>
      </c>
      <c r="D63" s="2831">
        <v>0.25</v>
      </c>
      <c r="E63" s="2831">
        <v>0.25</v>
      </c>
      <c r="F63" s="2831">
        <v>0.25</v>
      </c>
      <c r="G63" s="2831">
        <v>0.15</v>
      </c>
    </row>
    <row r="64" spans="1:7" ht="19.5" customHeight="1">
      <c r="A64" s="2863" t="s">
        <v>2602</v>
      </c>
      <c r="B64" s="2831">
        <v>0.5</v>
      </c>
      <c r="C64" s="2831">
        <v>0.2</v>
      </c>
      <c r="D64" s="2831">
        <v>0.2</v>
      </c>
      <c r="E64" s="2831">
        <v>0.2</v>
      </c>
      <c r="F64" s="2831">
        <v>0.2</v>
      </c>
      <c r="G64" s="2831">
        <v>0.1</v>
      </c>
    </row>
    <row r="65" spans="1:7" ht="19.5" customHeight="1">
      <c r="A65" s="2863" t="s">
        <v>2603</v>
      </c>
      <c r="B65" s="2831">
        <v>0.5</v>
      </c>
      <c r="C65" s="2831">
        <v>0.2</v>
      </c>
      <c r="D65" s="2831">
        <v>0.2</v>
      </c>
      <c r="E65" s="2831">
        <v>0.2</v>
      </c>
      <c r="F65" s="2831">
        <v>0.2</v>
      </c>
      <c r="G65" s="2831">
        <v>0.1</v>
      </c>
    </row>
    <row r="66" spans="1:7" ht="19.5" customHeight="1">
      <c r="A66" s="2863" t="s">
        <v>2604</v>
      </c>
      <c r="B66" s="2831">
        <v>0.5</v>
      </c>
      <c r="C66" s="2831">
        <v>0.2</v>
      </c>
      <c r="D66" s="2831">
        <v>0.2</v>
      </c>
      <c r="E66" s="2831">
        <v>0.2</v>
      </c>
      <c r="F66" s="2831">
        <v>0.2</v>
      </c>
      <c r="G66" s="2831">
        <v>0.1</v>
      </c>
    </row>
    <row r="67" spans="1:7" ht="19.5" customHeight="1">
      <c r="A67" s="2863" t="s">
        <v>2605</v>
      </c>
      <c r="B67" s="2831">
        <v>0.5</v>
      </c>
      <c r="C67" s="2831">
        <v>0.2</v>
      </c>
      <c r="D67" s="2831">
        <v>0.2</v>
      </c>
      <c r="E67" s="2831">
        <v>0.2</v>
      </c>
      <c r="F67" s="2831">
        <v>0.2</v>
      </c>
      <c r="G67" s="2831">
        <v>0.1</v>
      </c>
    </row>
    <row r="68" spans="1:7" ht="19.5" customHeight="1">
      <c r="A68" s="2863" t="s">
        <v>2606</v>
      </c>
      <c r="B68" s="2831">
        <v>0.5</v>
      </c>
      <c r="C68" s="2831">
        <v>0.2</v>
      </c>
      <c r="D68" s="2831">
        <v>0.2</v>
      </c>
      <c r="E68" s="2831">
        <v>0.2</v>
      </c>
      <c r="F68" s="2831">
        <v>0.2</v>
      </c>
      <c r="G68" s="2831">
        <v>0.1</v>
      </c>
    </row>
    <row r="70" spans="1:7" ht="19.5" customHeight="1">
      <c r="A70" s="2845"/>
      <c r="B70" s="2864"/>
      <c r="C70" s="2864"/>
      <c r="D70" s="2864" t="s">
        <v>2643</v>
      </c>
      <c r="E70" s="2864"/>
      <c r="F70" s="2864"/>
    </row>
    <row r="71" spans="1:7" ht="19.5" customHeight="1">
      <c r="A71" s="2857" t="s">
        <v>2644</v>
      </c>
      <c r="B71" s="2857" t="s">
        <v>2645</v>
      </c>
      <c r="C71" s="2857" t="s">
        <v>2646</v>
      </c>
      <c r="D71" s="2857" t="s">
        <v>2647</v>
      </c>
      <c r="E71" s="2857" t="s">
        <v>2648</v>
      </c>
      <c r="F71" s="2857" t="s">
        <v>2649</v>
      </c>
    </row>
    <row r="72" spans="1:7" ht="14.4">
      <c r="A72" s="2857"/>
      <c r="B72" s="2857"/>
      <c r="C72" s="2857" t="s">
        <v>2650</v>
      </c>
      <c r="D72" s="2857"/>
      <c r="E72" s="2857" t="s">
        <v>2621</v>
      </c>
      <c r="F72" s="2857" t="s">
        <v>2621</v>
      </c>
    </row>
    <row r="73" spans="1:7" ht="14.4">
      <c r="A73" s="2857">
        <v>1</v>
      </c>
      <c r="B73" s="3458" t="s">
        <v>2651</v>
      </c>
      <c r="C73" s="2831" t="s">
        <v>2652</v>
      </c>
      <c r="D73" s="2831" t="s">
        <v>2653</v>
      </c>
      <c r="E73" s="2857">
        <v>0.2</v>
      </c>
      <c r="F73" s="2857">
        <v>25</v>
      </c>
    </row>
    <row r="74" spans="1:7" ht="24">
      <c r="A74" s="2857">
        <v>2</v>
      </c>
      <c r="B74" s="3460"/>
      <c r="C74" s="2831" t="s">
        <v>2654</v>
      </c>
      <c r="D74" s="2831" t="s">
        <v>2655</v>
      </c>
      <c r="E74" s="2857">
        <v>0.2</v>
      </c>
      <c r="F74" s="2857">
        <v>25</v>
      </c>
    </row>
    <row r="75" spans="1:7" ht="24">
      <c r="A75" s="2857">
        <v>3</v>
      </c>
      <c r="B75" s="3460"/>
      <c r="C75" s="2831" t="s">
        <v>2656</v>
      </c>
      <c r="D75" s="2831" t="s">
        <v>2657</v>
      </c>
      <c r="E75" s="2857">
        <v>0.2</v>
      </c>
      <c r="F75" s="2857">
        <v>25</v>
      </c>
    </row>
    <row r="76" spans="1:7" ht="14.4">
      <c r="A76" s="2857">
        <v>4</v>
      </c>
      <c r="B76" s="3460"/>
      <c r="C76" s="2831" t="s">
        <v>2658</v>
      </c>
      <c r="D76" s="2831" t="s">
        <v>2659</v>
      </c>
      <c r="E76" s="2857">
        <v>0.15</v>
      </c>
      <c r="F76" s="2857">
        <v>20</v>
      </c>
    </row>
    <row r="77" spans="1:7" ht="24">
      <c r="A77" s="2857">
        <v>5</v>
      </c>
      <c r="B77" s="3460"/>
      <c r="C77" s="2831" t="s">
        <v>2660</v>
      </c>
      <c r="D77" s="2831" t="s">
        <v>2661</v>
      </c>
      <c r="E77" s="2857">
        <v>0.15</v>
      </c>
      <c r="F77" s="2857">
        <v>20</v>
      </c>
    </row>
    <row r="78" spans="1:7" ht="24">
      <c r="A78" s="2857">
        <v>6</v>
      </c>
      <c r="B78" s="3460"/>
      <c r="C78" s="2831" t="s">
        <v>2662</v>
      </c>
      <c r="D78" s="2831" t="s">
        <v>2663</v>
      </c>
      <c r="E78" s="2857">
        <v>0.15</v>
      </c>
      <c r="F78" s="2857">
        <v>20</v>
      </c>
    </row>
    <row r="79" spans="1:7" ht="24">
      <c r="A79" s="2857">
        <v>7</v>
      </c>
      <c r="B79" s="3460"/>
      <c r="C79" s="2831" t="s">
        <v>2664</v>
      </c>
      <c r="D79" s="2831" t="s">
        <v>2665</v>
      </c>
      <c r="E79" s="2857">
        <v>0.15</v>
      </c>
      <c r="F79" s="2857">
        <v>20</v>
      </c>
    </row>
    <row r="80" spans="1:7" ht="24">
      <c r="A80" s="2857">
        <v>8</v>
      </c>
      <c r="B80" s="3460"/>
      <c r="C80" s="2831" t="s">
        <v>2666</v>
      </c>
      <c r="D80" s="2831" t="s">
        <v>2667</v>
      </c>
      <c r="E80" s="2857">
        <v>0.1</v>
      </c>
      <c r="F80" s="2857">
        <v>15</v>
      </c>
    </row>
    <row r="81" spans="1:6" ht="24">
      <c r="A81" s="2857">
        <v>9</v>
      </c>
      <c r="B81" s="3460"/>
      <c r="C81" s="2831" t="s">
        <v>2668</v>
      </c>
      <c r="D81" s="2831" t="s">
        <v>2669</v>
      </c>
      <c r="E81" s="2857">
        <v>0.1</v>
      </c>
      <c r="F81" s="2857">
        <v>15</v>
      </c>
    </row>
    <row r="82" spans="1:6" ht="24">
      <c r="A82" s="2857">
        <v>10</v>
      </c>
      <c r="B82" s="3460"/>
      <c r="C82" s="2831" t="s">
        <v>2670</v>
      </c>
      <c r="D82" s="2831" t="s">
        <v>2671</v>
      </c>
      <c r="E82" s="2857">
        <v>0.1</v>
      </c>
      <c r="F82" s="2857">
        <v>15</v>
      </c>
    </row>
    <row r="83" spans="1:6" ht="24">
      <c r="A83" s="2857">
        <v>11</v>
      </c>
      <c r="B83" s="3460"/>
      <c r="C83" s="2831" t="s">
        <v>2672</v>
      </c>
      <c r="D83" s="2831" t="s">
        <v>2673</v>
      </c>
      <c r="E83" s="2857">
        <v>0.1</v>
      </c>
      <c r="F83" s="2857">
        <v>15</v>
      </c>
    </row>
    <row r="84" spans="1:6" ht="24">
      <c r="A84" s="2857">
        <v>12</v>
      </c>
      <c r="B84" s="3460"/>
      <c r="C84" s="2831" t="s">
        <v>2674</v>
      </c>
      <c r="D84" s="2831" t="s">
        <v>2675</v>
      </c>
      <c r="E84" s="2857">
        <v>0.1</v>
      </c>
      <c r="F84" s="2857">
        <v>15</v>
      </c>
    </row>
    <row r="85" spans="1:6" ht="24">
      <c r="A85" s="2857">
        <v>13</v>
      </c>
      <c r="B85" s="3460"/>
      <c r="C85" s="2831" t="s">
        <v>2676</v>
      </c>
      <c r="D85" s="2831" t="s">
        <v>2677</v>
      </c>
      <c r="E85" s="2857">
        <v>0.1</v>
      </c>
      <c r="F85" s="2857">
        <v>15</v>
      </c>
    </row>
    <row r="86" spans="1:6" ht="24">
      <c r="A86" s="2857">
        <v>14</v>
      </c>
      <c r="B86" s="3460"/>
      <c r="C86" s="2831" t="s">
        <v>2678</v>
      </c>
      <c r="D86" s="2831" t="s">
        <v>2679</v>
      </c>
      <c r="E86" s="2857">
        <v>0.1</v>
      </c>
      <c r="F86" s="2857">
        <v>15</v>
      </c>
    </row>
    <row r="87" spans="1:6" ht="24">
      <c r="A87" s="2857">
        <v>15</v>
      </c>
      <c r="B87" s="3460"/>
      <c r="C87" s="2831" t="s">
        <v>2680</v>
      </c>
      <c r="D87" s="2831" t="s">
        <v>2681</v>
      </c>
      <c r="E87" s="2857">
        <v>0.1</v>
      </c>
      <c r="F87" s="2857">
        <v>15</v>
      </c>
    </row>
    <row r="88" spans="1:6" ht="24">
      <c r="A88" s="2857">
        <v>16</v>
      </c>
      <c r="B88" s="3460"/>
      <c r="C88" s="2831" t="s">
        <v>2682</v>
      </c>
      <c r="D88" s="2831" t="s">
        <v>2683</v>
      </c>
      <c r="E88" s="2857">
        <v>0.1</v>
      </c>
      <c r="F88" s="2857">
        <v>15</v>
      </c>
    </row>
    <row r="89" spans="1:6" ht="24">
      <c r="A89" s="2857">
        <v>17</v>
      </c>
      <c r="B89" s="3459"/>
      <c r="C89" s="2831" t="s">
        <v>2684</v>
      </c>
      <c r="D89" s="2831" t="s">
        <v>2685</v>
      </c>
      <c r="E89" s="2857">
        <v>0.1</v>
      </c>
      <c r="F89" s="2857">
        <v>15</v>
      </c>
    </row>
    <row r="90" spans="1:6" ht="14.4">
      <c r="A90" s="2857">
        <v>18</v>
      </c>
      <c r="B90" s="3458" t="s">
        <v>2686</v>
      </c>
      <c r="C90" s="2831" t="s">
        <v>2687</v>
      </c>
      <c r="D90" s="2831" t="s">
        <v>2688</v>
      </c>
      <c r="E90" s="2857">
        <v>0.2</v>
      </c>
      <c r="F90" s="2857">
        <v>25</v>
      </c>
    </row>
    <row r="91" spans="1:6" ht="24">
      <c r="A91" s="2857">
        <v>19</v>
      </c>
      <c r="B91" s="3460"/>
      <c r="C91" s="2831" t="s">
        <v>2689</v>
      </c>
      <c r="D91" s="2831" t="s">
        <v>2690</v>
      </c>
      <c r="E91" s="2857">
        <v>0.2</v>
      </c>
      <c r="F91" s="2857">
        <v>25</v>
      </c>
    </row>
    <row r="92" spans="1:6" ht="14.4">
      <c r="A92" s="2857">
        <v>20</v>
      </c>
      <c r="B92" s="3460"/>
      <c r="C92" s="2831" t="s">
        <v>2691</v>
      </c>
      <c r="D92" s="2831" t="s">
        <v>2692</v>
      </c>
      <c r="E92" s="2857">
        <v>0.15</v>
      </c>
      <c r="F92" s="2857">
        <v>20</v>
      </c>
    </row>
    <row r="93" spans="1:6" ht="24">
      <c r="A93" s="2857">
        <v>21</v>
      </c>
      <c r="B93" s="3460"/>
      <c r="C93" s="2831" t="s">
        <v>2693</v>
      </c>
      <c r="D93" s="2831" t="s">
        <v>2694</v>
      </c>
      <c r="E93" s="2857">
        <v>0.15</v>
      </c>
      <c r="F93" s="2857">
        <v>20</v>
      </c>
    </row>
    <row r="94" spans="1:6" ht="24">
      <c r="A94" s="2857">
        <v>22</v>
      </c>
      <c r="B94" s="3460"/>
      <c r="C94" s="2831" t="s">
        <v>2695</v>
      </c>
      <c r="D94" s="2831" t="s">
        <v>2696</v>
      </c>
      <c r="E94" s="2857">
        <v>0.15</v>
      </c>
      <c r="F94" s="2857">
        <v>20</v>
      </c>
    </row>
    <row r="95" spans="1:6" ht="36">
      <c r="A95" s="2857">
        <v>23</v>
      </c>
      <c r="B95" s="3460"/>
      <c r="C95" s="2831" t="s">
        <v>2697</v>
      </c>
      <c r="D95" s="2831" t="s">
        <v>2698</v>
      </c>
      <c r="E95" s="2857">
        <v>0.15</v>
      </c>
      <c r="F95" s="2857">
        <v>20</v>
      </c>
    </row>
    <row r="96" spans="1:6" ht="24">
      <c r="A96" s="2857">
        <v>24</v>
      </c>
      <c r="B96" s="3460"/>
      <c r="C96" s="2831" t="s">
        <v>2699</v>
      </c>
      <c r="D96" s="2831" t="s">
        <v>2700</v>
      </c>
      <c r="E96" s="2857">
        <v>0.1</v>
      </c>
      <c r="F96" s="2857">
        <v>15</v>
      </c>
    </row>
    <row r="97" spans="1:6" ht="24">
      <c r="A97" s="2857">
        <v>25</v>
      </c>
      <c r="B97" s="3460"/>
      <c r="C97" s="2831" t="s">
        <v>2701</v>
      </c>
      <c r="D97" s="2831" t="s">
        <v>2702</v>
      </c>
      <c r="E97" s="2857">
        <v>0.1</v>
      </c>
      <c r="F97" s="2857">
        <v>15</v>
      </c>
    </row>
    <row r="98" spans="1:6" ht="24">
      <c r="A98" s="2857">
        <v>26</v>
      </c>
      <c r="B98" s="3460"/>
      <c r="C98" s="2831" t="s">
        <v>2703</v>
      </c>
      <c r="D98" s="2831" t="s">
        <v>2704</v>
      </c>
      <c r="E98" s="2857">
        <v>0.1</v>
      </c>
      <c r="F98" s="2857">
        <v>15</v>
      </c>
    </row>
    <row r="99" spans="1:6" ht="24">
      <c r="A99" s="2857">
        <v>27</v>
      </c>
      <c r="B99" s="3460"/>
      <c r="C99" s="2831" t="s">
        <v>2705</v>
      </c>
      <c r="D99" s="2831" t="s">
        <v>2706</v>
      </c>
      <c r="E99" s="2857">
        <v>0.1</v>
      </c>
      <c r="F99" s="2857">
        <v>15</v>
      </c>
    </row>
    <row r="100" spans="1:6" ht="24">
      <c r="A100" s="2857">
        <v>28</v>
      </c>
      <c r="B100" s="3460"/>
      <c r="C100" s="2831" t="s">
        <v>2707</v>
      </c>
      <c r="D100" s="2831" t="s">
        <v>2708</v>
      </c>
      <c r="E100" s="2857">
        <v>0.1</v>
      </c>
      <c r="F100" s="2857">
        <v>15</v>
      </c>
    </row>
    <row r="101" spans="1:6" ht="24">
      <c r="A101" s="2857">
        <v>29</v>
      </c>
      <c r="B101" s="3460"/>
      <c r="C101" s="2831" t="s">
        <v>2709</v>
      </c>
      <c r="D101" s="2831" t="s">
        <v>2710</v>
      </c>
      <c r="E101" s="2857">
        <v>0.1</v>
      </c>
      <c r="F101" s="2857">
        <v>15</v>
      </c>
    </row>
    <row r="102" spans="1:6" ht="24">
      <c r="A102" s="2857">
        <v>30</v>
      </c>
      <c r="B102" s="3460"/>
      <c r="C102" s="2831" t="s">
        <v>2711</v>
      </c>
      <c r="D102" s="2831" t="s">
        <v>2712</v>
      </c>
      <c r="E102" s="2857">
        <v>0.1</v>
      </c>
      <c r="F102" s="2857">
        <v>15</v>
      </c>
    </row>
    <row r="103" spans="1:6" ht="24">
      <c r="A103" s="2857">
        <v>31</v>
      </c>
      <c r="B103" s="3460"/>
      <c r="C103" s="2831" t="s">
        <v>2713</v>
      </c>
      <c r="D103" s="2831" t="s">
        <v>2714</v>
      </c>
      <c r="E103" s="2857">
        <v>0.1</v>
      </c>
      <c r="F103" s="2857">
        <v>15</v>
      </c>
    </row>
    <row r="104" spans="1:6" ht="24">
      <c r="A104" s="2857">
        <v>32</v>
      </c>
      <c r="B104" s="3460"/>
      <c r="C104" s="2831" t="s">
        <v>2715</v>
      </c>
      <c r="D104" s="2831" t="s">
        <v>2716</v>
      </c>
      <c r="E104" s="2857">
        <v>0.1</v>
      </c>
      <c r="F104" s="2857">
        <v>15</v>
      </c>
    </row>
    <row r="105" spans="1:6" ht="24">
      <c r="A105" s="2857">
        <v>33</v>
      </c>
      <c r="B105" s="3460"/>
      <c r="C105" s="2831" t="s">
        <v>2717</v>
      </c>
      <c r="D105" s="2831" t="s">
        <v>2718</v>
      </c>
      <c r="E105" s="2857">
        <v>0.1</v>
      </c>
      <c r="F105" s="2857">
        <v>15</v>
      </c>
    </row>
    <row r="106" spans="1:6" ht="24">
      <c r="A106" s="2857">
        <v>34</v>
      </c>
      <c r="B106" s="3459"/>
      <c r="C106" s="2831" t="s">
        <v>2719</v>
      </c>
      <c r="D106" s="2831" t="s">
        <v>2720</v>
      </c>
      <c r="E106" s="2857">
        <v>0.1</v>
      </c>
      <c r="F106" s="2857">
        <v>15</v>
      </c>
    </row>
    <row r="107" spans="1:6" ht="36">
      <c r="A107" s="2857">
        <v>35</v>
      </c>
      <c r="B107" s="3458" t="s">
        <v>2721</v>
      </c>
      <c r="C107" s="2857" t="s">
        <v>2722</v>
      </c>
      <c r="D107" s="2831" t="s">
        <v>2723</v>
      </c>
      <c r="E107" s="2857">
        <v>0.15</v>
      </c>
      <c r="F107" s="2857">
        <v>20</v>
      </c>
    </row>
    <row r="108" spans="1:6" ht="24">
      <c r="A108" s="2857">
        <v>36</v>
      </c>
      <c r="B108" s="3460"/>
      <c r="C108" s="2857" t="s">
        <v>2724</v>
      </c>
      <c r="D108" s="2831" t="s">
        <v>2725</v>
      </c>
      <c r="E108" s="2857">
        <v>0.15</v>
      </c>
      <c r="F108" s="2857">
        <v>20</v>
      </c>
    </row>
    <row r="109" spans="1:6" ht="24">
      <c r="A109" s="2857">
        <v>37</v>
      </c>
      <c r="B109" s="3460"/>
      <c r="C109" s="2857" t="s">
        <v>2726</v>
      </c>
      <c r="D109" s="2831" t="s">
        <v>2727</v>
      </c>
      <c r="E109" s="2857">
        <v>0.15</v>
      </c>
      <c r="F109" s="2857">
        <v>20</v>
      </c>
    </row>
    <row r="110" spans="1:6" ht="24">
      <c r="A110" s="2857">
        <v>38</v>
      </c>
      <c r="B110" s="3460"/>
      <c r="C110" s="2857" t="s">
        <v>2728</v>
      </c>
      <c r="D110" s="2831" t="s">
        <v>2729</v>
      </c>
      <c r="E110" s="2857">
        <v>0.1</v>
      </c>
      <c r="F110" s="2857">
        <v>15</v>
      </c>
    </row>
    <row r="111" spans="1:6" ht="24">
      <c r="A111" s="2857">
        <v>39</v>
      </c>
      <c r="B111" s="3460"/>
      <c r="C111" s="2857" t="s">
        <v>2730</v>
      </c>
      <c r="D111" s="2831" t="s">
        <v>2731</v>
      </c>
      <c r="E111" s="2857">
        <v>0.1</v>
      </c>
      <c r="F111" s="2857">
        <v>15</v>
      </c>
    </row>
    <row r="112" spans="1:6" ht="24">
      <c r="A112" s="2857">
        <v>40</v>
      </c>
      <c r="B112" s="3459"/>
      <c r="C112" s="2857" t="s">
        <v>2732</v>
      </c>
      <c r="D112" s="2831" t="s">
        <v>2733</v>
      </c>
      <c r="E112" s="2857">
        <v>0.1</v>
      </c>
      <c r="F112" s="2857">
        <v>15</v>
      </c>
    </row>
    <row r="113" spans="1:6" ht="24">
      <c r="A113" s="2857">
        <v>41</v>
      </c>
      <c r="B113" s="3457" t="s">
        <v>2734</v>
      </c>
      <c r="C113" s="2857" t="s">
        <v>2735</v>
      </c>
      <c r="D113" s="2831" t="s">
        <v>2736</v>
      </c>
      <c r="E113" s="2857">
        <v>0.1</v>
      </c>
      <c r="F113" s="2857">
        <v>15</v>
      </c>
    </row>
    <row r="114" spans="1:6" ht="24">
      <c r="A114" s="2857">
        <v>42</v>
      </c>
      <c r="B114" s="3457"/>
      <c r="C114" s="2857" t="s">
        <v>2737</v>
      </c>
      <c r="D114" s="2831" t="s">
        <v>2738</v>
      </c>
      <c r="E114" s="2857">
        <v>0.1</v>
      </c>
      <c r="F114" s="2857">
        <v>15</v>
      </c>
    </row>
    <row r="115" spans="1:6" ht="24">
      <c r="A115" s="2857">
        <v>43</v>
      </c>
      <c r="B115" s="3457"/>
      <c r="C115" s="2857" t="s">
        <v>2739</v>
      </c>
      <c r="D115" s="2831" t="s">
        <v>2740</v>
      </c>
      <c r="E115" s="2857">
        <v>0.1</v>
      </c>
      <c r="F115" s="2857">
        <v>15</v>
      </c>
    </row>
    <row r="116" spans="1:6" ht="24">
      <c r="A116" s="2857">
        <v>44</v>
      </c>
      <c r="B116" s="3458" t="s">
        <v>2741</v>
      </c>
      <c r="C116" s="2857" t="s">
        <v>2742</v>
      </c>
      <c r="D116" s="2831" t="s">
        <v>2743</v>
      </c>
      <c r="E116" s="2857">
        <v>0.1</v>
      </c>
      <c r="F116" s="2857">
        <v>15</v>
      </c>
    </row>
    <row r="117" spans="1:6" ht="24">
      <c r="A117" s="2857">
        <v>45</v>
      </c>
      <c r="B117" s="3459"/>
      <c r="C117" s="2831" t="s">
        <v>2744</v>
      </c>
      <c r="D117" s="2831" t="s">
        <v>2745</v>
      </c>
      <c r="E117" s="2857">
        <v>0.1</v>
      </c>
      <c r="F117" s="2857">
        <v>15</v>
      </c>
    </row>
    <row r="118" spans="1:6" ht="24">
      <c r="A118" s="2857">
        <v>46</v>
      </c>
      <c r="B118" s="3458" t="s">
        <v>2746</v>
      </c>
      <c r="C118" s="2857" t="s">
        <v>2747</v>
      </c>
      <c r="D118" s="2831" t="s">
        <v>2748</v>
      </c>
      <c r="E118" s="2857">
        <v>0.1</v>
      </c>
      <c r="F118" s="2857">
        <v>15</v>
      </c>
    </row>
    <row r="119" spans="1:6" ht="24">
      <c r="A119" s="2857">
        <v>47</v>
      </c>
      <c r="B119" s="3459"/>
      <c r="C119" s="2857" t="s">
        <v>2749</v>
      </c>
      <c r="D119" s="2831" t="s">
        <v>2750</v>
      </c>
      <c r="E119" s="2857">
        <v>0.1</v>
      </c>
      <c r="F119" s="2857">
        <v>15</v>
      </c>
    </row>
    <row r="120" spans="1:6" ht="24">
      <c r="A120" s="2857">
        <v>48</v>
      </c>
      <c r="B120" s="3458" t="s">
        <v>2751</v>
      </c>
      <c r="C120" s="2857" t="s">
        <v>2752</v>
      </c>
      <c r="D120" s="2831" t="s">
        <v>2753</v>
      </c>
      <c r="E120" s="2857">
        <v>0.1</v>
      </c>
      <c r="F120" s="2857">
        <v>15</v>
      </c>
    </row>
    <row r="121" spans="1:6" ht="24">
      <c r="A121" s="2857">
        <v>49</v>
      </c>
      <c r="B121" s="3459"/>
      <c r="C121" s="2857" t="s">
        <v>2754</v>
      </c>
      <c r="D121" s="2831" t="s">
        <v>2755</v>
      </c>
      <c r="E121" s="2857">
        <v>0.1</v>
      </c>
      <c r="F121" s="2857">
        <v>15</v>
      </c>
    </row>
    <row r="122" spans="1:6" ht="24">
      <c r="A122" s="2857">
        <v>50</v>
      </c>
      <c r="B122" s="3457" t="s">
        <v>2756</v>
      </c>
      <c r="C122" s="2857" t="s">
        <v>2757</v>
      </c>
      <c r="D122" s="2831" t="s">
        <v>2758</v>
      </c>
      <c r="E122" s="2857">
        <v>0.1</v>
      </c>
      <c r="F122" s="2857">
        <v>15</v>
      </c>
    </row>
    <row r="123" spans="1:6" ht="24">
      <c r="A123" s="2857">
        <v>51</v>
      </c>
      <c r="B123" s="3457"/>
      <c r="C123" s="2857" t="s">
        <v>2759</v>
      </c>
      <c r="D123" s="2831" t="s">
        <v>2760</v>
      </c>
      <c r="E123" s="2857">
        <v>0.1</v>
      </c>
      <c r="F123" s="2857">
        <v>15</v>
      </c>
    </row>
    <row r="124" spans="1:6" ht="24">
      <c r="A124" s="2857">
        <v>52</v>
      </c>
      <c r="B124" s="3457" t="s">
        <v>2761</v>
      </c>
      <c r="C124" s="2857" t="s">
        <v>2762</v>
      </c>
      <c r="D124" s="2831" t="s">
        <v>2763</v>
      </c>
      <c r="E124" s="2857">
        <v>0.1</v>
      </c>
      <c r="F124" s="2857">
        <v>15</v>
      </c>
    </row>
    <row r="125" spans="1:6" ht="24">
      <c r="A125" s="2857">
        <v>53</v>
      </c>
      <c r="B125" s="3457"/>
      <c r="C125" s="2857" t="s">
        <v>2764</v>
      </c>
      <c r="D125" s="2831" t="s">
        <v>2765</v>
      </c>
      <c r="E125" s="2857">
        <v>0.1</v>
      </c>
      <c r="F125" s="2857">
        <v>15</v>
      </c>
    </row>
    <row r="126" spans="1:6" ht="24">
      <c r="A126" s="2857">
        <v>54</v>
      </c>
      <c r="B126" s="2857" t="s">
        <v>2766</v>
      </c>
      <c r="C126" s="2857" t="s">
        <v>2767</v>
      </c>
      <c r="D126" s="2831" t="s">
        <v>2768</v>
      </c>
      <c r="E126" s="2857">
        <v>0.1</v>
      </c>
      <c r="F126" s="2857">
        <v>15</v>
      </c>
    </row>
    <row r="127" spans="1:6" ht="24">
      <c r="A127" s="2857">
        <v>55</v>
      </c>
      <c r="B127" s="3457" t="s">
        <v>2769</v>
      </c>
      <c r="C127" s="2857" t="s">
        <v>2770</v>
      </c>
      <c r="D127" s="2831" t="s">
        <v>2771</v>
      </c>
      <c r="E127" s="2857">
        <v>0.1</v>
      </c>
      <c r="F127" s="2857">
        <v>15</v>
      </c>
    </row>
    <row r="128" spans="1:6" ht="24">
      <c r="A128" s="2857">
        <v>56</v>
      </c>
      <c r="B128" s="3457"/>
      <c r="C128" s="2857" t="s">
        <v>2772</v>
      </c>
      <c r="D128" s="2831" t="s">
        <v>2773</v>
      </c>
      <c r="E128" s="2857">
        <v>0.1</v>
      </c>
      <c r="F128" s="2857">
        <v>15</v>
      </c>
    </row>
    <row r="129" spans="1:6" ht="24">
      <c r="A129" s="2857">
        <v>57</v>
      </c>
      <c r="B129" s="3457"/>
      <c r="C129" s="2857" t="s">
        <v>2774</v>
      </c>
      <c r="D129" s="2831" t="s">
        <v>2775</v>
      </c>
      <c r="E129" s="2857">
        <v>0.1</v>
      </c>
      <c r="F129" s="2857">
        <v>15</v>
      </c>
    </row>
    <row r="130" spans="1:6" ht="24">
      <c r="A130" s="2857">
        <v>58</v>
      </c>
      <c r="B130" s="3457" t="s">
        <v>2776</v>
      </c>
      <c r="C130" s="2857" t="s">
        <v>2777</v>
      </c>
      <c r="D130" s="2831" t="s">
        <v>2778</v>
      </c>
      <c r="E130" s="2857">
        <v>0.1</v>
      </c>
      <c r="F130" s="2857">
        <v>15</v>
      </c>
    </row>
    <row r="131" spans="1:6" ht="24">
      <c r="A131" s="2857">
        <v>59</v>
      </c>
      <c r="B131" s="3457"/>
      <c r="C131" s="2857" t="s">
        <v>2779</v>
      </c>
      <c r="D131" s="2831" t="s">
        <v>2780</v>
      </c>
      <c r="E131" s="2857">
        <v>0.1</v>
      </c>
      <c r="F131" s="2857">
        <v>15</v>
      </c>
    </row>
    <row r="132" spans="1:6" ht="24">
      <c r="A132" s="2857">
        <v>60</v>
      </c>
      <c r="B132" s="3458" t="s">
        <v>2781</v>
      </c>
      <c r="C132" s="2857" t="s">
        <v>2782</v>
      </c>
      <c r="D132" s="2831" t="s">
        <v>2783</v>
      </c>
      <c r="E132" s="2857">
        <v>0.1</v>
      </c>
      <c r="F132" s="2857">
        <v>15</v>
      </c>
    </row>
    <row r="133" spans="1:6" ht="24">
      <c r="A133" s="2857">
        <v>61</v>
      </c>
      <c r="B133" s="3459"/>
      <c r="C133" s="2857" t="s">
        <v>2784</v>
      </c>
      <c r="D133" s="2831" t="s">
        <v>2785</v>
      </c>
      <c r="E133" s="2857">
        <v>0.1</v>
      </c>
      <c r="F133" s="2857">
        <v>15</v>
      </c>
    </row>
    <row r="134" spans="1:6" ht="24">
      <c r="A134" s="2857">
        <v>62</v>
      </c>
      <c r="B134" s="2857" t="s">
        <v>2786</v>
      </c>
      <c r="C134" s="2857" t="s">
        <v>2787</v>
      </c>
      <c r="D134" s="2831" t="s">
        <v>2788</v>
      </c>
      <c r="E134" s="2857">
        <v>0.1</v>
      </c>
      <c r="F134" s="2857">
        <v>15</v>
      </c>
    </row>
    <row r="135" spans="1:6" ht="24">
      <c r="A135" s="2857">
        <v>63</v>
      </c>
      <c r="B135" s="3457" t="s">
        <v>2789</v>
      </c>
      <c r="C135" s="2857" t="s">
        <v>2790</v>
      </c>
      <c r="D135" s="2831" t="s">
        <v>2791</v>
      </c>
      <c r="E135" s="2857">
        <v>0.1</v>
      </c>
      <c r="F135" s="2857">
        <v>15</v>
      </c>
    </row>
    <row r="136" spans="1:6" ht="24">
      <c r="A136" s="2857">
        <v>64</v>
      </c>
      <c r="B136" s="3457"/>
      <c r="C136" s="2857" t="s">
        <v>2792</v>
      </c>
      <c r="D136" s="2831" t="s">
        <v>2793</v>
      </c>
      <c r="E136" s="2857">
        <v>0.1</v>
      </c>
      <c r="F136" s="2857">
        <v>15</v>
      </c>
    </row>
    <row r="137" spans="1:6" ht="24">
      <c r="A137" s="2857">
        <v>65</v>
      </c>
      <c r="B137" s="2857" t="s">
        <v>2794</v>
      </c>
      <c r="C137" s="2857" t="s">
        <v>2795</v>
      </c>
      <c r="D137" s="2831" t="s">
        <v>2796</v>
      </c>
      <c r="E137" s="2857">
        <v>0.1</v>
      </c>
      <c r="F137" s="2857">
        <v>15</v>
      </c>
    </row>
    <row r="138" spans="1:6" ht="14.4">
      <c r="A138" s="2857"/>
      <c r="B138" s="2857"/>
      <c r="C138" s="2857"/>
      <c r="D138" s="2857"/>
      <c r="E138" s="2857" t="s">
        <v>2797</v>
      </c>
      <c r="F138" s="2857"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8"/>
      <c r="C2" s="3158"/>
      <c r="D2" s="3158"/>
      <c r="E2" s="3158"/>
    </row>
    <row r="3" spans="1:5" ht="17.399999999999999">
      <c r="A3" s="3159" t="str">
        <f>IF(项目基本情况!B9="房地产市场价值","估价结果一览表（市场价值不需“结果表-1”）","估价结果一览表")</f>
        <v>估价结果一览表</v>
      </c>
      <c r="B3" s="3159"/>
      <c r="C3" s="3159"/>
      <c r="D3" s="3159"/>
      <c r="E3" s="3159"/>
    </row>
    <row r="4" spans="1:5" ht="18" thickBot="1">
      <c r="A4" s="1391"/>
      <c r="B4" s="3157" t="s">
        <v>917</v>
      </c>
      <c r="C4" s="3157"/>
      <c r="D4" s="3157"/>
      <c r="E4" s="1391"/>
    </row>
    <row r="5" spans="1:5" ht="16.2" thickTop="1">
      <c r="B5" s="3155" t="s">
        <v>909</v>
      </c>
      <c r="C5" s="1392" t="s">
        <v>910</v>
      </c>
      <c r="D5" s="797">
        <f ca="1">结果表!H101</f>
        <v>199.29599999999999</v>
      </c>
    </row>
    <row r="6" spans="1:5" ht="15.6">
      <c r="B6" s="3155"/>
      <c r="C6" s="1392" t="s">
        <v>911</v>
      </c>
      <c r="D6" s="797" t="str">
        <f ca="1">NUMBERSTRING(INT(D5*10000),2)&amp;"元整"</f>
        <v>壹佰玖拾玖万贰仟玖佰陆拾元整</v>
      </c>
    </row>
    <row r="7" spans="1:5" ht="15.6">
      <c r="B7" s="3160"/>
      <c r="C7" s="1393" t="s">
        <v>912</v>
      </c>
      <c r="D7" s="798">
        <f ca="1">结果表!H102</f>
        <v>28058</v>
      </c>
    </row>
    <row r="8" spans="1:5" ht="15.6">
      <c r="B8" s="3161" t="str">
        <f>结果表!E103</f>
        <v>2.估价师知悉的法定优先受偿款</v>
      </c>
      <c r="C8" s="1394" t="s">
        <v>913</v>
      </c>
      <c r="D8" s="798">
        <f>结果表!H103</f>
        <v>0</v>
      </c>
    </row>
    <row r="9" spans="1:5" ht="15.6">
      <c r="B9" s="3163"/>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54" t="str">
        <f>结果表!E107</f>
        <v>3.房地产抵押价值</v>
      </c>
      <c r="C13" s="1397" t="s">
        <v>910</v>
      </c>
      <c r="D13" s="800">
        <f ca="1">结果表!H107</f>
        <v>199.29599999999999</v>
      </c>
    </row>
    <row r="14" spans="1:5" ht="15.6">
      <c r="B14" s="3155"/>
      <c r="C14" s="1392" t="s">
        <v>911</v>
      </c>
      <c r="D14" s="797" t="str">
        <f ca="1">NUMBERSTRING(INT(D13*10000),2)&amp;"元整"</f>
        <v>壹佰玖拾玖万贰仟玖佰陆拾元整</v>
      </c>
    </row>
    <row r="15" spans="1:5" ht="15.6">
      <c r="B15" s="3160"/>
      <c r="C15" s="1393" t="s">
        <v>921</v>
      </c>
      <c r="D15" s="806">
        <f ca="1">结果表!H108</f>
        <v>28058</v>
      </c>
    </row>
    <row r="16" spans="1:5" ht="15.6">
      <c r="B16" s="3161" t="str">
        <f>结果表!E109</f>
        <v>——</v>
      </c>
      <c r="C16" s="1397" t="s">
        <v>922</v>
      </c>
      <c r="D16" s="1398" t="str">
        <f>结果表!H109</f>
        <v>——</v>
      </c>
    </row>
    <row r="17" spans="1:5" ht="15.6">
      <c r="B17" s="3162"/>
      <c r="C17" s="1392" t="s">
        <v>923</v>
      </c>
      <c r="D17" s="797" t="e">
        <f>NUMBERSTRING(INT(D16*10000),2)&amp;"元整"</f>
        <v>#VALUE!</v>
      </c>
    </row>
    <row r="18" spans="1:5" ht="15.6">
      <c r="B18" s="3163"/>
      <c r="C18" s="1393" t="s">
        <v>912</v>
      </c>
      <c r="D18" s="806" t="str">
        <f>结果表!H110</f>
        <v>——</v>
      </c>
    </row>
    <row r="19" spans="1:5" ht="15.6">
      <c r="B19" s="3154" t="str">
        <f>结果表!E111</f>
        <v>——</v>
      </c>
      <c r="C19" s="1397" t="s">
        <v>910</v>
      </c>
      <c r="D19" s="798" t="str">
        <f>结果表!H111</f>
        <v>——</v>
      </c>
    </row>
    <row r="20" spans="1:5" ht="15.6">
      <c r="B20" s="3155"/>
      <c r="C20" s="1392" t="s">
        <v>923</v>
      </c>
      <c r="D20" s="797" t="e">
        <f>NUMBERSTRING(INT(D19*10000),2)&amp;"元整"</f>
        <v>#VALUE!</v>
      </c>
    </row>
    <row r="21" spans="1:5" ht="16.2" thickBot="1">
      <c r="B21" s="3156"/>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0.96309999999999996</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0.91610000000000003</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27655</v>
      </c>
      <c r="C2" s="2" t="s">
        <v>106</v>
      </c>
      <c r="D2" s="191"/>
      <c r="E2" s="191"/>
      <c r="F2" s="191"/>
      <c r="G2" s="191"/>
    </row>
    <row r="3" spans="1:7" s="192" customFormat="1" ht="18" customHeight="1" thickBot="1">
      <c r="A3" s="195" t="s">
        <v>58</v>
      </c>
      <c r="B3" s="196">
        <f ca="1">ROUND(B2*10000/'数据-汇总表'!E3,0)</f>
        <v>3893425</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v>
      </c>
      <c r="D10" s="795">
        <f>'数据-汇总表'!E6</f>
        <v>71.03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71.03</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1311</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3153</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3153</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27611</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36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32</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71.03</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34" t="s">
        <v>94</v>
      </c>
    </row>
    <row r="43" spans="1:7" ht="13.5" customHeight="1">
      <c r="A43" s="734" t="s">
        <v>347</v>
      </c>
      <c r="B43" s="207" t="s">
        <v>426</v>
      </c>
      <c r="C43" s="230">
        <f ca="1">ROUND(IF('数据-取费表'!B22&lt;=1,C39*F22*'数据-取费表'!B21/2,C39*(POWER((1+F22),'数据-取费表'!B21/2)-1)),0)</f>
        <v>0</v>
      </c>
      <c r="D43" s="230"/>
      <c r="E43" s="230"/>
      <c r="F43" s="231"/>
      <c r="G43" s="3335"/>
    </row>
    <row r="44" spans="1:7" ht="13.5" customHeight="1">
      <c r="A44" s="734" t="s">
        <v>348</v>
      </c>
      <c r="B44" s="207" t="s">
        <v>428</v>
      </c>
      <c r="C44" s="230">
        <f ca="1">ROUND(IF('数据-取费表'!B22&lt;=1,C40*F22*'数据-取费表'!B21/2,C40*(POWER((1+F22),'数据-取费表'!B21/2)-1)),4)</f>
        <v>5.9999999999999995E-4</v>
      </c>
      <c r="D44" s="230"/>
      <c r="E44" s="230"/>
      <c r="F44" s="231"/>
      <c r="G44" s="3336"/>
    </row>
    <row r="45" spans="1:7" s="206" customFormat="1" ht="13.5" customHeight="1">
      <c r="A45" s="731" t="s">
        <v>341</v>
      </c>
      <c r="B45" s="236" t="s">
        <v>85</v>
      </c>
      <c r="C45" s="237">
        <f>C46</f>
        <v>6</v>
      </c>
      <c r="D45" s="227">
        <f>C47</f>
        <v>3.0000000000000001E-3</v>
      </c>
      <c r="E45" s="228" t="s">
        <v>102</v>
      </c>
      <c r="F45" s="238"/>
      <c r="G45" s="239" t="s">
        <v>434</v>
      </c>
    </row>
    <row r="46" spans="1:7" s="206" customFormat="1" ht="13.5" customHeight="1">
      <c r="A46" s="734" t="s">
        <v>349</v>
      </c>
      <c r="B46" s="240" t="s">
        <v>427</v>
      </c>
      <c r="C46" s="241">
        <f>ROUND((C33+C39)*F27,0)</f>
        <v>6</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48</v>
      </c>
      <c r="D49" s="224"/>
      <c r="E49" s="224"/>
      <c r="F49" s="256"/>
      <c r="G49" s="226" t="s">
        <v>435</v>
      </c>
    </row>
    <row r="50" spans="1:7" s="250" customFormat="1" ht="24">
      <c r="A50" s="731" t="s">
        <v>344</v>
      </c>
      <c r="B50" s="202" t="s">
        <v>97</v>
      </c>
      <c r="C50" s="224"/>
      <c r="D50" s="224"/>
      <c r="E50" s="224"/>
      <c r="F50" s="256">
        <f>IF('数据-取费表'!B24=0,'数据-取费表'!N16,1)</f>
        <v>0.92</v>
      </c>
      <c r="G50" s="239" t="s">
        <v>98</v>
      </c>
    </row>
    <row r="51" spans="1:7" ht="16.5" customHeight="1">
      <c r="A51" s="731" t="s">
        <v>345</v>
      </c>
      <c r="B51" s="202" t="s">
        <v>105</v>
      </c>
      <c r="C51" s="224">
        <f ca="1">ROUND(C49*F50,0)</f>
        <v>44</v>
      </c>
      <c r="D51" s="224"/>
      <c r="E51" s="224"/>
      <c r="F51" s="256"/>
      <c r="G51" s="226" t="s">
        <v>37</v>
      </c>
    </row>
    <row r="52" spans="1:7" s="200" customFormat="1" ht="16.8" thickBot="1">
      <c r="A52" s="257" t="s">
        <v>38</v>
      </c>
      <c r="B52" s="258"/>
      <c r="C52" s="259">
        <f ca="1">C31+C51</f>
        <v>27655</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471" t="s">
        <v>2839</v>
      </c>
      <c r="B1" s="3471"/>
      <c r="C1" s="3471"/>
      <c r="D1" s="3471"/>
      <c r="E1" s="3471"/>
      <c r="F1" s="3471"/>
      <c r="G1" s="3472"/>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1.4"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469"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1.4" thickBot="1">
      <c r="A4" s="3470"/>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1.4"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1.4"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1.4"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1.4"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473" t="s">
        <v>3181</v>
      </c>
      <c r="B1" s="3473"/>
    </row>
    <row r="2" spans="1:7" ht="15" thickBot="1">
      <c r="A2" s="2968"/>
      <c r="B2" s="2968"/>
    </row>
    <row r="3" spans="1:7" ht="15" thickBot="1">
      <c r="A3" s="2968"/>
      <c r="B3" s="2968"/>
      <c r="C3" s="2969" t="s">
        <v>2811</v>
      </c>
      <c r="D3" s="2969" t="s">
        <v>2867</v>
      </c>
      <c r="E3" s="2969" t="s">
        <v>2813</v>
      </c>
      <c r="F3" s="2969" t="s">
        <v>2868</v>
      </c>
      <c r="G3" s="2969" t="s">
        <v>2631</v>
      </c>
    </row>
    <row r="4" spans="1:7" ht="1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3"/>
  </cols>
  <sheetData>
    <row r="1" spans="1:6">
      <c r="A1" s="3474" t="s">
        <v>3232</v>
      </c>
      <c r="B1" s="3474"/>
      <c r="C1" s="3474"/>
      <c r="D1" s="3474"/>
      <c r="E1" s="3474"/>
      <c r="F1" s="3475"/>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7">
        <f>基准地价修正!G23</f>
        <v>45664</v>
      </c>
      <c r="B1" s="2929" t="s">
        <v>3379</v>
      </c>
      <c r="C1" s="2930"/>
      <c r="D1" s="2930"/>
      <c r="E1" s="2930"/>
      <c r="F1" s="2930"/>
      <c r="G1" s="2930"/>
      <c r="H1" s="2930"/>
      <c r="I1" s="2930"/>
      <c r="J1" s="2896"/>
      <c r="K1" s="2930" t="s">
        <v>454</v>
      </c>
      <c r="L1" s="2930"/>
      <c r="M1" s="2930"/>
      <c r="N1" s="2930"/>
      <c r="O1" s="2930"/>
      <c r="P1" s="2930"/>
      <c r="Q1" s="2896"/>
      <c r="R1" s="3476" t="s">
        <v>456</v>
      </c>
      <c r="S1" s="3477"/>
      <c r="T1" s="3477"/>
      <c r="U1" s="3477"/>
      <c r="V1" s="3477"/>
      <c r="W1" s="3477"/>
      <c r="X1" s="2896"/>
      <c r="Y1" s="3476" t="s">
        <v>457</v>
      </c>
      <c r="Z1" s="3477"/>
      <c r="AA1" s="3477"/>
      <c r="AB1" s="3477"/>
      <c r="AC1" s="3477"/>
      <c r="AD1" s="3477"/>
    </row>
    <row r="2" spans="1:30" s="2010" customFormat="1" ht="15" thickBot="1">
      <c r="B2" s="2881"/>
      <c r="C2" s="2882"/>
      <c r="D2" s="2011" t="s">
        <v>2810</v>
      </c>
      <c r="E2" s="2012" t="s">
        <v>2811</v>
      </c>
      <c r="F2" s="2012" t="s">
        <v>2812</v>
      </c>
      <c r="G2" s="2012" t="s">
        <v>2813</v>
      </c>
      <c r="H2" s="2012" t="s">
        <v>2814</v>
      </c>
      <c r="I2" s="2012" t="s">
        <v>2631</v>
      </c>
      <c r="J2" s="2883"/>
      <c r="K2" s="2011" t="s">
        <v>2810</v>
      </c>
      <c r="L2" s="2012" t="s">
        <v>2811</v>
      </c>
      <c r="M2" s="2012" t="s">
        <v>2812</v>
      </c>
      <c r="N2" s="2012" t="s">
        <v>2813</v>
      </c>
      <c r="O2" s="2012" t="s">
        <v>2815</v>
      </c>
      <c r="P2" s="2012" t="s">
        <v>2631</v>
      </c>
      <c r="Q2" s="2883"/>
      <c r="R2" s="2011" t="s">
        <v>2810</v>
      </c>
      <c r="S2" s="2012" t="s">
        <v>2811</v>
      </c>
      <c r="T2" s="2012" t="s">
        <v>2812</v>
      </c>
      <c r="U2" s="2012" t="s">
        <v>2816</v>
      </c>
      <c r="V2" s="2012" t="s">
        <v>2817</v>
      </c>
      <c r="W2" s="2012" t="s">
        <v>2631</v>
      </c>
      <c r="X2" s="2883"/>
      <c r="Y2" s="2011" t="s">
        <v>2810</v>
      </c>
      <c r="Z2" s="2012" t="s">
        <v>2811</v>
      </c>
      <c r="AA2" s="2012" t="s">
        <v>2812</v>
      </c>
      <c r="AB2" s="2012" t="s">
        <v>2818</v>
      </c>
      <c r="AC2" s="2012" t="s">
        <v>2817</v>
      </c>
      <c r="AD2" s="2012" t="s">
        <v>2631</v>
      </c>
    </row>
    <row r="3" spans="1:30" s="2886" customFormat="1" ht="13.2">
      <c r="A3" s="2884" t="s">
        <v>2819</v>
      </c>
      <c r="B3" s="2885"/>
      <c r="D3" s="2886">
        <f>ROUND(AVERAGEIF(D4:D21,"&lt;&gt;0"),2)</f>
        <v>0.38</v>
      </c>
      <c r="E3" s="2886">
        <f t="shared" ref="E3:H3" si="0">ROUND(AVERAGEIF(E4:E21,"&lt;&gt;0"),2)</f>
        <v>0.26</v>
      </c>
      <c r="F3" s="2886">
        <f t="shared" si="0"/>
        <v>-0.01</v>
      </c>
      <c r="G3" s="2886">
        <f t="shared" si="0"/>
        <v>0.41</v>
      </c>
      <c r="H3" s="2886">
        <f t="shared" si="0"/>
        <v>0.52</v>
      </c>
      <c r="I3" s="2886">
        <f>F3</f>
        <v>-0.01</v>
      </c>
      <c r="J3" s="2887"/>
      <c r="K3" s="2888">
        <f>ROUND(AVERAGEIF(K4:K21,"&lt;&gt;0"),4)</f>
        <v>3.8E-3</v>
      </c>
      <c r="L3" s="2889">
        <f t="shared" ref="L3:O3" si="1">ROUND(AVERAGEIF(L4:L21,"&lt;&gt;0"),4)</f>
        <v>2.5999999999999999E-3</v>
      </c>
      <c r="M3" s="2889">
        <f t="shared" si="1"/>
        <v>-1E-4</v>
      </c>
      <c r="N3" s="2889">
        <f t="shared" si="1"/>
        <v>4.1000000000000003E-3</v>
      </c>
      <c r="O3" s="2889">
        <f t="shared" si="1"/>
        <v>5.1999999999999998E-3</v>
      </c>
      <c r="P3" s="2889">
        <f>M3</f>
        <v>-1E-4</v>
      </c>
      <c r="Q3" s="2887"/>
      <c r="R3" s="2890">
        <f>ROUND(SUMPRODUCT(PRODUCT(1+K4:K21)),4)</f>
        <v>1.0613999999999999</v>
      </c>
      <c r="S3" s="2891">
        <f t="shared" ref="S3:V3" si="2">ROUND(SUMPRODUCT(PRODUCT(1+L4:L21)),4)</f>
        <v>1.0415000000000001</v>
      </c>
      <c r="T3" s="2891">
        <f t="shared" si="2"/>
        <v>0.99780000000000002</v>
      </c>
      <c r="U3" s="2891">
        <f t="shared" si="2"/>
        <v>1.0678000000000001</v>
      </c>
      <c r="V3" s="2891">
        <f t="shared" si="2"/>
        <v>1.0866</v>
      </c>
      <c r="W3" s="2890">
        <f>T3</f>
        <v>0.99780000000000002</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9" customFormat="1" ht="13.2">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30" s="2045" customFormat="1" ht="13.2">
      <c r="A5" s="2040" t="s">
        <v>3375</v>
      </c>
      <c r="B5" s="2031">
        <v>2025</v>
      </c>
      <c r="C5" s="2042">
        <v>1</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M5</f>
        <v>0</v>
      </c>
      <c r="Q5" s="2906"/>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6"/>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6" customFormat="1" ht="13.2">
      <c r="A6" s="2907" t="s">
        <v>3384</v>
      </c>
      <c r="B6" s="2908">
        <v>2024</v>
      </c>
      <c r="C6" s="2909">
        <v>4</v>
      </c>
      <c r="D6" s="2910">
        <v>-1.02</v>
      </c>
      <c r="E6" s="2910">
        <v>-0.48</v>
      </c>
      <c r="F6" s="2910">
        <v>-0.75</v>
      </c>
      <c r="G6" s="2910">
        <v>-1.05</v>
      </c>
      <c r="H6" s="2911">
        <v>0.08</v>
      </c>
      <c r="I6" s="2912">
        <f t="shared" ref="I6" si="15">F6</f>
        <v>-0.75</v>
      </c>
      <c r="J6" s="2913"/>
      <c r="K6" s="2914">
        <f t="shared" ref="K6" si="16">D6/100</f>
        <v>-1.0200000000000001E-2</v>
      </c>
      <c r="L6" s="2915">
        <f t="shared" ref="L6" si="17">E6/100</f>
        <v>-4.7999999999999996E-3</v>
      </c>
      <c r="M6" s="2915">
        <f t="shared" ref="M6" si="18">F6/100</f>
        <v>-7.4999999999999997E-3</v>
      </c>
      <c r="N6" s="2915">
        <f t="shared" ref="N6" si="19">G6/100</f>
        <v>-1.0500000000000001E-2</v>
      </c>
      <c r="O6" s="2915">
        <f t="shared" ref="O6" si="20">H6/100</f>
        <v>8.0000000000000004E-4</v>
      </c>
      <c r="P6" s="2915">
        <f>M6</f>
        <v>-7.4999999999999997E-3</v>
      </c>
      <c r="Q6" s="2913"/>
      <c r="R6" s="2913">
        <f>ROUND(IF(项目基本情况!$B$8="出让",SUMPRODUCT(PRODUCT(1+K6:$K$21)),SUMPRODUCT(PRODUCT(1+K6:$K$20))),4)</f>
        <v>1.0511999999999999</v>
      </c>
      <c r="S6" s="2913">
        <f>ROUND(IF(项目基本情况!$B$8="出让",SUMPRODUCT(PRODUCT(1+L6:$L$21)),SUMPRODUCT(PRODUCT(1+L6:$L$20))),4)</f>
        <v>1.0398000000000001</v>
      </c>
      <c r="T6" s="2913">
        <f>ROUND(IF(项目基本情况!$B$8="出让",SUMPRODUCT(PRODUCT(1+M6:$M$21)),SUMPRODUCT(PRODUCT(1+M6:$M$20))),4)</f>
        <v>1.0003</v>
      </c>
      <c r="U6" s="2913">
        <f>ROUND(IF(项目基本情况!$B$8="出让",SUMPRODUCT(PRODUCT(1+N6:$N$21)),SUMPRODUCT(PRODUCT(1+N6:$N$20))),4)</f>
        <v>1.0561</v>
      </c>
      <c r="V6" s="2913">
        <f>ROUND(IF(项目基本情况!$B$8="出让",SUMPRODUCT(PRODUCT(1+O6:$O$21)),SUMPRODUCT(PRODUCT(1+O6:$O$20))),4)</f>
        <v>1.0827</v>
      </c>
      <c r="W6" s="2913">
        <f>T6</f>
        <v>1.0003</v>
      </c>
      <c r="X6" s="2913"/>
      <c r="Y6" s="2915">
        <f>IF(D6=0,0,ROUND(AVERAGE(D6:D19)/100,4))</f>
        <v>2.8999999999999998E-3</v>
      </c>
      <c r="Z6" s="2915">
        <f t="shared" ref="Z6" si="21">IF(E6=0,0,ROUND(AVERAGE(E6:E19)/100,4))</f>
        <v>2.3E-3</v>
      </c>
      <c r="AA6" s="2915">
        <f t="shared" ref="AA6" si="22">IF(F6=0,0,ROUND(AVERAGE(F6:F19)/100,4))</f>
        <v>-2.9999999999999997E-4</v>
      </c>
      <c r="AB6" s="2915">
        <f t="shared" ref="AB6" si="23">IF(G6=0,0,ROUND(AVERAGE(G6:G19)/100,4))</f>
        <v>3.3E-3</v>
      </c>
      <c r="AC6" s="2915">
        <f t="shared" ref="AC6" si="24">IF(H6=0,0,ROUND(AVERAGE(H6:H19)/100,4))</f>
        <v>5.0000000000000001E-3</v>
      </c>
      <c r="AD6" s="2915">
        <f t="shared" ref="AD6" si="25">AA6</f>
        <v>-2.9999999999999997E-4</v>
      </c>
    </row>
    <row r="7" spans="1:30" s="2045" customFormat="1" ht="13.2">
      <c r="A7" s="2040" t="s">
        <v>3383</v>
      </c>
      <c r="B7" s="2031">
        <v>2024</v>
      </c>
      <c r="C7" s="2042">
        <v>3</v>
      </c>
      <c r="D7" s="2007">
        <v>-1.19</v>
      </c>
      <c r="E7" s="2007">
        <v>-0.47</v>
      </c>
      <c r="F7" s="2007">
        <v>-0.28999999999999998</v>
      </c>
      <c r="G7" s="2007">
        <v>-0.74</v>
      </c>
      <c r="H7" s="2007">
        <v>-0.21</v>
      </c>
      <c r="I7" s="2008">
        <f t="shared" ref="I7" si="26">F7</f>
        <v>-0.28999999999999998</v>
      </c>
      <c r="J7" s="2906"/>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6"/>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6"/>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5" t="s">
        <v>3376</v>
      </c>
      <c r="B8" s="2031">
        <v>2024</v>
      </c>
      <c r="C8" s="2042">
        <v>2</v>
      </c>
      <c r="D8" s="2007">
        <v>-0.59</v>
      </c>
      <c r="E8" s="2007">
        <v>-0.21</v>
      </c>
      <c r="F8" s="2007">
        <v>-1.38</v>
      </c>
      <c r="G8" s="2007">
        <v>-1.24</v>
      </c>
      <c r="H8" s="2917">
        <v>0.34</v>
      </c>
      <c r="I8" s="2008">
        <f t="shared" ref="I8:I21" si="37">F8</f>
        <v>-1.38</v>
      </c>
      <c r="J8" s="2906"/>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6"/>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6"/>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5" t="s">
        <v>3374</v>
      </c>
      <c r="B9" s="2031">
        <v>2024</v>
      </c>
      <c r="C9" s="2042">
        <v>1</v>
      </c>
      <c r="D9" s="2007">
        <v>0.08</v>
      </c>
      <c r="E9" s="2007">
        <v>0.46</v>
      </c>
      <c r="F9" s="2007">
        <v>-0.16</v>
      </c>
      <c r="G9" s="2007">
        <v>0.26</v>
      </c>
      <c r="H9" s="2917">
        <v>0.59</v>
      </c>
      <c r="I9" s="2008">
        <v>0</v>
      </c>
      <c r="J9" s="2906"/>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6"/>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6"/>
      <c r="Y9" s="2028"/>
      <c r="Z9" s="2028"/>
      <c r="AA9" s="2028"/>
      <c r="AB9" s="2028"/>
      <c r="AC9" s="2028"/>
      <c r="AD9" s="2028"/>
    </row>
    <row r="10" spans="1:30" s="2045" customFormat="1" ht="13.2">
      <c r="A10" s="2905" t="s">
        <v>3370</v>
      </c>
      <c r="B10" s="2031">
        <v>2023</v>
      </c>
      <c r="C10" s="2042">
        <v>4</v>
      </c>
      <c r="D10" s="2007">
        <v>0.19</v>
      </c>
      <c r="E10" s="2007">
        <v>0.24</v>
      </c>
      <c r="F10" s="2007">
        <v>-0.16</v>
      </c>
      <c r="G10" s="2007">
        <v>0.17</v>
      </c>
      <c r="H10" s="2917">
        <v>0.61</v>
      </c>
      <c r="I10" s="2008">
        <f>F10</f>
        <v>-0.16</v>
      </c>
      <c r="J10" s="2906"/>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6"/>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6"/>
      <c r="Y10" s="2028"/>
      <c r="Z10" s="2028"/>
      <c r="AA10" s="2028"/>
      <c r="AB10" s="2028"/>
      <c r="AC10" s="2028"/>
      <c r="AD10" s="2028"/>
    </row>
    <row r="11" spans="1:30" s="2045" customFormat="1" ht="13.2">
      <c r="A11" s="2905" t="s">
        <v>3369</v>
      </c>
      <c r="B11" s="2031">
        <v>2023</v>
      </c>
      <c r="C11" s="2042">
        <v>3</v>
      </c>
      <c r="D11" s="2007">
        <v>0.25</v>
      </c>
      <c r="E11" s="2007">
        <v>0.5</v>
      </c>
      <c r="F11" s="2007">
        <v>0.31</v>
      </c>
      <c r="G11" s="2007">
        <v>0.21</v>
      </c>
      <c r="H11" s="2917">
        <v>0.43</v>
      </c>
      <c r="I11" s="2008">
        <f t="shared" si="37"/>
        <v>0.31</v>
      </c>
      <c r="J11" s="2906"/>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6"/>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6"/>
      <c r="Y11" s="2028"/>
      <c r="Z11" s="2028"/>
      <c r="AA11" s="2028"/>
      <c r="AB11" s="2028"/>
      <c r="AC11" s="2028"/>
      <c r="AD11" s="2028"/>
    </row>
    <row r="12" spans="1:30" s="2045" customFormat="1" ht="13.2">
      <c r="A12" s="2905" t="s">
        <v>3367</v>
      </c>
      <c r="B12" s="2031">
        <v>2023</v>
      </c>
      <c r="C12" s="2042">
        <v>2</v>
      </c>
      <c r="D12" s="2007">
        <v>0.91</v>
      </c>
      <c r="E12" s="2007">
        <v>0.66</v>
      </c>
      <c r="F12" s="2007">
        <v>0.47</v>
      </c>
      <c r="G12" s="2007">
        <v>0.96</v>
      </c>
      <c r="H12" s="2917">
        <v>0.71</v>
      </c>
      <c r="I12" s="2008">
        <f t="shared" si="37"/>
        <v>0.47</v>
      </c>
      <c r="J12" s="2906"/>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6"/>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6"/>
      <c r="Y12" s="2028"/>
      <c r="Z12" s="2028"/>
      <c r="AA12" s="2028"/>
      <c r="AB12" s="2028"/>
      <c r="AC12" s="2028"/>
      <c r="AD12" s="2028"/>
    </row>
    <row r="13" spans="1:30" s="2045" customFormat="1" ht="13.2">
      <c r="A13" s="2905" t="s">
        <v>3366</v>
      </c>
      <c r="B13" s="2031">
        <v>2023</v>
      </c>
      <c r="C13" s="2042">
        <v>1</v>
      </c>
      <c r="D13" s="2007">
        <v>0.89</v>
      </c>
      <c r="E13" s="2007">
        <v>0.74</v>
      </c>
      <c r="F13" s="2007">
        <v>0.56999999999999995</v>
      </c>
      <c r="G13" s="2007">
        <v>0.92</v>
      </c>
      <c r="H13" s="2917">
        <v>0.5</v>
      </c>
      <c r="I13" s="2008">
        <f t="shared" si="37"/>
        <v>0.56999999999999995</v>
      </c>
      <c r="J13" s="2906"/>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6"/>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6"/>
      <c r="Y13" s="2028"/>
      <c r="Z13" s="2028"/>
      <c r="AA13" s="2028"/>
      <c r="AB13" s="2028"/>
      <c r="AC13" s="2028"/>
      <c r="AD13" s="2028"/>
    </row>
    <row r="14" spans="1:30" s="2045" customFormat="1" ht="13.2">
      <c r="A14" s="2905" t="s">
        <v>3365</v>
      </c>
      <c r="B14" s="2031">
        <v>2022</v>
      </c>
      <c r="C14" s="2042">
        <v>4</v>
      </c>
      <c r="D14" s="2007">
        <v>0.62</v>
      </c>
      <c r="E14" s="2007">
        <v>0.2</v>
      </c>
      <c r="F14" s="2007">
        <v>0.11</v>
      </c>
      <c r="G14" s="2007">
        <v>0.69</v>
      </c>
      <c r="H14" s="2917">
        <v>0.53</v>
      </c>
      <c r="I14" s="2008">
        <f t="shared" si="37"/>
        <v>0.11</v>
      </c>
      <c r="J14" s="2906"/>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6"/>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6"/>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5" t="s">
        <v>3363</v>
      </c>
      <c r="B15" s="2031">
        <v>2022</v>
      </c>
      <c r="C15" s="2042">
        <v>3</v>
      </c>
      <c r="D15" s="2007">
        <v>0.66</v>
      </c>
      <c r="E15" s="2007">
        <v>0.32</v>
      </c>
      <c r="F15" s="2007">
        <v>0.23</v>
      </c>
      <c r="G15" s="2007">
        <v>0.72</v>
      </c>
      <c r="H15" s="2917">
        <v>0.63</v>
      </c>
      <c r="I15" s="2008">
        <f t="shared" si="37"/>
        <v>0.23</v>
      </c>
      <c r="J15" s="2906"/>
      <c r="K15" s="2043">
        <f t="shared" si="38"/>
        <v>6.6E-3</v>
      </c>
      <c r="L15" s="2028">
        <f t="shared" si="38"/>
        <v>3.2000000000000002E-3</v>
      </c>
      <c r="M15" s="2028">
        <f t="shared" si="38"/>
        <v>2.3E-3</v>
      </c>
      <c r="N15" s="2028">
        <f t="shared" si="38"/>
        <v>7.1999999999999998E-3</v>
      </c>
      <c r="O15" s="2028">
        <f t="shared" si="38"/>
        <v>6.3E-3</v>
      </c>
      <c r="P15" s="2028">
        <f t="shared" si="58"/>
        <v>2.3E-3</v>
      </c>
      <c r="Q15" s="2906"/>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6"/>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5" t="s">
        <v>3354</v>
      </c>
      <c r="B16" s="2031">
        <v>2022</v>
      </c>
      <c r="C16" s="2042">
        <v>2</v>
      </c>
      <c r="D16" s="2007">
        <v>0.93</v>
      </c>
      <c r="E16" s="2007">
        <v>0.15</v>
      </c>
      <c r="F16" s="2007">
        <v>0.01</v>
      </c>
      <c r="G16" s="2007">
        <v>1.05</v>
      </c>
      <c r="H16" s="2917">
        <v>1.08</v>
      </c>
      <c r="I16" s="2008">
        <f t="shared" si="37"/>
        <v>0.01</v>
      </c>
      <c r="J16" s="2906"/>
      <c r="K16" s="2043">
        <f t="shared" si="38"/>
        <v>9.300000000000001E-3</v>
      </c>
      <c r="L16" s="2028">
        <f t="shared" si="38"/>
        <v>1.5E-3</v>
      </c>
      <c r="M16" s="2028">
        <f t="shared" si="38"/>
        <v>1E-4</v>
      </c>
      <c r="N16" s="2028">
        <f t="shared" si="38"/>
        <v>1.0500000000000001E-2</v>
      </c>
      <c r="O16" s="2028">
        <f t="shared" si="38"/>
        <v>1.0800000000000001E-2</v>
      </c>
      <c r="P16" s="2028">
        <f t="shared" si="58"/>
        <v>1E-4</v>
      </c>
      <c r="Q16" s="2906"/>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6"/>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5" t="s">
        <v>2820</v>
      </c>
      <c r="B17" s="2031">
        <v>2022</v>
      </c>
      <c r="C17" s="2042">
        <v>1</v>
      </c>
      <c r="D17" s="2007">
        <v>0.89</v>
      </c>
      <c r="E17" s="2007">
        <v>0.44</v>
      </c>
      <c r="F17" s="2007">
        <v>0.37</v>
      </c>
      <c r="G17" s="2007">
        <v>0.96</v>
      </c>
      <c r="H17" s="2917">
        <v>0.64</v>
      </c>
      <c r="I17" s="2008">
        <f t="shared" si="37"/>
        <v>0.37</v>
      </c>
      <c r="J17" s="2906"/>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6"/>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6"/>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5" t="s">
        <v>2821</v>
      </c>
      <c r="B18" s="2031">
        <v>2021</v>
      </c>
      <c r="C18" s="2042">
        <v>4</v>
      </c>
      <c r="D18" s="2007">
        <v>1.03</v>
      </c>
      <c r="E18" s="2007">
        <v>0.24</v>
      </c>
      <c r="F18" s="2007">
        <v>7.0000000000000007E-2</v>
      </c>
      <c r="G18" s="2007">
        <v>1.17</v>
      </c>
      <c r="H18" s="2917">
        <v>0.55000000000000004</v>
      </c>
      <c r="I18" s="2008">
        <f t="shared" si="37"/>
        <v>7.0000000000000007E-2</v>
      </c>
      <c r="J18" s="2906"/>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6"/>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6"/>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5" t="s">
        <v>2822</v>
      </c>
      <c r="B19" s="2031">
        <v>2021</v>
      </c>
      <c r="C19" s="2042">
        <v>3</v>
      </c>
      <c r="D19" s="2007">
        <v>0.47</v>
      </c>
      <c r="E19" s="2007">
        <v>0.41</v>
      </c>
      <c r="F19" s="2007">
        <v>0.24</v>
      </c>
      <c r="G19" s="2007">
        <v>0.48</v>
      </c>
      <c r="H19" s="2917">
        <v>0.48</v>
      </c>
      <c r="I19" s="2008">
        <f t="shared" si="37"/>
        <v>0.24</v>
      </c>
      <c r="J19" s="2906"/>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6"/>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6"/>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5" t="s">
        <v>2823</v>
      </c>
      <c r="B20" s="2031">
        <v>2021</v>
      </c>
      <c r="C20" s="2042">
        <v>2</v>
      </c>
      <c r="D20" s="2007">
        <v>0.92</v>
      </c>
      <c r="E20" s="2007">
        <v>0.72</v>
      </c>
      <c r="F20" s="2007">
        <v>0.41</v>
      </c>
      <c r="G20" s="2007">
        <v>0.95</v>
      </c>
      <c r="H20" s="2917">
        <v>1.01</v>
      </c>
      <c r="I20" s="2008">
        <f t="shared" si="37"/>
        <v>0.41</v>
      </c>
      <c r="J20" s="2906"/>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6"/>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6"/>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8" customFormat="1" ht="13.8" thickBot="1">
      <c r="A21" s="2918" t="s">
        <v>2824</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5" thickTop="1"/>
    <row r="23" spans="1:30">
      <c r="A23" s="3143" t="s">
        <v>3382</v>
      </c>
    </row>
    <row r="24" spans="1:30">
      <c r="I24" s="1405" t="s">
        <v>2825</v>
      </c>
    </row>
    <row r="26" spans="1:30" s="2009" customFormat="1" ht="13.2">
      <c r="B26" s="2929" t="s">
        <v>3380</v>
      </c>
      <c r="C26" s="2930"/>
      <c r="D26" s="2930"/>
      <c r="E26" s="2930"/>
      <c r="F26" s="2930"/>
      <c r="G26" s="2930"/>
      <c r="H26" s="2930"/>
      <c r="I26" s="2930"/>
      <c r="J26" s="2896"/>
      <c r="K26" s="2930" t="s">
        <v>2826</v>
      </c>
      <c r="L26" s="2930"/>
      <c r="M26" s="2930"/>
      <c r="N26" s="2930"/>
      <c r="O26" s="2930"/>
      <c r="P26" s="2930"/>
      <c r="Q26" s="2896"/>
      <c r="R26" s="3476" t="s">
        <v>2827</v>
      </c>
      <c r="S26" s="3477"/>
      <c r="T26" s="3477"/>
      <c r="U26" s="3477"/>
      <c r="V26" s="3477"/>
      <c r="W26" s="3477"/>
      <c r="X26" s="2896"/>
      <c r="Y26" s="3476" t="s">
        <v>2828</v>
      </c>
      <c r="Z26" s="3477"/>
      <c r="AA26" s="3477"/>
      <c r="AB26" s="3477"/>
      <c r="AC26" s="3477"/>
      <c r="AD26" s="3477"/>
    </row>
    <row r="27" spans="1:30" s="2010" customFormat="1" ht="15" thickBot="1">
      <c r="B27" s="2881"/>
      <c r="C27" s="2882"/>
      <c r="D27" s="2011" t="s">
        <v>2829</v>
      </c>
      <c r="E27" s="2012" t="s">
        <v>2830</v>
      </c>
      <c r="F27" s="2012" t="s">
        <v>2831</v>
      </c>
      <c r="G27" s="2012" t="s">
        <v>2832</v>
      </c>
      <c r="H27" s="2012"/>
      <c r="I27" s="2012" t="s">
        <v>2833</v>
      </c>
      <c r="J27" s="2883"/>
      <c r="K27" s="2011" t="s">
        <v>2829</v>
      </c>
      <c r="L27" s="2012" t="s">
        <v>2830</v>
      </c>
      <c r="M27" s="2012" t="s">
        <v>2831</v>
      </c>
      <c r="N27" s="2012" t="s">
        <v>2832</v>
      </c>
      <c r="O27" s="2012"/>
      <c r="P27" s="2012" t="s">
        <v>2833</v>
      </c>
      <c r="Q27" s="2883"/>
      <c r="R27" s="2011" t="s">
        <v>2829</v>
      </c>
      <c r="S27" s="2012" t="s">
        <v>2830</v>
      </c>
      <c r="T27" s="2012" t="s">
        <v>2831</v>
      </c>
      <c r="U27" s="2012" t="s">
        <v>2832</v>
      </c>
      <c r="V27" s="2012"/>
      <c r="W27" s="2012" t="s">
        <v>2833</v>
      </c>
      <c r="X27" s="2883"/>
      <c r="Y27" s="2011" t="s">
        <v>2829</v>
      </c>
      <c r="Z27" s="2012" t="s">
        <v>2830</v>
      </c>
      <c r="AA27" s="2012" t="s">
        <v>2831</v>
      </c>
      <c r="AB27" s="2012" t="s">
        <v>2832</v>
      </c>
      <c r="AC27" s="2012"/>
      <c r="AD27" s="2012" t="s">
        <v>2833</v>
      </c>
    </row>
    <row r="28" spans="1:30" s="2886" customFormat="1" ht="13.2">
      <c r="A28" s="2884" t="s">
        <v>2834</v>
      </c>
      <c r="B28" s="2885"/>
      <c r="E28" s="2886">
        <f t="shared" ref="E28:G28" si="65">ROUND(AVERAGEIF(E29:E46,"&lt;&gt;0"),2)</f>
        <v>0.21</v>
      </c>
      <c r="F28" s="2886">
        <f t="shared" si="65"/>
        <v>0.14000000000000001</v>
      </c>
      <c r="G28" s="2886">
        <f t="shared" si="65"/>
        <v>0.3</v>
      </c>
      <c r="I28" s="2886">
        <f>F28</f>
        <v>0.14000000000000001</v>
      </c>
      <c r="J28" s="2887"/>
      <c r="K28" s="2888"/>
      <c r="L28" s="2889">
        <f t="shared" ref="L28:N28" si="66">ROUND(AVERAGEIF(L29:L46,"&lt;&gt;0"),4)</f>
        <v>2.0999999999999999E-3</v>
      </c>
      <c r="M28" s="2889">
        <f t="shared" si="66"/>
        <v>1.4E-3</v>
      </c>
      <c r="N28" s="2889">
        <f t="shared" si="66"/>
        <v>3.0000000000000001E-3</v>
      </c>
      <c r="O28" s="2889"/>
      <c r="P28" s="2889">
        <f>M28</f>
        <v>1.4E-3</v>
      </c>
      <c r="Q28" s="2887"/>
      <c r="R28" s="2890"/>
      <c r="S28" s="2891">
        <f>ROUND(SUMPRODUCT(PRODUCT(1+L29:L46)),4)</f>
        <v>1.0337000000000001</v>
      </c>
      <c r="T28" s="2891">
        <f t="shared" ref="T28:U28" si="67">ROUND(SUMPRODUCT(PRODUCT(1+M29:M46)),4)</f>
        <v>1.022</v>
      </c>
      <c r="U28" s="2891">
        <f t="shared" si="67"/>
        <v>1.0489999999999999</v>
      </c>
      <c r="V28" s="2891"/>
      <c r="W28" s="2890">
        <f>T28</f>
        <v>1.022</v>
      </c>
      <c r="X28" s="2887"/>
      <c r="Y28" s="2892"/>
      <c r="Z28" s="2893">
        <f t="shared" ref="Z28:AB28" si="68">ROUND(AVERAGEIF(Z29:Z46,"&lt;&gt;0"),4)</f>
        <v>3.8E-3</v>
      </c>
      <c r="AA28" s="2894">
        <f t="shared" si="68"/>
        <v>3.0000000000000001E-3</v>
      </c>
      <c r="AB28" s="2892">
        <f t="shared" si="68"/>
        <v>7.4999999999999997E-3</v>
      </c>
      <c r="AC28" s="2895"/>
      <c r="AD28" s="2892">
        <f>AA28</f>
        <v>3.0000000000000001E-3</v>
      </c>
    </row>
    <row r="29" spans="1:30" s="2009" customFormat="1" ht="13.2">
      <c r="B29" s="2025"/>
      <c r="J29" s="2896"/>
      <c r="K29" s="2897"/>
      <c r="L29" s="2898"/>
      <c r="M29" s="2898"/>
      <c r="N29" s="2898"/>
      <c r="O29" s="2898"/>
      <c r="P29" s="2898"/>
      <c r="Q29" s="2896"/>
      <c r="R29" s="2027"/>
      <c r="S29" s="2899"/>
      <c r="T29" s="2900"/>
      <c r="U29" s="2027"/>
      <c r="V29" s="2901"/>
      <c r="W29" s="2027"/>
      <c r="X29" s="2896"/>
      <c r="Y29" s="2028"/>
      <c r="Z29" s="2902"/>
      <c r="AA29" s="2903"/>
      <c r="AB29" s="2028"/>
      <c r="AC29" s="2904"/>
      <c r="AD29" s="2028"/>
    </row>
    <row r="30" spans="1:30" s="2045" customFormat="1" ht="13.2">
      <c r="A30" s="2040" t="s">
        <v>3375</v>
      </c>
      <c r="B30" s="2031">
        <v>2025</v>
      </c>
      <c r="C30" s="2042">
        <v>1</v>
      </c>
      <c r="D30" s="2007"/>
      <c r="E30" s="2007">
        <v>0</v>
      </c>
      <c r="F30" s="2007">
        <v>0</v>
      </c>
      <c r="G30" s="2007">
        <v>0</v>
      </c>
      <c r="H30" s="2007"/>
      <c r="I30" s="2008">
        <f t="shared" ref="I30" si="69">F30</f>
        <v>0</v>
      </c>
      <c r="J30" s="2906"/>
      <c r="K30" s="2043"/>
      <c r="L30" s="2028">
        <f t="shared" ref="L30" si="70">E30/100</f>
        <v>0</v>
      </c>
      <c r="M30" s="2028">
        <f t="shared" ref="M30" si="71">F30/100</f>
        <v>0</v>
      </c>
      <c r="N30" s="2028">
        <f t="shared" ref="N30" si="72">G30/100</f>
        <v>0</v>
      </c>
      <c r="O30" s="2028"/>
      <c r="P30" s="2028">
        <f>M30</f>
        <v>0</v>
      </c>
      <c r="Q30" s="2906"/>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6"/>
      <c r="Y30" s="2028"/>
      <c r="Z30" s="2902">
        <f t="shared" ref="Z30" si="73">IF(E30=0,0,ROUND(AVERAGE(E30:E43)/100,4))</f>
        <v>0</v>
      </c>
      <c r="AA30" s="2902">
        <f t="shared" ref="AA30" si="74">IF(F30=0,0,ROUND(AVERAGE(F30:F43)/100,4))</f>
        <v>0</v>
      </c>
      <c r="AB30" s="2902">
        <f t="shared" ref="AB30" si="75">IF(G30=0,0,ROUND(AVERAGE(G30:G43)/100,4))</f>
        <v>0</v>
      </c>
      <c r="AC30" s="2904"/>
      <c r="AD30" s="2028">
        <f>IF(I30=0,0,ROUND(AVERAGE(I30:I43)/100,4))</f>
        <v>0</v>
      </c>
    </row>
    <row r="31" spans="1:30" s="2916" customFormat="1" ht="13.2">
      <c r="A31" s="2907" t="s">
        <v>3377</v>
      </c>
      <c r="B31" s="2908">
        <v>2024</v>
      </c>
      <c r="C31" s="2909">
        <v>4</v>
      </c>
      <c r="D31" s="2910"/>
      <c r="E31" s="2910">
        <v>-0.61</v>
      </c>
      <c r="F31" s="2910">
        <v>-0.71</v>
      </c>
      <c r="G31" s="2910">
        <v>-0.88</v>
      </c>
      <c r="H31" s="2911"/>
      <c r="I31" s="2912">
        <f t="shared" ref="I31" si="76">F31</f>
        <v>-0.71</v>
      </c>
      <c r="J31" s="2913"/>
      <c r="K31" s="2914"/>
      <c r="L31" s="2915">
        <f t="shared" ref="L31" si="77">E31/100</f>
        <v>-6.0999999999999995E-3</v>
      </c>
      <c r="M31" s="2915">
        <f t="shared" ref="M31" si="78">F31/100</f>
        <v>-7.0999999999999995E-3</v>
      </c>
      <c r="N31" s="2915">
        <f t="shared" ref="N31" si="79">G31/100</f>
        <v>-8.8000000000000005E-3</v>
      </c>
      <c r="O31" s="2915"/>
      <c r="P31" s="2915">
        <f>M31</f>
        <v>-7.0999999999999995E-3</v>
      </c>
      <c r="Q31" s="2913"/>
      <c r="R31" s="2913"/>
      <c r="S31" s="2913">
        <f>ROUND(IF(项目基本情况!$B$8="出让",SUMPRODUCT(PRODUCT(1+L31:L$46)),SUMPRODUCT(PRODUCT(1+L31:L$45))),4)</f>
        <v>1.0301</v>
      </c>
      <c r="T31" s="2913">
        <f>ROUND(IF(项目基本情况!$B$8="出让",SUMPRODUCT(PRODUCT(1+M31:M$46)),SUMPRODUCT(PRODUCT(1+M31:M$45))),4)</f>
        <v>1.0170999999999999</v>
      </c>
      <c r="U31" s="2913">
        <f>ROUND(IF(项目基本情况!$B$8="出让",SUMPRODUCT(PRODUCT(1+N31:N$46)),SUMPRODUCT(PRODUCT(1+N31:N$45))),4)</f>
        <v>1.0387999999999999</v>
      </c>
      <c r="V31" s="2913"/>
      <c r="W31" s="2913">
        <f>T31</f>
        <v>1.0170999999999999</v>
      </c>
      <c r="X31" s="2913"/>
      <c r="Y31" s="2915"/>
      <c r="Z31" s="2931">
        <f t="shared" ref="Z31" si="80">IF(E31=0,0,ROUND(AVERAGE(E31:E44)/100,4))</f>
        <v>1.6999999999999999E-3</v>
      </c>
      <c r="AA31" s="2932">
        <f t="shared" ref="AA31" si="81">IF(F31=0,0,ROUND(AVERAGE(F31:F44)/100,4))</f>
        <v>8.9999999999999998E-4</v>
      </c>
      <c r="AB31" s="2915">
        <f t="shared" ref="AB31" si="82">IF(G31=0,0,ROUND(AVERAGE(G31:G44)/100,4))</f>
        <v>2E-3</v>
      </c>
      <c r="AC31" s="2933"/>
      <c r="AD31" s="2915">
        <f>IF(I31=0,0,ROUND(AVERAGE(I31:I44)/100,4))</f>
        <v>8.9999999999999998E-4</v>
      </c>
    </row>
    <row r="32" spans="1:30" s="2045" customFormat="1" ht="13.2">
      <c r="A32" s="2040" t="s">
        <v>3372</v>
      </c>
      <c r="B32" s="2031">
        <v>2024</v>
      </c>
      <c r="C32" s="2042">
        <v>3</v>
      </c>
      <c r="D32" s="2007"/>
      <c r="E32" s="2007">
        <v>-0.66</v>
      </c>
      <c r="F32" s="2007">
        <v>-0.52</v>
      </c>
      <c r="G32" s="2007">
        <v>-2.87</v>
      </c>
      <c r="H32" s="2007"/>
      <c r="I32" s="2008">
        <f t="shared" ref="I32" si="83">F32</f>
        <v>-0.52</v>
      </c>
      <c r="J32" s="2906"/>
      <c r="K32" s="2043"/>
      <c r="L32" s="2028">
        <f t="shared" ref="L32" si="84">E32/100</f>
        <v>-6.6E-3</v>
      </c>
      <c r="M32" s="2028">
        <f t="shared" ref="M32" si="85">F32/100</f>
        <v>-5.1999999999999998E-3</v>
      </c>
      <c r="N32" s="2028">
        <f t="shared" ref="N32" si="86">G32/100</f>
        <v>-2.87E-2</v>
      </c>
      <c r="O32" s="2028"/>
      <c r="P32" s="2028">
        <f>M32</f>
        <v>-5.1999999999999998E-3</v>
      </c>
      <c r="Q32" s="2906"/>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6"/>
      <c r="Y32" s="2028"/>
      <c r="Z32" s="2902">
        <f t="shared" ref="Z32:AB33" si="87">IF(E32=0,0,ROUND(AVERAGE(E32:E45)/100,4))</f>
        <v>2.5999999999999999E-3</v>
      </c>
      <c r="AA32" s="2902">
        <f t="shared" si="87"/>
        <v>1.6999999999999999E-3</v>
      </c>
      <c r="AB32" s="2902">
        <f t="shared" si="87"/>
        <v>3.3999999999999998E-3</v>
      </c>
      <c r="AC32" s="2904"/>
      <c r="AD32" s="2028">
        <f>IF(I32=0,0,ROUND(AVERAGE(I32:I45)/100,4))</f>
        <v>1.6999999999999999E-3</v>
      </c>
    </row>
    <row r="33" spans="1:30" s="2045" customFormat="1" ht="13.2">
      <c r="A33" s="2905" t="s">
        <v>3378</v>
      </c>
      <c r="B33" s="2031">
        <v>2024</v>
      </c>
      <c r="C33" s="2042">
        <v>2</v>
      </c>
      <c r="D33" s="2007"/>
      <c r="E33" s="2007">
        <v>-0.31</v>
      </c>
      <c r="F33" s="2007">
        <v>-0.39</v>
      </c>
      <c r="G33" s="2007">
        <v>1.23</v>
      </c>
      <c r="H33" s="2917"/>
      <c r="I33" s="2008">
        <f t="shared" ref="I33:I46" si="88">F33</f>
        <v>-0.39</v>
      </c>
      <c r="J33" s="2906"/>
      <c r="K33" s="2043"/>
      <c r="L33" s="2028">
        <f t="shared" ref="L33:N46" si="89">E33/100</f>
        <v>-3.0999999999999999E-3</v>
      </c>
      <c r="M33" s="2028">
        <f t="shared" si="89"/>
        <v>-3.9000000000000003E-3</v>
      </c>
      <c r="N33" s="2028">
        <f t="shared" si="89"/>
        <v>1.23E-2</v>
      </c>
      <c r="O33" s="2028"/>
      <c r="P33" s="2028">
        <f>M33</f>
        <v>-3.9000000000000003E-3</v>
      </c>
      <c r="Q33" s="2906"/>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6"/>
      <c r="Y33" s="2028"/>
      <c r="Z33" s="2902">
        <f t="shared" si="87"/>
        <v>3.3E-3</v>
      </c>
      <c r="AA33" s="2903">
        <f t="shared" si="87"/>
        <v>2.3999999999999998E-3</v>
      </c>
      <c r="AB33" s="2028">
        <f t="shared" si="87"/>
        <v>6.1999999999999998E-3</v>
      </c>
      <c r="AC33" s="2904"/>
      <c r="AD33" s="2028">
        <f>IF(I33=0,0,ROUND(AVERAGE(I33:I46)/100,4))</f>
        <v>2.3999999999999998E-3</v>
      </c>
    </row>
    <row r="34" spans="1:30" s="2045" customFormat="1" ht="13.2">
      <c r="A34" s="2905" t="s">
        <v>3373</v>
      </c>
      <c r="B34" s="2031">
        <v>2024</v>
      </c>
      <c r="C34" s="2042">
        <v>1</v>
      </c>
      <c r="D34" s="2007"/>
      <c r="E34" s="2007">
        <v>0.25</v>
      </c>
      <c r="F34" s="2007">
        <v>0.4</v>
      </c>
      <c r="G34" s="2007">
        <v>-0.63</v>
      </c>
      <c r="H34" s="2917"/>
      <c r="I34" s="2008">
        <f t="shared" ref="I34:I35" si="90">F34</f>
        <v>0.4</v>
      </c>
      <c r="J34" s="2906"/>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6"/>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6"/>
      <c r="Y34" s="2028"/>
      <c r="Z34" s="2902"/>
      <c r="AA34" s="2903"/>
      <c r="AB34" s="2028"/>
      <c r="AC34" s="2904"/>
      <c r="AD34" s="2028"/>
    </row>
    <row r="35" spans="1:30" s="2045" customFormat="1" ht="13.2">
      <c r="A35" s="2905" t="s">
        <v>3371</v>
      </c>
      <c r="B35" s="2031">
        <v>2023</v>
      </c>
      <c r="C35" s="2042">
        <v>4</v>
      </c>
      <c r="D35" s="2007"/>
      <c r="E35" s="2007">
        <v>7.0000000000000007E-2</v>
      </c>
      <c r="F35" s="2007">
        <v>0.09</v>
      </c>
      <c r="G35" s="2007">
        <v>0.03</v>
      </c>
      <c r="H35" s="2917"/>
      <c r="I35" s="2008">
        <f t="shared" si="90"/>
        <v>0.09</v>
      </c>
      <c r="J35" s="2906"/>
      <c r="K35" s="2043"/>
      <c r="L35" s="2028">
        <f t="shared" si="89"/>
        <v>7.000000000000001E-4</v>
      </c>
      <c r="M35" s="2028">
        <f t="shared" si="89"/>
        <v>8.9999999999999998E-4</v>
      </c>
      <c r="N35" s="2028">
        <f t="shared" si="89"/>
        <v>2.9999999999999997E-4</v>
      </c>
      <c r="O35" s="2028"/>
      <c r="P35" s="2028">
        <f t="shared" ref="P35" si="96">M35</f>
        <v>8.9999999999999998E-4</v>
      </c>
      <c r="Q35" s="2906"/>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6"/>
      <c r="Y35" s="2028"/>
      <c r="Z35" s="2902"/>
      <c r="AA35" s="2903"/>
      <c r="AB35" s="2028"/>
      <c r="AC35" s="2904"/>
      <c r="AD35" s="2028"/>
    </row>
    <row r="36" spans="1:30" s="2045" customFormat="1" ht="13.2">
      <c r="A36" s="2905" t="s">
        <v>3369</v>
      </c>
      <c r="B36" s="2031">
        <v>2023</v>
      </c>
      <c r="C36" s="2042">
        <v>3</v>
      </c>
      <c r="D36" s="2007"/>
      <c r="E36" s="2007">
        <v>0.35</v>
      </c>
      <c r="F36" s="2007">
        <v>0.17</v>
      </c>
      <c r="G36" s="2007">
        <v>0.52</v>
      </c>
      <c r="H36" s="2917"/>
      <c r="I36" s="2008">
        <f t="shared" si="88"/>
        <v>0.17</v>
      </c>
      <c r="J36" s="2906"/>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6"/>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6"/>
      <c r="Y36" s="2028"/>
      <c r="Z36" s="2902"/>
      <c r="AA36" s="2903"/>
      <c r="AB36" s="2028"/>
      <c r="AC36" s="2904"/>
      <c r="AD36" s="2028"/>
    </row>
    <row r="37" spans="1:30" s="2045" customFormat="1" ht="13.2">
      <c r="A37" s="2905" t="s">
        <v>3368</v>
      </c>
      <c r="B37" s="2031">
        <v>2023</v>
      </c>
      <c r="C37" s="2042">
        <v>2</v>
      </c>
      <c r="D37" s="2007"/>
      <c r="E37" s="2007">
        <v>0.5</v>
      </c>
      <c r="F37" s="2007">
        <v>0.45</v>
      </c>
      <c r="G37" s="2007">
        <v>0.89</v>
      </c>
      <c r="H37" s="2917"/>
      <c r="I37" s="2008">
        <f t="shared" si="88"/>
        <v>0.45</v>
      </c>
      <c r="J37" s="2906"/>
      <c r="K37" s="2043"/>
      <c r="L37" s="2028">
        <f t="shared" si="98"/>
        <v>5.0000000000000001E-3</v>
      </c>
      <c r="M37" s="2028">
        <f t="shared" si="99"/>
        <v>4.5000000000000005E-3</v>
      </c>
      <c r="N37" s="2028">
        <f t="shared" si="100"/>
        <v>8.8999999999999999E-3</v>
      </c>
      <c r="O37" s="2028"/>
      <c r="P37" s="2028">
        <f t="shared" si="101"/>
        <v>4.5000000000000005E-3</v>
      </c>
      <c r="Q37" s="2906"/>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6"/>
      <c r="Y37" s="2028"/>
      <c r="Z37" s="2902"/>
      <c r="AA37" s="2903"/>
      <c r="AB37" s="2028"/>
      <c r="AC37" s="2904"/>
      <c r="AD37" s="2028"/>
    </row>
    <row r="38" spans="1:30" s="2045" customFormat="1" ht="13.2">
      <c r="A38" s="2905" t="s">
        <v>3366</v>
      </c>
      <c r="B38" s="2031">
        <v>2023</v>
      </c>
      <c r="C38" s="2042">
        <v>1</v>
      </c>
      <c r="D38" s="2007"/>
      <c r="E38" s="2007">
        <v>0.55000000000000004</v>
      </c>
      <c r="F38" s="2007">
        <v>0.59</v>
      </c>
      <c r="G38" s="2007">
        <v>0.64</v>
      </c>
      <c r="H38" s="2917"/>
      <c r="I38" s="2008">
        <f t="shared" si="88"/>
        <v>0.59</v>
      </c>
      <c r="J38" s="2906"/>
      <c r="K38" s="2043"/>
      <c r="L38" s="2028">
        <f t="shared" si="98"/>
        <v>5.5000000000000005E-3</v>
      </c>
      <c r="M38" s="2028">
        <f t="shared" si="99"/>
        <v>5.8999999999999999E-3</v>
      </c>
      <c r="N38" s="2028">
        <f t="shared" si="100"/>
        <v>6.4000000000000003E-3</v>
      </c>
      <c r="O38" s="2028"/>
      <c r="P38" s="2028">
        <f t="shared" si="101"/>
        <v>5.8999999999999999E-3</v>
      </c>
      <c r="Q38" s="2906"/>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6"/>
      <c r="Y38" s="2028"/>
      <c r="Z38" s="2902"/>
      <c r="AA38" s="2903"/>
      <c r="AB38" s="2028"/>
      <c r="AC38" s="2904"/>
      <c r="AD38" s="2028"/>
    </row>
    <row r="39" spans="1:30" s="2045" customFormat="1" ht="13.2">
      <c r="A39" s="2905" t="s">
        <v>3365</v>
      </c>
      <c r="B39" s="2031">
        <v>2022</v>
      </c>
      <c r="C39" s="2042">
        <v>4</v>
      </c>
      <c r="D39" s="2007"/>
      <c r="E39" s="2007">
        <v>0.45</v>
      </c>
      <c r="F39" s="2007">
        <v>0.2</v>
      </c>
      <c r="G39" s="2007">
        <v>0.38</v>
      </c>
      <c r="H39" s="2917"/>
      <c r="I39" s="2008">
        <f t="shared" si="88"/>
        <v>0.2</v>
      </c>
      <c r="J39" s="2906"/>
      <c r="K39" s="2043"/>
      <c r="L39" s="2028">
        <f t="shared" si="89"/>
        <v>4.5000000000000005E-3</v>
      </c>
      <c r="M39" s="2028">
        <f t="shared" si="89"/>
        <v>2E-3</v>
      </c>
      <c r="N39" s="2028">
        <f t="shared" si="89"/>
        <v>3.8E-3</v>
      </c>
      <c r="O39" s="2028"/>
      <c r="P39" s="2028">
        <f t="shared" ref="P39:P46" si="103">M39</f>
        <v>2E-3</v>
      </c>
      <c r="Q39" s="2906"/>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6"/>
      <c r="Y39" s="2028"/>
      <c r="Z39" s="2902">
        <f t="shared" ref="Z39:AD46" si="105">IF(E39=0,0,ROUND(AVERAGE(E39:E47)/100,4))</f>
        <v>4.0000000000000001E-3</v>
      </c>
      <c r="AA39" s="2903">
        <f t="shared" si="105"/>
        <v>2.5999999999999999E-3</v>
      </c>
      <c r="AB39" s="2028">
        <f t="shared" si="105"/>
        <v>7.4000000000000003E-3</v>
      </c>
      <c r="AC39" s="2904"/>
      <c r="AD39" s="2028">
        <f t="shared" si="105"/>
        <v>2.5999999999999999E-3</v>
      </c>
    </row>
    <row r="40" spans="1:30" s="2045" customFormat="1" ht="13.2">
      <c r="A40" s="2905" t="s">
        <v>3364</v>
      </c>
      <c r="B40" s="2031">
        <v>2022</v>
      </c>
      <c r="C40" s="2042">
        <v>3</v>
      </c>
      <c r="D40" s="2007"/>
      <c r="E40" s="2007">
        <v>0.3</v>
      </c>
      <c r="F40" s="2007">
        <v>0.28999999999999998</v>
      </c>
      <c r="G40" s="2007">
        <v>0.83</v>
      </c>
      <c r="H40" s="2917"/>
      <c r="I40" s="2008">
        <f t="shared" si="88"/>
        <v>0.28999999999999998</v>
      </c>
      <c r="J40" s="2906"/>
      <c r="K40" s="2043"/>
      <c r="L40" s="2028">
        <f t="shared" si="89"/>
        <v>3.0000000000000001E-3</v>
      </c>
      <c r="M40" s="2028">
        <f t="shared" si="89"/>
        <v>2.8999999999999998E-3</v>
      </c>
      <c r="N40" s="2028">
        <f t="shared" si="89"/>
        <v>8.3000000000000001E-3</v>
      </c>
      <c r="O40" s="2028"/>
      <c r="P40" s="2028">
        <f t="shared" si="103"/>
        <v>2.8999999999999998E-3</v>
      </c>
      <c r="Q40" s="2906"/>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6"/>
      <c r="Y40" s="2028"/>
      <c r="Z40" s="2902">
        <f t="shared" si="105"/>
        <v>3.8999999999999998E-3</v>
      </c>
      <c r="AA40" s="2903">
        <f t="shared" si="105"/>
        <v>2.7000000000000001E-3</v>
      </c>
      <c r="AB40" s="2028">
        <f t="shared" si="105"/>
        <v>7.9000000000000008E-3</v>
      </c>
      <c r="AC40" s="2904"/>
      <c r="AD40" s="2028">
        <f t="shared" si="105"/>
        <v>2.7000000000000001E-3</v>
      </c>
    </row>
    <row r="41" spans="1:30" s="2045" customFormat="1" ht="13.2">
      <c r="A41" s="2905" t="s">
        <v>3354</v>
      </c>
      <c r="B41" s="2031">
        <v>2022</v>
      </c>
      <c r="C41" s="2042">
        <v>2</v>
      </c>
      <c r="D41" s="2007"/>
      <c r="E41" s="2007">
        <v>-0.11</v>
      </c>
      <c r="F41" s="2007">
        <v>-0.13</v>
      </c>
      <c r="G41" s="2007">
        <v>0.53</v>
      </c>
      <c r="H41" s="2917"/>
      <c r="I41" s="2008">
        <f t="shared" si="88"/>
        <v>-0.13</v>
      </c>
      <c r="J41" s="2906"/>
      <c r="K41" s="2043"/>
      <c r="L41" s="2028">
        <f t="shared" si="89"/>
        <v>-1.1000000000000001E-3</v>
      </c>
      <c r="M41" s="2028">
        <f t="shared" si="89"/>
        <v>-1.2999999999999999E-3</v>
      </c>
      <c r="N41" s="2028">
        <f t="shared" si="89"/>
        <v>5.3E-3</v>
      </c>
      <c r="O41" s="2028"/>
      <c r="P41" s="2028">
        <f t="shared" si="103"/>
        <v>-1.2999999999999999E-3</v>
      </c>
      <c r="Q41" s="2906"/>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6"/>
      <c r="Y41" s="2028"/>
      <c r="Z41" s="2902">
        <f t="shared" si="105"/>
        <v>4.1000000000000003E-3</v>
      </c>
      <c r="AA41" s="2903">
        <f t="shared" si="105"/>
        <v>2.7000000000000001E-3</v>
      </c>
      <c r="AB41" s="2028">
        <f t="shared" si="105"/>
        <v>7.9000000000000008E-3</v>
      </c>
      <c r="AC41" s="2904"/>
      <c r="AD41" s="2028">
        <f t="shared" si="105"/>
        <v>2.7000000000000001E-3</v>
      </c>
    </row>
    <row r="42" spans="1:30" s="2045" customFormat="1" ht="13.2">
      <c r="A42" s="2905" t="s">
        <v>2835</v>
      </c>
      <c r="B42" s="2031">
        <v>2022</v>
      </c>
      <c r="C42" s="2042">
        <v>1</v>
      </c>
      <c r="D42" s="2007"/>
      <c r="E42" s="2007">
        <v>0.6</v>
      </c>
      <c r="F42" s="2007">
        <v>0.45</v>
      </c>
      <c r="G42" s="2007">
        <v>0.53</v>
      </c>
      <c r="H42" s="2917"/>
      <c r="I42" s="2008">
        <f t="shared" si="88"/>
        <v>0.45</v>
      </c>
      <c r="J42" s="2906"/>
      <c r="K42" s="2043"/>
      <c r="L42" s="2028">
        <f t="shared" si="89"/>
        <v>6.0000000000000001E-3</v>
      </c>
      <c r="M42" s="2028">
        <f t="shared" si="89"/>
        <v>4.5000000000000005E-3</v>
      </c>
      <c r="N42" s="2028">
        <f t="shared" si="89"/>
        <v>5.3E-3</v>
      </c>
      <c r="O42" s="2028"/>
      <c r="P42" s="2028">
        <f t="shared" si="103"/>
        <v>4.5000000000000005E-3</v>
      </c>
      <c r="Q42" s="2906"/>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6"/>
      <c r="Y42" s="2028"/>
      <c r="Z42" s="2902">
        <f t="shared" si="105"/>
        <v>5.1000000000000004E-3</v>
      </c>
      <c r="AA42" s="2903">
        <f t="shared" si="105"/>
        <v>3.5000000000000001E-3</v>
      </c>
      <c r="AB42" s="2028">
        <f t="shared" si="105"/>
        <v>8.3999999999999995E-3</v>
      </c>
      <c r="AC42" s="2904"/>
      <c r="AD42" s="2028">
        <f t="shared" si="105"/>
        <v>3.5000000000000001E-3</v>
      </c>
    </row>
    <row r="43" spans="1:30" s="2045" customFormat="1" ht="13.2">
      <c r="A43" s="2905" t="s">
        <v>2836</v>
      </c>
      <c r="B43" s="2031">
        <v>2021</v>
      </c>
      <c r="C43" s="2042">
        <v>4</v>
      </c>
      <c r="D43" s="2007"/>
      <c r="E43" s="2007">
        <v>0.57999999999999996</v>
      </c>
      <c r="F43" s="2007">
        <v>0.08</v>
      </c>
      <c r="G43" s="2007">
        <v>0.68</v>
      </c>
      <c r="H43" s="2917"/>
      <c r="I43" s="2008">
        <f t="shared" si="88"/>
        <v>0.08</v>
      </c>
      <c r="J43" s="2906"/>
      <c r="K43" s="2043"/>
      <c r="L43" s="2028">
        <f t="shared" si="89"/>
        <v>5.7999999999999996E-3</v>
      </c>
      <c r="M43" s="2028">
        <f t="shared" si="89"/>
        <v>8.0000000000000004E-4</v>
      </c>
      <c r="N43" s="2028">
        <f t="shared" si="89"/>
        <v>6.8000000000000005E-3</v>
      </c>
      <c r="O43" s="2028"/>
      <c r="P43" s="2028">
        <f t="shared" si="103"/>
        <v>8.0000000000000004E-4</v>
      </c>
      <c r="Q43" s="2906"/>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6"/>
      <c r="Y43" s="2028"/>
      <c r="Z43" s="2902">
        <f t="shared" si="105"/>
        <v>4.8999999999999998E-3</v>
      </c>
      <c r="AA43" s="2903">
        <f t="shared" si="105"/>
        <v>3.3E-3</v>
      </c>
      <c r="AB43" s="2028">
        <f t="shared" si="105"/>
        <v>9.1999999999999998E-3</v>
      </c>
      <c r="AC43" s="2904"/>
      <c r="AD43" s="2028">
        <f t="shared" si="105"/>
        <v>3.3E-3</v>
      </c>
    </row>
    <row r="44" spans="1:30" s="2045" customFormat="1" ht="13.2">
      <c r="A44" s="2905" t="s">
        <v>2837</v>
      </c>
      <c r="B44" s="2031">
        <v>2021</v>
      </c>
      <c r="C44" s="2042">
        <v>3</v>
      </c>
      <c r="D44" s="2007"/>
      <c r="E44" s="2007">
        <v>0.47</v>
      </c>
      <c r="F44" s="2007">
        <v>0.28000000000000003</v>
      </c>
      <c r="G44" s="2007">
        <v>0.91</v>
      </c>
      <c r="H44" s="2917"/>
      <c r="I44" s="2008">
        <f t="shared" si="88"/>
        <v>0.28000000000000003</v>
      </c>
      <c r="J44" s="2906"/>
      <c r="K44" s="2043"/>
      <c r="L44" s="2028">
        <f t="shared" si="89"/>
        <v>4.6999999999999993E-3</v>
      </c>
      <c r="M44" s="2028">
        <f t="shared" si="89"/>
        <v>2.8000000000000004E-3</v>
      </c>
      <c r="N44" s="2028">
        <f t="shared" si="89"/>
        <v>9.1000000000000004E-3</v>
      </c>
      <c r="O44" s="2028"/>
      <c r="P44" s="2028">
        <f t="shared" si="103"/>
        <v>2.8000000000000004E-3</v>
      </c>
      <c r="Q44" s="2906"/>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6"/>
      <c r="Y44" s="2028"/>
      <c r="Z44" s="2902">
        <f t="shared" si="105"/>
        <v>4.5999999999999999E-3</v>
      </c>
      <c r="AA44" s="2903">
        <f t="shared" si="105"/>
        <v>4.1000000000000003E-3</v>
      </c>
      <c r="AB44" s="2028">
        <f t="shared" si="105"/>
        <v>0.01</v>
      </c>
      <c r="AC44" s="2904"/>
      <c r="AD44" s="2028">
        <f t="shared" si="105"/>
        <v>4.1000000000000003E-3</v>
      </c>
    </row>
    <row r="45" spans="1:30" s="2045" customFormat="1" ht="13.2">
      <c r="A45" s="2905" t="s">
        <v>2838</v>
      </c>
      <c r="B45" s="2031">
        <v>2021</v>
      </c>
      <c r="C45" s="2042">
        <v>2</v>
      </c>
      <c r="D45" s="2007"/>
      <c r="E45" s="2007">
        <v>0.55000000000000004</v>
      </c>
      <c r="F45" s="2007">
        <v>0.46</v>
      </c>
      <c r="G45" s="2007">
        <v>1.1000000000000001</v>
      </c>
      <c r="H45" s="2917"/>
      <c r="I45" s="2008">
        <f t="shared" si="88"/>
        <v>0.46</v>
      </c>
      <c r="J45" s="2906"/>
      <c r="K45" s="2043"/>
      <c r="L45" s="2028">
        <f t="shared" si="89"/>
        <v>5.5000000000000005E-3</v>
      </c>
      <c r="M45" s="2028">
        <f t="shared" si="89"/>
        <v>4.5999999999999999E-3</v>
      </c>
      <c r="N45" s="2028">
        <f t="shared" si="89"/>
        <v>1.1000000000000001E-2</v>
      </c>
      <c r="O45" s="2028"/>
      <c r="P45" s="2028">
        <f t="shared" si="103"/>
        <v>4.5999999999999999E-3</v>
      </c>
      <c r="Q45" s="2906"/>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6"/>
      <c r="Y45" s="2028"/>
      <c r="Z45" s="2902">
        <f t="shared" si="105"/>
        <v>4.4999999999999997E-3</v>
      </c>
      <c r="AA45" s="2903">
        <f t="shared" si="105"/>
        <v>4.7000000000000002E-3</v>
      </c>
      <c r="AB45" s="2028">
        <f t="shared" si="105"/>
        <v>1.04E-2</v>
      </c>
      <c r="AC45" s="2904"/>
      <c r="AD45" s="2028">
        <f t="shared" si="105"/>
        <v>4.7000000000000002E-3</v>
      </c>
    </row>
    <row r="46" spans="1:30" s="2928" customFormat="1" ht="13.8" thickBot="1">
      <c r="A46" s="2918" t="s">
        <v>2824</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5" thickTop="1"/>
    <row r="48" spans="1:30">
      <c r="A48" s="3143"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81" t="s">
        <v>452</v>
      </c>
      <c r="C1" s="3481"/>
      <c r="D1" s="3481"/>
      <c r="E1" s="3481"/>
      <c r="F1" s="3481"/>
      <c r="G1" s="3477" t="s">
        <v>453</v>
      </c>
      <c r="H1" s="3477"/>
      <c r="I1" s="3477"/>
      <c r="J1" s="3477"/>
      <c r="K1" s="3477"/>
      <c r="L1" s="3477"/>
      <c r="N1" s="3477" t="s">
        <v>454</v>
      </c>
      <c r="O1" s="3477"/>
      <c r="P1" s="3477"/>
      <c r="Q1" s="3477"/>
      <c r="S1" s="3477" t="s">
        <v>455</v>
      </c>
      <c r="T1" s="3477"/>
      <c r="U1" s="3477"/>
      <c r="V1" s="3477"/>
      <c r="X1" s="3476" t="s">
        <v>456</v>
      </c>
      <c r="Y1" s="3477"/>
      <c r="Z1" s="3477"/>
      <c r="AA1" s="3477"/>
      <c r="AB1" s="3477"/>
      <c r="AD1" s="3476" t="s">
        <v>457</v>
      </c>
      <c r="AE1" s="3477"/>
      <c r="AF1" s="3477"/>
      <c r="AG1" s="3477"/>
      <c r="AH1" s="3477"/>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7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7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7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8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7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7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8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7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7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7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7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7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7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7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7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8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7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7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7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8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7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7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7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7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7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7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7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7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7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7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7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7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7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7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7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7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7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7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7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7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7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7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7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7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7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7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79">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80">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7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7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79">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80">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45664</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1" t="str">
        <f>IF(项目基本情况!B9="房地产市场价值","估价结果一览表","结果表-2")</f>
        <v>结果表-2</v>
      </c>
      <c r="B1" s="3171"/>
      <c r="C1" s="3171"/>
      <c r="D1" s="3171"/>
      <c r="E1" s="3171"/>
      <c r="F1" s="3171"/>
      <c r="G1" s="3171"/>
      <c r="H1" s="3171"/>
      <c r="I1" s="3171"/>
    </row>
    <row r="2" spans="1:9" ht="30" customHeight="1" thickTop="1">
      <c r="A2" s="3172" t="s">
        <v>928</v>
      </c>
      <c r="B2" s="3172" t="s">
        <v>929</v>
      </c>
      <c r="C2" s="3172" t="s">
        <v>930</v>
      </c>
      <c r="D2" s="3172" t="str">
        <f>结果表!D116</f>
        <v>出让国有建设用地使用权价值</v>
      </c>
      <c r="E2" s="3172"/>
      <c r="F2" s="3172" t="str">
        <f>结果表!F116</f>
        <v>在建建筑物价值</v>
      </c>
      <c r="G2" s="3172"/>
      <c r="H2" s="3172" t="str">
        <f>IF(项目基本情况!B9="房地产市场价值","房地产市场价值","房地产价值")</f>
        <v>房地产价值</v>
      </c>
      <c r="I2" s="3172"/>
    </row>
    <row r="3" spans="1:9" ht="15.6">
      <c r="A3" s="3167"/>
      <c r="B3" s="3167"/>
      <c r="C3" s="3167"/>
      <c r="D3" s="801" t="s">
        <v>925</v>
      </c>
      <c r="E3" s="801" t="s">
        <v>931</v>
      </c>
      <c r="F3" s="801" t="s">
        <v>925</v>
      </c>
      <c r="G3" s="801" t="s">
        <v>926</v>
      </c>
      <c r="H3" s="801" t="s">
        <v>925</v>
      </c>
      <c r="I3" s="801" t="s">
        <v>926</v>
      </c>
    </row>
    <row r="4" spans="1:9" ht="15">
      <c r="A4" s="1403" t="str">
        <f>项目基本情况!S2</f>
        <v>北京市通州区运河园路9号院3号楼16层1606房地产</v>
      </c>
      <c r="B4" s="801">
        <f>项目基本情况!C17</f>
        <v>71.03</v>
      </c>
      <c r="C4" s="801">
        <f>项目基本情况!C18</f>
        <v>0</v>
      </c>
      <c r="D4" s="801">
        <f>结果表!D118</f>
        <v>0</v>
      </c>
      <c r="E4" s="801">
        <f>结果表!E118</f>
        <v>0</v>
      </c>
      <c r="F4" s="801">
        <f>结果表!F118</f>
        <v>0</v>
      </c>
      <c r="G4" s="801">
        <f>结果表!G118</f>
        <v>0</v>
      </c>
      <c r="H4" s="801">
        <f ca="1">结果表!H118</f>
        <v>199.29599999999999</v>
      </c>
      <c r="I4" s="801">
        <f ca="1">结果表!I118</f>
        <v>28058</v>
      </c>
    </row>
    <row r="5" spans="1:9" ht="30" customHeight="1">
      <c r="A5" s="3167" t="s">
        <v>927</v>
      </c>
      <c r="B5" s="3167"/>
      <c r="C5" s="3167"/>
      <c r="D5" s="3167" t="str">
        <f>结果表!D119</f>
        <v>零元整</v>
      </c>
      <c r="E5" s="3167"/>
      <c r="F5" s="3167" t="str">
        <f>结果表!F119</f>
        <v>零元整</v>
      </c>
      <c r="G5" s="3167"/>
      <c r="H5" s="3167" t="str">
        <f ca="1">结果表!H119</f>
        <v>壹佰玖拾玖万贰仟玖佰陆拾元整</v>
      </c>
      <c r="I5" s="3167"/>
    </row>
    <row r="6" spans="1:9" ht="15.6">
      <c r="A6" s="3166" t="str">
        <f>结果表!A120</f>
        <v>估价师知悉的法定优先受偿款</v>
      </c>
      <c r="B6" s="3166"/>
      <c r="C6" s="3166"/>
      <c r="D6" s="3166">
        <f>结果表!D120</f>
        <v>0</v>
      </c>
      <c r="E6" s="3166"/>
      <c r="F6" s="3166"/>
      <c r="G6" s="3166"/>
      <c r="H6" s="3166"/>
      <c r="I6" s="3166"/>
    </row>
    <row r="7" spans="1:9" ht="15">
      <c r="A7" s="3167" t="s">
        <v>927</v>
      </c>
      <c r="B7" s="3167"/>
      <c r="C7" s="3167"/>
      <c r="D7" s="3168" t="str">
        <f>结果表!D121</f>
        <v>零元整</v>
      </c>
      <c r="E7" s="3169"/>
      <c r="F7" s="3169"/>
      <c r="G7" s="3169"/>
      <c r="H7" s="3169"/>
      <c r="I7" s="3170"/>
    </row>
    <row r="8" spans="1:9" ht="15.6">
      <c r="A8" s="3166" t="str">
        <f>结果表!A122</f>
        <v>房地产抵押价值</v>
      </c>
      <c r="B8" s="3166"/>
      <c r="C8" s="3166"/>
      <c r="D8" s="3166">
        <f ca="1">结果表!D122</f>
        <v>199.29599999999999</v>
      </c>
      <c r="E8" s="3166"/>
      <c r="F8" s="3166"/>
      <c r="G8" s="3166"/>
      <c r="H8" s="3166"/>
      <c r="I8" s="3166"/>
    </row>
    <row r="9" spans="1:9" ht="15">
      <c r="A9" s="3167" t="s">
        <v>927</v>
      </c>
      <c r="B9" s="3167"/>
      <c r="C9" s="3167"/>
      <c r="D9" s="3167" t="str">
        <f ca="1">结果表!D123</f>
        <v>壹佰玖拾玖万贰仟玖佰陆拾元整</v>
      </c>
      <c r="E9" s="3167"/>
      <c r="F9" s="3167"/>
      <c r="G9" s="3167"/>
      <c r="H9" s="3167"/>
      <c r="I9" s="3167"/>
    </row>
    <row r="10" spans="1:9" ht="15.6">
      <c r="A10" s="3166" t="str">
        <f>结果表!A124</f>
        <v/>
      </c>
      <c r="B10" s="3166"/>
      <c r="C10" s="3166"/>
      <c r="D10" s="3166" t="str">
        <f>结果表!D124</f>
        <v>——</v>
      </c>
      <c r="E10" s="3166"/>
      <c r="F10" s="3166"/>
      <c r="G10" s="3166"/>
      <c r="H10" s="3166"/>
      <c r="I10" s="3166"/>
    </row>
    <row r="11" spans="1:9" ht="15">
      <c r="A11" s="3167" t="s">
        <v>927</v>
      </c>
      <c r="B11" s="3167"/>
      <c r="C11" s="3167"/>
      <c r="D11" s="3167" t="e">
        <f>结果表!D125</f>
        <v>#VALUE!</v>
      </c>
      <c r="E11" s="3167"/>
      <c r="F11" s="3167"/>
      <c r="G11" s="3167"/>
      <c r="H11" s="3167"/>
      <c r="I11" s="3167"/>
    </row>
    <row r="12" spans="1:9" ht="15.6">
      <c r="A12" s="3166" t="str">
        <f>结果表!A126</f>
        <v/>
      </c>
      <c r="B12" s="3166"/>
      <c r="C12" s="3166"/>
      <c r="D12" s="3166" t="str">
        <f>结果表!D126</f>
        <v>——</v>
      </c>
      <c r="E12" s="3166"/>
      <c r="F12" s="3166"/>
      <c r="G12" s="3166"/>
      <c r="H12" s="3166"/>
      <c r="I12" s="3166"/>
    </row>
    <row r="13" spans="1:9" ht="15.6" thickBot="1">
      <c r="A13" s="3164" t="s">
        <v>927</v>
      </c>
      <c r="B13" s="3164"/>
      <c r="C13" s="3164"/>
      <c r="D13" s="3164" t="e">
        <f>结果表!D127</f>
        <v>#VALUE!</v>
      </c>
      <c r="E13" s="3164"/>
      <c r="F13" s="3164"/>
      <c r="G13" s="3164"/>
      <c r="H13" s="3164"/>
      <c r="I13" s="3164"/>
    </row>
    <row r="14" spans="1:9" ht="14.4" thickTop="1">
      <c r="A14" s="3165" t="s">
        <v>932</v>
      </c>
      <c r="B14" s="3165"/>
      <c r="C14" s="3165"/>
      <c r="D14" s="3165"/>
      <c r="E14" s="3165"/>
      <c r="F14" s="3165"/>
      <c r="G14" s="3165"/>
      <c r="H14" s="3165"/>
      <c r="I14" s="3165"/>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79" t="s">
        <v>949</v>
      </c>
      <c r="B1" s="3179"/>
      <c r="C1" s="3179"/>
      <c r="D1" s="3179"/>
    </row>
    <row r="2" spans="1:4" ht="17.399999999999999">
      <c r="A2" s="3180" t="s">
        <v>933</v>
      </c>
      <c r="B2" s="3180"/>
      <c r="C2" s="3180"/>
      <c r="D2" s="3180"/>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80" t="s">
        <v>939</v>
      </c>
      <c r="B6" s="3180"/>
      <c r="C6" s="3180"/>
      <c r="D6" s="3180"/>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81" t="s">
        <v>942</v>
      </c>
      <c r="B11" s="3173"/>
      <c r="C11" s="3173"/>
      <c r="D11" s="3173"/>
    </row>
    <row r="12" spans="1:4" ht="15.6">
      <c r="A12" s="31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8"/>
      <c r="C12" s="3178"/>
      <c r="D12" s="3178"/>
    </row>
    <row r="13" spans="1:4" ht="30" customHeight="1">
      <c r="A13" s="31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8"/>
      <c r="C13" s="3178"/>
      <c r="D13" s="3178"/>
    </row>
    <row r="14" spans="1:4" ht="15.75" customHeight="1">
      <c r="A14" s="3173" t="str">
        <f>IF(项目基本情况!B8="抵押","4.本次评估估价师所知悉的法定优先受偿款情况说明如下：","——")</f>
        <v>4.本次评估估价师所知悉的法定优先受偿款情况说明如下：</v>
      </c>
      <c r="B14" s="3178"/>
      <c r="C14" s="3178"/>
      <c r="D14" s="3178"/>
    </row>
    <row r="15" spans="1:4" ht="42" customHeight="1">
      <c r="A15" s="3173" t="str">
        <f>IF(项目基本情况!B8="抵押","（1）"&amp;CONCATENATE(项目基本情况!L20,项目基本情况!L21,项目基本情况!L22),"——")</f>
        <v>（1）根据估价对象《房屋所有权证》原件、《国有土地使用权》复印件，截至价值时点，估价对象抵押权未见登记。</v>
      </c>
      <c r="B15" s="3173"/>
      <c r="C15" s="3173"/>
      <c r="D15" s="3173"/>
    </row>
    <row r="16" spans="1:4" ht="30" customHeight="1">
      <c r="A16" s="3175" t="s">
        <v>943</v>
      </c>
      <c r="B16" s="3175"/>
      <c r="C16" s="3175"/>
      <c r="D16" s="3175"/>
    </row>
    <row r="17" spans="1:4" ht="144" customHeight="1">
      <c r="A17" s="3175" t="s">
        <v>944</v>
      </c>
      <c r="B17" s="3175"/>
      <c r="C17" s="3175"/>
      <c r="D17" s="3175"/>
    </row>
    <row r="18" spans="1:4" ht="15.75" customHeight="1">
      <c r="A18" s="3173" t="str">
        <f>IF(项目基本情况!B8="抵押",结果表!K120,"——")</f>
        <v>故，本次评估不存在估价师知悉的法定优先受偿款</v>
      </c>
      <c r="B18" s="3173"/>
      <c r="C18" s="3173"/>
      <c r="D18" s="3173"/>
    </row>
    <row r="19" spans="1:4" ht="46.5" customHeight="1">
      <c r="A19" s="31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3"/>
      <c r="C19" s="3173"/>
      <c r="D19" s="3173"/>
    </row>
    <row r="20" spans="1:4" ht="57.75" customHeight="1">
      <c r="A20" s="31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3"/>
      <c r="C20" s="3173"/>
      <c r="D20" s="3173"/>
    </row>
    <row r="21" spans="1:4" ht="57.75" customHeight="1">
      <c r="A21" s="31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6"/>
      <c r="C21" s="3176"/>
      <c r="D21" s="3176"/>
    </row>
    <row r="22" spans="1:4" ht="18.75" customHeight="1">
      <c r="A22" s="3177" t="s">
        <v>945</v>
      </c>
      <c r="B22" s="3177"/>
      <c r="C22" s="3177"/>
      <c r="D22" s="3177"/>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74">
        <v>42551</v>
      </c>
      <c r="D31" s="31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87" t="s">
        <v>956</v>
      </c>
      <c r="B15" s="3182" t="s">
        <v>109</v>
      </c>
      <c r="C15" s="3183"/>
    </row>
    <row r="16" spans="1:7" ht="14.4">
      <c r="A16" s="3188"/>
      <c r="B16" s="3182" t="s">
        <v>42</v>
      </c>
      <c r="C16" s="3183"/>
    </row>
    <row r="17" spans="1:3" ht="14.4">
      <c r="A17" s="3188"/>
      <c r="B17" s="3185" t="s">
        <v>957</v>
      </c>
      <c r="C17" s="1429" t="s">
        <v>956</v>
      </c>
    </row>
    <row r="18" spans="1:3" ht="14.4">
      <c r="A18" s="3188"/>
      <c r="B18" s="3185"/>
      <c r="C18" s="1429" t="s">
        <v>958</v>
      </c>
    </row>
    <row r="19" spans="1:3" ht="14.4">
      <c r="A19" s="3188"/>
      <c r="B19" s="3185"/>
      <c r="C19" s="1429" t="s">
        <v>959</v>
      </c>
    </row>
    <row r="20" spans="1:3" ht="14.4">
      <c r="A20" s="3189"/>
      <c r="B20" s="3184" t="s">
        <v>960</v>
      </c>
      <c r="C20" s="3183"/>
    </row>
    <row r="21" spans="1:3" ht="14.4">
      <c r="A21" s="1430" t="s">
        <v>961</v>
      </c>
      <c r="B21" s="1431"/>
      <c r="C21" s="1432"/>
    </row>
    <row r="22" spans="1:3" ht="14.4">
      <c r="A22" s="3186" t="s">
        <v>962</v>
      </c>
      <c r="B22" s="3184" t="s">
        <v>963</v>
      </c>
      <c r="C22" s="3183"/>
    </row>
    <row r="23" spans="1:3" ht="14.4">
      <c r="A23" s="3186"/>
      <c r="B23" s="3184" t="s">
        <v>964</v>
      </c>
      <c r="C23" s="3183"/>
    </row>
    <row r="24" spans="1:3" ht="14.4">
      <c r="A24" s="3186"/>
      <c r="B24" s="3184" t="s">
        <v>965</v>
      </c>
      <c r="C24" s="3183"/>
    </row>
    <row r="25" spans="1:3" ht="14.4">
      <c r="A25" s="3186"/>
      <c r="B25" s="3185" t="s">
        <v>966</v>
      </c>
      <c r="C25" s="1429" t="s">
        <v>967</v>
      </c>
    </row>
    <row r="26" spans="1:3" ht="14.4">
      <c r="A26" s="3186"/>
      <c r="B26" s="3185"/>
      <c r="C26" s="1429" t="s">
        <v>968</v>
      </c>
    </row>
    <row r="27" spans="1:3" ht="14.4">
      <c r="A27" s="3186"/>
      <c r="B27" s="3185"/>
      <c r="C27" s="1429" t="s">
        <v>969</v>
      </c>
    </row>
    <row r="28" spans="1:3" ht="14.4">
      <c r="A28" s="3186"/>
      <c r="B28" s="3185"/>
      <c r="C28" s="1429" t="s">
        <v>970</v>
      </c>
    </row>
    <row r="29" spans="1:3" ht="14.4">
      <c r="A29" s="3186"/>
      <c r="B29" s="3185"/>
      <c r="C29" s="1429" t="s">
        <v>971</v>
      </c>
    </row>
    <row r="30" spans="1:3" ht="14.4">
      <c r="A30" s="3186"/>
      <c r="B30" s="3185"/>
      <c r="C30" s="1429" t="s">
        <v>972</v>
      </c>
    </row>
    <row r="31" spans="1:3" ht="14.4">
      <c r="A31" s="3186"/>
      <c r="B31" s="3185"/>
      <c r="C31" s="1429" t="s">
        <v>973</v>
      </c>
    </row>
    <row r="32" spans="1:3" ht="14.4">
      <c r="A32" s="3186"/>
      <c r="B32" s="3185"/>
      <c r="C32" s="1429" t="s">
        <v>974</v>
      </c>
    </row>
    <row r="33" spans="1:3" ht="14.4">
      <c r="A33" s="3186"/>
      <c r="B33" s="3185"/>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45665</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0" t="s">
        <v>2160</v>
      </c>
      <c r="B17" s="3190"/>
      <c r="C17" s="3190"/>
      <c r="D17" s="3190"/>
      <c r="E17" s="3190"/>
      <c r="F17" s="3190"/>
      <c r="G17" s="3190"/>
      <c r="H17" s="3190"/>
    </row>
    <row r="18" spans="1:8" ht="24" customHeight="1">
      <c r="A18" s="3191" t="s">
        <v>2161</v>
      </c>
      <c r="B18" s="3191"/>
      <c r="C18" s="3191"/>
      <c r="D18" s="2160"/>
      <c r="E18" s="3192" t="s">
        <v>2162</v>
      </c>
      <c r="F18" s="3191"/>
      <c r="G18" s="3191"/>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中指+住建委</vt:lpstr>
      <vt:lpstr>案例+信息</vt:lpstr>
      <vt:lpstr>成本法 (元)</vt:lpstr>
      <vt:lpstr>假设开发法</vt:lpstr>
      <vt:lpstr>收益法</vt:lpstr>
      <vt:lpstr>基准地价修正</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2025-01-08T03:07:52Z</dcterms:modified>
</cp:coreProperties>
</file>