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Sheet1" sheetId="77"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17" i="78" l="1"/>
  <c r="H705" i="78"/>
  <c r="I704" i="78"/>
  <c r="E708" i="78"/>
  <c r="F706" i="78"/>
  <c r="E706" i="78"/>
  <c r="A3" i="3" l="1"/>
  <c r="I13" i="3" l="1"/>
  <c r="H694" i="78" l="1"/>
  <c r="B15" i="74" l="1"/>
  <c r="I46" i="39" l="1"/>
  <c r="G46" i="39"/>
  <c r="E46" i="39"/>
  <c r="I38" i="39"/>
  <c r="G38" i="39"/>
  <c r="E38" i="39"/>
  <c r="C38" i="39"/>
  <c r="I7" i="39"/>
  <c r="G7" i="39"/>
  <c r="E7" i="39"/>
  <c r="I5" i="39"/>
  <c r="G5" i="39"/>
  <c r="E5" i="39"/>
  <c r="M697" i="78" l="1"/>
  <c r="L697" i="78"/>
  <c r="H700" i="78" l="1"/>
  <c r="H693" i="78"/>
  <c r="F19" i="6" l="1"/>
  <c r="I693" i="78"/>
  <c r="E71" i="39"/>
  <c r="F71" i="39"/>
  <c r="G71" i="39" s="1"/>
  <c r="H71" i="39" s="1"/>
  <c r="I71" i="39" s="1"/>
  <c r="J71" i="39" s="1"/>
  <c r="K71" i="39" s="1"/>
  <c r="L71" i="39" s="1"/>
  <c r="M71" i="39" s="1"/>
  <c r="N71" i="39" s="1"/>
  <c r="O71" i="39" s="1"/>
  <c r="D71" i="39"/>
  <c r="F16" i="77"/>
  <c r="F15" i="77"/>
  <c r="F14" i="77"/>
  <c r="F13" i="77"/>
  <c r="F12" i="77"/>
  <c r="F11" i="77"/>
  <c r="F10" i="77"/>
  <c r="F9" i="77"/>
  <c r="F8" i="77"/>
  <c r="F7" i="77"/>
  <c r="F6" i="77"/>
  <c r="F5" i="77"/>
  <c r="F4" i="77"/>
  <c r="F3" i="77"/>
  <c r="F2" i="77"/>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C44"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F23" i="71" s="1"/>
  <c r="F24" i="71" s="1"/>
  <c r="F25" i="71" s="1"/>
  <c r="V25" i="71" s="1"/>
  <c r="P22" i="71"/>
  <c r="O22" i="71"/>
  <c r="C23" i="71" s="1"/>
  <c r="D23" i="71" s="1"/>
  <c r="N22" i="71"/>
  <c r="D22" i="71"/>
  <c r="Q21" i="71"/>
  <c r="AB21" i="71"/>
  <c r="P21" i="71"/>
  <c r="O21" i="71"/>
  <c r="Y21" i="71" s="1"/>
  <c r="Z21" i="71" s="1"/>
  <c r="N21" i="71"/>
  <c r="Q20" i="71"/>
  <c r="P20" i="71"/>
  <c r="AA20" i="71" s="1"/>
  <c r="O20" i="71"/>
  <c r="Y20" i="71"/>
  <c r="Z20" i="71" s="1"/>
  <c r="N20" i="71"/>
  <c r="Q19" i="71"/>
  <c r="P19" i="71"/>
  <c r="O19" i="71"/>
  <c r="N19" i="71"/>
  <c r="Q18" i="71"/>
  <c r="F19" i="71" s="1"/>
  <c r="F20" i="71" s="1"/>
  <c r="F21" i="71" s="1"/>
  <c r="V21" i="71" s="1"/>
  <c r="P18" i="71"/>
  <c r="O18" i="71"/>
  <c r="C19" i="71" s="1"/>
  <c r="N18" i="71"/>
  <c r="D18" i="71"/>
  <c r="Q17" i="71"/>
  <c r="AB17" i="71"/>
  <c r="P17" i="71"/>
  <c r="O17" i="71"/>
  <c r="Y17" i="71" s="1"/>
  <c r="Z17" i="71" s="1"/>
  <c r="N17" i="71"/>
  <c r="Q16" i="71"/>
  <c r="P16" i="71"/>
  <c r="AA10" i="71" s="1"/>
  <c r="O16" i="71"/>
  <c r="Y16" i="71"/>
  <c r="Z16" i="71" s="1"/>
  <c r="N16" i="71"/>
  <c r="X14" i="71" s="1"/>
  <c r="Q15" i="71"/>
  <c r="P15" i="71"/>
  <c r="O15" i="71"/>
  <c r="N15" i="71"/>
  <c r="Q14" i="71"/>
  <c r="AB14" i="71" s="1"/>
  <c r="P14" i="71"/>
  <c r="O14" i="71"/>
  <c r="Y11" i="71" s="1"/>
  <c r="Z11" i="71" s="1"/>
  <c r="N14" i="71"/>
  <c r="D14" i="71"/>
  <c r="O13" i="71"/>
  <c r="N13" i="71"/>
  <c r="X13"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C17" i="71" s="1"/>
  <c r="X15" i="71"/>
  <c r="X16" i="71"/>
  <c r="X17" i="71"/>
  <c r="Y18" i="71"/>
  <c r="Z18" i="71" s="1"/>
  <c r="AA19" i="71"/>
  <c r="X21" i="71"/>
  <c r="AA21" i="71"/>
  <c r="Y22" i="71"/>
  <c r="Z22" i="71" s="1"/>
  <c r="X23" i="71"/>
  <c r="AA23" i="71"/>
  <c r="F37" i="71"/>
  <c r="V37" i="71" s="1"/>
  <c r="C13" i="71"/>
  <c r="Y10" i="71"/>
  <c r="Z10" i="71" s="1"/>
  <c r="Y12" i="71"/>
  <c r="Z12" i="71" s="1"/>
  <c r="B13" i="71"/>
  <c r="B12" i="71" s="1"/>
  <c r="B11" i="71" s="1"/>
  <c r="X11" i="71"/>
  <c r="D15" i="71"/>
  <c r="C28" i="71"/>
  <c r="C29" i="71" s="1"/>
  <c r="C32" i="71"/>
  <c r="D32" i="71" s="1"/>
  <c r="D31" i="71"/>
  <c r="D35" i="71"/>
  <c r="P13" i="71"/>
  <c r="E40" i="71"/>
  <c r="E41" i="71" s="1"/>
  <c r="U41" i="71" s="1"/>
  <c r="E44" i="71"/>
  <c r="E45" i="71"/>
  <c r="U45" i="71" s="1"/>
  <c r="E48" i="71"/>
  <c r="E49" i="71" s="1"/>
  <c r="U49" i="71" s="1"/>
  <c r="U53" i="71"/>
  <c r="E52" i="71"/>
  <c r="Q13" i="71"/>
  <c r="AB10" i="71" s="1"/>
  <c r="D39"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T13" i="71"/>
  <c r="C12" i="71"/>
  <c r="C11" i="71" s="1"/>
  <c r="D11" i="71" s="1"/>
  <c r="F13" i="71"/>
  <c r="F12" i="71" s="1"/>
  <c r="F11" i="71" s="1"/>
  <c r="AB11" i="71"/>
  <c r="AB13" i="71"/>
  <c r="E13" i="71"/>
  <c r="E12" i="71"/>
  <c r="E11" i="71" s="1"/>
  <c r="AA3" i="71"/>
  <c r="AA11" i="71"/>
  <c r="AA13" i="71"/>
  <c r="D13" i="71"/>
  <c r="U13" i="71"/>
  <c r="C51" i="71"/>
  <c r="O52" i="71"/>
  <c r="D52" i="71"/>
  <c r="C49" i="71"/>
  <c r="D49" i="71" s="1"/>
  <c r="D48" i="71"/>
  <c r="D68" i="71"/>
  <c r="C67" i="71"/>
  <c r="D67" i="71"/>
  <c r="D60" i="71"/>
  <c r="C59" i="71"/>
  <c r="D59" i="71" s="1"/>
  <c r="N50" i="71"/>
  <c r="D72" i="71"/>
  <c r="D64" i="71"/>
  <c r="C63" i="71"/>
  <c r="D63" i="71" s="1"/>
  <c r="D56" i="71"/>
  <c r="C55" i="71"/>
  <c r="D55" i="71"/>
  <c r="P52" i="71"/>
  <c r="E51" i="71"/>
  <c r="P50" i="71" s="1"/>
  <c r="D28" i="71"/>
  <c r="D16" i="71"/>
  <c r="V13" i="71"/>
  <c r="P51" i="71"/>
  <c r="O51" i="71"/>
  <c r="D51" i="71"/>
  <c r="O50"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AC21" i="21" s="1"/>
  <c r="F38" i="68"/>
  <c r="E37" i="68"/>
  <c r="F36" i="68"/>
  <c r="F35" i="68"/>
  <c r="F21" i="68"/>
  <c r="C21" i="68" s="1"/>
  <c r="F20" i="68"/>
  <c r="E10" i="68"/>
  <c r="E9" i="68"/>
  <c r="F7" i="68"/>
  <c r="W21" i="21"/>
  <c r="C40" i="68"/>
  <c r="Q72" i="67"/>
  <c r="Q59" i="67"/>
  <c r="Q58" i="67"/>
  <c r="Q51" i="67"/>
  <c r="J50" i="67"/>
  <c r="M47" i="67"/>
  <c r="J53" i="67" s="1"/>
  <c r="Q52"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F1"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F6" i="1" s="1"/>
  <c r="D15" i="4"/>
  <c r="C10" i="39" s="1"/>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C7" i="12" s="1"/>
  <c r="E20" i="6"/>
  <c r="E21" i="6"/>
  <c r="K8" i="1"/>
  <c r="M8" i="1" s="1"/>
  <c r="O8" i="1" s="1"/>
  <c r="P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C18" i="9" s="1"/>
  <c r="D18" i="9" s="1"/>
  <c r="I55" i="9"/>
  <c r="F55" i="9" s="1"/>
  <c r="O53" i="9" s="1"/>
  <c r="D89" i="9"/>
  <c r="C89" i="9" s="1"/>
  <c r="C87" i="9" s="1"/>
  <c r="G12" i="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D105" i="39"/>
  <c r="E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c r="G3" i="43" s="1"/>
  <c r="E22"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U9" i="36"/>
  <c r="W28" i="36"/>
  <c r="S30" i="36"/>
  <c r="AA31" i="36"/>
  <c r="AC31" i="36"/>
  <c r="W31" i="36"/>
  <c r="U31" i="36"/>
  <c r="J33" i="36"/>
  <c r="W33" i="36"/>
  <c r="H22" i="35"/>
  <c r="AB22" i="35"/>
  <c r="AC27" i="35"/>
  <c r="W28" i="35"/>
  <c r="U31" i="35"/>
  <c r="S31" i="35"/>
  <c r="F36" i="34"/>
  <c r="J35" i="34"/>
  <c r="S34" i="34"/>
  <c r="U34" i="34"/>
  <c r="H39" i="33"/>
  <c r="AB39" i="33"/>
  <c r="F26" i="33"/>
  <c r="AA26"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E101" i="39"/>
  <c r="F101" i="39" s="1"/>
  <c r="G101" i="39" s="1"/>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H27" i="39"/>
  <c r="U27" i="39" s="1"/>
  <c r="J19" i="39"/>
  <c r="AC19" i="39"/>
  <c r="J17" i="39"/>
  <c r="J27" i="39"/>
  <c r="AC27" i="39" s="1"/>
  <c r="F27" i="39"/>
  <c r="F11" i="21"/>
  <c r="S11" i="21" s="1"/>
  <c r="S40" i="21"/>
  <c r="U34" i="21"/>
  <c r="C25" i="39"/>
  <c r="C27" i="39"/>
  <c r="C21" i="39"/>
  <c r="H11" i="39"/>
  <c r="U11" i="39" s="1"/>
  <c r="S40" i="39"/>
  <c r="C15" i="39"/>
  <c r="H32" i="33"/>
  <c r="AB32" i="33" s="1"/>
  <c r="H11" i="21"/>
  <c r="U11" i="21" s="1"/>
  <c r="J11" i="21"/>
  <c r="W11" i="21" s="1"/>
  <c r="H37" i="40"/>
  <c r="U37" i="40" s="1"/>
  <c r="H36" i="40"/>
  <c r="AB36" i="40" s="1"/>
  <c r="F35" i="40"/>
  <c r="AA35" i="40" s="1"/>
  <c r="H23" i="40"/>
  <c r="AB23" i="40" s="1"/>
  <c r="H17" i="40"/>
  <c r="U17" i="40" s="1"/>
  <c r="J15" i="40"/>
  <c r="W15" i="40" s="1"/>
  <c r="J11" i="40"/>
  <c r="AB12" i="33"/>
  <c r="AA12" i="34"/>
  <c r="AB12" i="35"/>
  <c r="AB12" i="36"/>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U40" i="39"/>
  <c r="W14" i="39"/>
  <c r="AA41" i="39"/>
  <c r="W9" i="39"/>
  <c r="J19" i="40"/>
  <c r="AC19" i="40" s="1"/>
  <c r="J50" i="40"/>
  <c r="B54" i="72"/>
  <c r="H103" i="9"/>
  <c r="D8" i="53" s="1"/>
  <c r="B16" i="53"/>
  <c r="B33" i="72" s="1"/>
  <c r="C7" i="37"/>
  <c r="C52" i="37" s="1"/>
  <c r="C7" i="34"/>
  <c r="C7" i="36"/>
  <c r="W35" i="40"/>
  <c r="A118" i="9"/>
  <c r="A4" i="52"/>
  <c r="B41" i="72"/>
  <c r="J11" i="39"/>
  <c r="W11" i="39" s="1"/>
  <c r="F11" i="39"/>
  <c r="AA11" i="39" s="1"/>
  <c r="A12" i="52"/>
  <c r="B56" i="72"/>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E28" i="6" s="1"/>
  <c r="AC5" i="3"/>
  <c r="AZ506" i="3"/>
  <c r="AZ496" i="3"/>
  <c r="G548" i="3"/>
  <c r="G538" i="3"/>
  <c r="G520" i="3"/>
  <c r="G502" i="3"/>
  <c r="BS5" i="3"/>
  <c r="BP5" i="3"/>
  <c r="BN5" i="3"/>
  <c r="G29" i="6" s="1"/>
  <c r="G30" i="6" s="1"/>
  <c r="G31" i="6" s="1"/>
  <c r="AZ343" i="3"/>
  <c r="BK5" i="3"/>
  <c r="BI5" i="3"/>
  <c r="BG5" i="3"/>
  <c r="BE5" i="3"/>
  <c r="BC5" i="3"/>
  <c r="G17" i="3"/>
  <c r="BA17" i="3"/>
  <c r="BT5" i="3"/>
  <c r="AZ350" i="3"/>
  <c r="AZ352" i="3"/>
  <c r="AZ356" i="3"/>
  <c r="AZ364" i="3"/>
  <c r="AZ368" i="3"/>
  <c r="BA15" i="3"/>
  <c r="AZ15" i="3" s="1"/>
  <c r="BB5" i="3"/>
  <c r="E15" i="6" s="1"/>
  <c r="E60" i="40" s="1"/>
  <c r="BR5" i="3"/>
  <c r="G28" i="6"/>
  <c r="AZ384" i="3"/>
  <c r="AZ388" i="3"/>
  <c r="AZ392" i="3"/>
  <c r="AZ396" i="3"/>
  <c r="AZ394" i="3"/>
  <c r="AZ499" i="3"/>
  <c r="AZ509" i="3"/>
  <c r="E8" i="6"/>
  <c r="E56" i="39"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U17" i="39"/>
  <c r="S14" i="35"/>
  <c r="U35" i="21"/>
  <c r="AC35" i="21"/>
  <c r="U10"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K6" i="1"/>
  <c r="M6" i="1" s="1"/>
  <c r="O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R13" i="1"/>
  <c r="S11" i="1"/>
  <c r="AQ11" i="1" s="1"/>
  <c r="R11" i="1"/>
  <c r="S9" i="1"/>
  <c r="AR9" i="1" s="1"/>
  <c r="R9" i="1"/>
  <c r="J51" i="67"/>
  <c r="C42" i="1"/>
  <c r="C77" i="9" s="1"/>
  <c r="C74" i="9"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S25" i="39"/>
  <c r="J21" i="39"/>
  <c r="F21" i="39"/>
  <c r="AA21" i="39" s="1"/>
  <c r="G95" i="39"/>
  <c r="H21" i="39"/>
  <c r="AB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S39" i="21"/>
  <c r="AA38" i="21"/>
  <c r="AA36" i="21"/>
  <c r="AC40" i="21"/>
  <c r="F77" i="21"/>
  <c r="J15" i="21" s="1"/>
  <c r="W15" i="21" s="1"/>
  <c r="E85" i="21"/>
  <c r="F85" i="21" s="1"/>
  <c r="AA14" i="21"/>
  <c r="AB8" i="21"/>
  <c r="S8" i="21"/>
  <c r="M3" i="43"/>
  <c r="N10" i="43"/>
  <c r="M1" i="43"/>
  <c r="M8" i="43"/>
  <c r="N8" i="43"/>
  <c r="N9" i="43"/>
  <c r="D120" i="9"/>
  <c r="F34" i="67"/>
  <c r="F62" i="67"/>
  <c r="M20" i="67"/>
  <c r="F34" i="15"/>
  <c r="F62" i="15" s="1"/>
  <c r="G13" i="3"/>
  <c r="G5" i="3" s="1"/>
  <c r="B3" i="3" s="1"/>
  <c r="E10" i="6"/>
  <c r="BL17" i="3"/>
  <c r="AZ17" i="3"/>
  <c r="BL13" i="3"/>
  <c r="J56" i="9"/>
  <c r="J57" i="9"/>
  <c r="A24" i="51"/>
  <c r="B18" i="72" s="1"/>
  <c r="U29" i="34"/>
  <c r="E5" i="6"/>
  <c r="D9" i="11" s="1"/>
  <c r="C9" i="11" s="1"/>
  <c r="E32" i="6"/>
  <c r="G1" i="68"/>
  <c r="K1" i="12"/>
  <c r="AQ12" i="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C7" i="33"/>
  <c r="C58" i="33" s="1"/>
  <c r="C7" i="21"/>
  <c r="C7" i="40"/>
  <c r="C63" i="40" s="1"/>
  <c r="M47" i="9"/>
  <c r="G19" i="43"/>
  <c r="T35" i="4"/>
  <c r="A19" i="51"/>
  <c r="B14" i="72" s="1"/>
  <c r="C46" i="36"/>
  <c r="D46" i="36" s="1"/>
  <c r="C59" i="34"/>
  <c r="D59" i="34"/>
  <c r="E59" i="34" s="1"/>
  <c r="F59" i="34" s="1"/>
  <c r="G59" i="34" s="1"/>
  <c r="A4" i="51"/>
  <c r="B6" i="72"/>
  <c r="C94" i="9"/>
  <c r="C92" i="9"/>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W25" i="39"/>
  <c r="AC25"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c r="F29" i="21"/>
  <c r="S29" i="21"/>
  <c r="F13" i="21"/>
  <c r="AA13" i="21"/>
  <c r="AC38" i="21"/>
  <c r="H32" i="21"/>
  <c r="AB32" i="21" s="1"/>
  <c r="H9" i="21"/>
  <c r="AB9" i="21" s="1"/>
  <c r="J9" i="21"/>
  <c r="W9" i="21" s="1"/>
  <c r="J32" i="21"/>
  <c r="AC32" i="21" s="1"/>
  <c r="F32" i="21"/>
  <c r="AA32" i="21" s="1"/>
  <c r="AA31" i="21"/>
  <c r="U17" i="21"/>
  <c r="W29" i="21"/>
  <c r="S19" i="21"/>
  <c r="S9" i="21"/>
  <c r="AA9" i="21"/>
  <c r="K141" i="21"/>
  <c r="K144" i="21"/>
  <c r="K143" i="21"/>
  <c r="U27" i="21"/>
  <c r="AB25" i="21"/>
  <c r="AB44" i="21"/>
  <c r="AA30" i="21"/>
  <c r="W13" i="21"/>
  <c r="W42" i="21"/>
  <c r="AC45" i="21"/>
  <c r="F10" i="21"/>
  <c r="S10" i="21" s="1"/>
  <c r="K145" i="21"/>
  <c r="W25" i="21"/>
  <c r="AA29" i="21"/>
  <c r="W31" i="21"/>
  <c r="S27" i="21"/>
  <c r="S17" i="21"/>
  <c r="AC27" i="21"/>
  <c r="AC26" i="21"/>
  <c r="AB29" i="21"/>
  <c r="S28" i="21"/>
  <c r="AC34" i="21"/>
  <c r="W10" i="21"/>
  <c r="AB36" i="21"/>
  <c r="W30" i="40"/>
  <c r="C19" i="39"/>
  <c r="C15" i="40"/>
  <c r="C17" i="40"/>
  <c r="C23" i="40"/>
  <c r="C21" i="40"/>
  <c r="U30" i="40"/>
  <c r="B54" i="43"/>
  <c r="B65" i="43"/>
  <c r="B49" i="43"/>
  <c r="B52" i="43"/>
  <c r="B56" i="43"/>
  <c r="B60" i="43"/>
  <c r="B63" i="43"/>
  <c r="B67" i="43"/>
  <c r="D23" i="15"/>
  <c r="F30" i="68"/>
  <c r="C30" i="68"/>
  <c r="F30" i="11"/>
  <c r="C48" i="11"/>
  <c r="F28" i="67"/>
  <c r="C28" i="67"/>
  <c r="F31" i="12"/>
  <c r="F52" i="9"/>
  <c r="M18" i="67"/>
  <c r="F32" i="67"/>
  <c r="F60" i="67" s="1"/>
  <c r="F30" i="69"/>
  <c r="F32" i="15"/>
  <c r="F60" i="15" s="1"/>
  <c r="M18" i="15"/>
  <c r="F28" i="15"/>
  <c r="D9" i="69"/>
  <c r="C9" i="69" s="1"/>
  <c r="AR11" i="1"/>
  <c r="D9" i="68"/>
  <c r="C9" i="68" s="1"/>
  <c r="B29" i="1" s="1"/>
  <c r="C8" i="68" s="1"/>
  <c r="S7" i="1"/>
  <c r="AR7" i="1" s="1"/>
  <c r="E7" i="70"/>
  <c r="AA39" i="40"/>
  <c r="S39" i="40"/>
  <c r="S12" i="33"/>
  <c r="AA12" i="33"/>
  <c r="C16" i="43"/>
  <c r="D68" i="9"/>
  <c r="F54" i="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S37" i="21"/>
  <c r="S13" i="21"/>
  <c r="D6" i="52"/>
  <c r="D121" i="9"/>
  <c r="D7" i="52"/>
  <c r="K120" i="9"/>
  <c r="J59" i="9"/>
  <c r="J61" i="9" s="1"/>
  <c r="AQ8" i="1"/>
  <c r="R22" i="31"/>
  <c r="B21" i="31"/>
  <c r="O19" i="43"/>
  <c r="C5" i="43"/>
  <c r="AP7" i="1"/>
  <c r="M7" i="1"/>
  <c r="O7" i="1" s="1"/>
  <c r="AB45" i="21"/>
  <c r="AC33" i="21"/>
  <c r="W32" i="21"/>
  <c r="AC9" i="21"/>
  <c r="C30" i="11"/>
  <c r="E6" i="70"/>
  <c r="A18" i="62"/>
  <c r="B64" i="72" s="1"/>
  <c r="W19" i="37"/>
  <c r="AC19" i="37"/>
  <c r="W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H59" i="34"/>
  <c r="I59" i="34" s="1"/>
  <c r="J59" i="34" s="1"/>
  <c r="K59" i="34" s="1"/>
  <c r="L59" i="34" s="1"/>
  <c r="F1" i="67"/>
  <c r="W11" i="37"/>
  <c r="W11" i="34"/>
  <c r="AC11" i="34"/>
  <c r="R7" i="1"/>
  <c r="R8" i="1"/>
  <c r="AE7" i="1"/>
  <c r="AE8" i="1"/>
  <c r="AE6" i="1"/>
  <c r="AG6" i="1"/>
  <c r="H109" i="9"/>
  <c r="H110" i="9" s="1"/>
  <c r="D18" i="53" s="1"/>
  <c r="B35" i="72" s="1"/>
  <c r="H112" i="9"/>
  <c r="D21" i="53" s="1"/>
  <c r="B39" i="72" s="1"/>
  <c r="H111" i="9"/>
  <c r="D126" i="9"/>
  <c r="D19" i="53"/>
  <c r="D59" i="9"/>
  <c r="M55" i="9" s="1"/>
  <c r="B38" i="72"/>
  <c r="D20" i="53"/>
  <c r="B40" i="72"/>
  <c r="AD3" i="71"/>
  <c r="F42" i="67"/>
  <c r="F38" i="15"/>
  <c r="M29" i="15"/>
  <c r="F4" i="73"/>
  <c r="F8" i="67"/>
  <c r="E12" i="76"/>
  <c r="M26" i="15"/>
  <c r="D2" i="35"/>
  <c r="E2" i="69"/>
  <c r="M9" i="15"/>
  <c r="B10" i="76"/>
  <c r="F41" i="67"/>
  <c r="M9" i="67"/>
  <c r="E2" i="68"/>
  <c r="F26" i="67"/>
  <c r="E8" i="76"/>
  <c r="F40" i="15"/>
  <c r="F37" i="15"/>
  <c r="AO12" i="1"/>
  <c r="F6" i="67"/>
  <c r="F7" i="73"/>
  <c r="F7" i="67"/>
  <c r="F37" i="67"/>
  <c r="B12" i="76"/>
  <c r="F35" i="67"/>
  <c r="M8" i="15"/>
  <c r="M22" i="15"/>
  <c r="M6" i="15"/>
  <c r="M27" i="15"/>
  <c r="F13" i="15"/>
  <c r="AO7" i="1"/>
  <c r="F36" i="67"/>
  <c r="F41" i="15"/>
  <c r="F7" i="15"/>
  <c r="F16" i="67"/>
  <c r="E11" i="76"/>
  <c r="E13" i="76"/>
  <c r="C76" i="67"/>
  <c r="F42" i="15"/>
  <c r="M21" i="15"/>
  <c r="D2" i="34"/>
  <c r="F13" i="67"/>
  <c r="F6" i="73"/>
  <c r="C76" i="15"/>
  <c r="F9" i="15"/>
  <c r="J15" i="67"/>
  <c r="B7" i="76"/>
  <c r="L48" i="15"/>
  <c r="AO10" i="1"/>
  <c r="F16" i="15"/>
  <c r="L47" i="15"/>
  <c r="J15" i="15"/>
  <c r="B13" i="76"/>
  <c r="E7" i="76"/>
  <c r="F6" i="15"/>
  <c r="M26" i="67"/>
  <c r="B9" i="76"/>
  <c r="F26" i="15"/>
  <c r="M28" i="67"/>
  <c r="F8" i="15"/>
  <c r="F43" i="15"/>
  <c r="M24" i="15"/>
  <c r="E9" i="76"/>
  <c r="AO8" i="1"/>
  <c r="F38" i="67"/>
  <c r="M6" i="67"/>
  <c r="F3" i="73"/>
  <c r="B11" i="76"/>
  <c r="D2" i="21"/>
  <c r="D2" i="37"/>
  <c r="F9" i="67"/>
  <c r="AO6" i="1"/>
  <c r="M24" i="67"/>
  <c r="M29" i="67"/>
  <c r="M27" i="67"/>
  <c r="AO9" i="1"/>
  <c r="D2" i="33"/>
  <c r="M8" i="67"/>
  <c r="F35" i="15"/>
  <c r="F43" i="67"/>
  <c r="AO11" i="1"/>
  <c r="E10" i="76"/>
  <c r="F36" i="15"/>
  <c r="F5" i="73"/>
  <c r="L47" i="67"/>
  <c r="M22" i="67"/>
  <c r="M21" i="67"/>
  <c r="M23" i="15"/>
  <c r="D2" i="36"/>
  <c r="M23" i="67"/>
  <c r="M28" i="15"/>
  <c r="F20" i="31"/>
  <c r="L48" i="67"/>
  <c r="AO13" i="1"/>
  <c r="F40" i="67"/>
  <c r="B8" i="76"/>
  <c r="G85" i="21" l="1"/>
  <c r="J23" i="21"/>
  <c r="W23" i="21" s="1"/>
  <c r="F23" i="21"/>
  <c r="S23" i="21" s="1"/>
  <c r="H23" i="21"/>
  <c r="AB23" i="21" s="1"/>
  <c r="U29" i="39"/>
  <c r="AB39" i="39"/>
  <c r="W29" i="39"/>
  <c r="W27" i="39"/>
  <c r="S21" i="39"/>
  <c r="S42" i="39"/>
  <c r="J32" i="39"/>
  <c r="H107" i="39"/>
  <c r="I107" i="39" s="1"/>
  <c r="J107" i="39" s="1"/>
  <c r="K107" i="39" s="1"/>
  <c r="L107" i="39" s="1"/>
  <c r="M107" i="39" s="1"/>
  <c r="H32" i="39"/>
  <c r="U32" i="39" s="1"/>
  <c r="F32" i="39"/>
  <c r="AA32" i="39" s="1"/>
  <c r="F105" i="39"/>
  <c r="G105" i="39" s="1"/>
  <c r="H105" i="39" s="1"/>
  <c r="I105" i="39" s="1"/>
  <c r="J105" i="39" s="1"/>
  <c r="K105" i="39" s="1"/>
  <c r="L105" i="39" s="1"/>
  <c r="M105" i="39" s="1"/>
  <c r="F31" i="39"/>
  <c r="H31" i="39"/>
  <c r="J31" i="39"/>
  <c r="U21" i="39"/>
  <c r="G89" i="39"/>
  <c r="H15" i="39"/>
  <c r="F15" i="39"/>
  <c r="AA15" i="39" s="1"/>
  <c r="J15" i="39"/>
  <c r="S29" i="39"/>
  <c r="S19" i="39"/>
  <c r="S15" i="39"/>
  <c r="U42" i="39"/>
  <c r="U41" i="39"/>
  <c r="AC41" i="39"/>
  <c r="AA39" i="39"/>
  <c r="AC37" i="21"/>
  <c r="AB37" i="21"/>
  <c r="AC23" i="21"/>
  <c r="F15" i="21"/>
  <c r="G77" i="21"/>
  <c r="S42" i="21"/>
  <c r="AA33" i="21"/>
  <c r="AA23" i="21"/>
  <c r="AB21" i="21"/>
  <c r="AA43" i="21"/>
  <c r="U43" i="21"/>
  <c r="U23" i="21"/>
  <c r="S21" i="21"/>
  <c r="AB15" i="21"/>
  <c r="AC15" i="21"/>
  <c r="AC11" i="21"/>
  <c r="D48" i="35"/>
  <c r="E48" i="35" s="1"/>
  <c r="F48" i="35" s="1"/>
  <c r="G48" i="35" s="1"/>
  <c r="H48" i="35" s="1"/>
  <c r="I48" i="35" s="1"/>
  <c r="J48" i="35" s="1"/>
  <c r="K48" i="35" s="1"/>
  <c r="L48" i="35" s="1"/>
  <c r="M48" i="35" s="1"/>
  <c r="N48" i="35" s="1"/>
  <c r="O48" i="35" s="1"/>
  <c r="F7" i="35"/>
  <c r="C58" i="21"/>
  <c r="G7" i="21"/>
  <c r="I7" i="21"/>
  <c r="E7" i="21"/>
  <c r="C30" i="69"/>
  <c r="AA10" i="21"/>
  <c r="U9" i="21"/>
  <c r="AB39" i="21"/>
  <c r="U32" i="21"/>
  <c r="S32" i="21"/>
  <c r="AR10" i="1"/>
  <c r="L19" i="6"/>
  <c r="C40" i="69"/>
  <c r="L27" i="6"/>
  <c r="Q52" i="15"/>
  <c r="D19" i="12"/>
  <c r="C19" i="12" s="1"/>
  <c r="G7" i="1"/>
  <c r="G6" i="1"/>
  <c r="G8" i="1"/>
  <c r="D93" i="9"/>
  <c r="C48" i="69"/>
  <c r="E19" i="68"/>
  <c r="E19" i="11"/>
  <c r="D22" i="15"/>
  <c r="D22" i="67"/>
  <c r="G11" i="1"/>
  <c r="G9" i="1"/>
  <c r="AQ7" i="1"/>
  <c r="T10" i="1"/>
  <c r="T12" i="1"/>
  <c r="AC38" i="39"/>
  <c r="H16" i="1"/>
  <c r="BA5" i="3"/>
  <c r="AZ13" i="3"/>
  <c r="E2" i="70"/>
  <c r="T7" i="1"/>
  <c r="T11" i="1"/>
  <c r="Z7" i="43"/>
  <c r="E13" i="6"/>
  <c r="E58" i="40" s="1"/>
  <c r="K14" i="1"/>
  <c r="M14" i="1" s="1"/>
  <c r="O14" i="1" s="1"/>
  <c r="P7" i="1"/>
  <c r="Q16" i="1"/>
  <c r="T8" i="1"/>
  <c r="T9" i="1"/>
  <c r="AQ9" i="1"/>
  <c r="AE11" i="43"/>
  <c r="AF11" i="43"/>
  <c r="AF13" i="43" s="1"/>
  <c r="I101" i="43"/>
  <c r="I102" i="43"/>
  <c r="AR13" i="1"/>
  <c r="T13" i="1"/>
  <c r="F27" i="6"/>
  <c r="E51" i="40"/>
  <c r="B113" i="43"/>
  <c r="K101" i="43"/>
  <c r="N101" i="43"/>
  <c r="G101" i="43"/>
  <c r="C101" i="43"/>
  <c r="J101" i="43"/>
  <c r="N104" i="46"/>
  <c r="L101" i="43"/>
  <c r="H101" i="43"/>
  <c r="M101" i="43"/>
  <c r="E101" i="43"/>
  <c r="S2" i="43"/>
  <c r="AH11" i="43"/>
  <c r="AD11" i="43"/>
  <c r="Z11" i="43"/>
  <c r="S5" i="43"/>
  <c r="AG11" i="43"/>
  <c r="AC11" i="43"/>
  <c r="Y11" i="43"/>
  <c r="Y13" i="43" s="1"/>
  <c r="C23" i="43"/>
  <c r="C21" i="43" s="1"/>
  <c r="S4" i="43"/>
  <c r="S7" i="43"/>
  <c r="J22" i="43"/>
  <c r="E12" i="6"/>
  <c r="E11" i="6"/>
  <c r="E14" i="6"/>
  <c r="O10" i="1"/>
  <c r="P10" i="1" s="1"/>
  <c r="I105" i="43"/>
  <c r="S3" i="43"/>
  <c r="S6" i="43"/>
  <c r="AQ13" i="1"/>
  <c r="C36" i="69"/>
  <c r="AA11" i="43"/>
  <c r="AA13" i="43" s="1"/>
  <c r="AI11" i="43"/>
  <c r="AI13" i="43" s="1"/>
  <c r="AB11" i="43"/>
  <c r="AB13" i="43" s="1"/>
  <c r="AJ11" i="43"/>
  <c r="AJ13" i="43" s="1"/>
  <c r="G22" i="43"/>
  <c r="D101" i="43"/>
  <c r="H22" i="43"/>
  <c r="E65" i="39"/>
  <c r="F101" i="43"/>
  <c r="F22" i="43"/>
  <c r="U38" i="39"/>
  <c r="S11" i="39"/>
  <c r="AB11" i="39"/>
  <c r="W8" i="39"/>
  <c r="AB8" i="39"/>
  <c r="C65" i="40"/>
  <c r="D63" i="40"/>
  <c r="J7" i="37"/>
  <c r="D52" i="37"/>
  <c r="E52" i="37" s="1"/>
  <c r="F52" i="37" s="1"/>
  <c r="G52" i="37" s="1"/>
  <c r="H52" i="37" s="1"/>
  <c r="I52" i="37" s="1"/>
  <c r="J52" i="37" s="1"/>
  <c r="K52" i="37" s="1"/>
  <c r="L52" i="37" s="1"/>
  <c r="M52" i="37" s="1"/>
  <c r="N52" i="37" s="1"/>
  <c r="O52" i="37" s="1"/>
  <c r="C24" i="12"/>
  <c r="C48" i="68"/>
  <c r="C28" i="15"/>
  <c r="M59" i="34"/>
  <c r="N59" i="34" s="1"/>
  <c r="O59" i="34" s="1"/>
  <c r="F7" i="34"/>
  <c r="I14" i="74"/>
  <c r="B8" i="74" s="1"/>
  <c r="D127" i="9"/>
  <c r="D13" i="52" s="1"/>
  <c r="D12" i="52"/>
  <c r="D16" i="53"/>
  <c r="H7" i="35"/>
  <c r="D58" i="21"/>
  <c r="O12" i="1"/>
  <c r="P12" i="1" s="1"/>
  <c r="F30" i="6"/>
  <c r="E29" i="6"/>
  <c r="AZ557" i="3"/>
  <c r="M49" i="9"/>
  <c r="D124" i="9"/>
  <c r="AA7" i="35"/>
  <c r="R38" i="35" s="1"/>
  <c r="S7" i="35"/>
  <c r="O16" i="1"/>
  <c r="P6" i="1"/>
  <c r="C13" i="12" s="1"/>
  <c r="P11" i="1"/>
  <c r="O11" i="1"/>
  <c r="J7" i="35"/>
  <c r="E46" i="36"/>
  <c r="D58" i="33"/>
  <c r="E58" i="33" s="1"/>
  <c r="F58" i="33" s="1"/>
  <c r="G58" i="33" s="1"/>
  <c r="H58" i="33" s="1"/>
  <c r="I58" i="33" s="1"/>
  <c r="J58" i="33" s="1"/>
  <c r="K58" i="33" s="1"/>
  <c r="L58" i="33" s="1"/>
  <c r="M58" i="33" s="1"/>
  <c r="N58" i="33" s="1"/>
  <c r="O58" i="33" s="1"/>
  <c r="D68" i="39"/>
  <c r="C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55" i="3"/>
  <c r="E579" i="3"/>
  <c r="E569" i="3"/>
  <c r="E410" i="3"/>
  <c r="E359" i="3"/>
  <c r="E337" i="3"/>
  <c r="E285" i="3"/>
  <c r="E229" i="3"/>
  <c r="E201" i="3"/>
  <c r="E151" i="3"/>
  <c r="E353" i="3"/>
  <c r="E385" i="3"/>
  <c r="E495" i="3"/>
  <c r="E518" i="3"/>
  <c r="E16" i="3"/>
  <c r="E586" i="3"/>
  <c r="E578" i="3"/>
  <c r="E402" i="3"/>
  <c r="E423" i="3"/>
  <c r="E350" i="3"/>
  <c r="E382" i="3"/>
  <c r="E303" i="3"/>
  <c r="E263" i="3"/>
  <c r="E301" i="3"/>
  <c r="E262" i="3"/>
  <c r="E196" i="3"/>
  <c r="E136" i="3"/>
  <c r="E156" i="3"/>
  <c r="E236" i="3"/>
  <c r="E148" i="3"/>
  <c r="E269" i="3"/>
  <c r="E122" i="3"/>
  <c r="E89" i="3"/>
  <c r="E459" i="3"/>
  <c r="I3" i="6"/>
  <c r="E558" i="3"/>
  <c r="E505" i="3"/>
  <c r="E500" i="3"/>
  <c r="E554" i="3"/>
  <c r="E582" i="3"/>
  <c r="E517" i="3"/>
  <c r="E413" i="3"/>
  <c r="E435" i="3"/>
  <c r="E460" i="3"/>
  <c r="E491" i="3"/>
  <c r="E520" i="3"/>
  <c r="E417" i="3"/>
  <c r="E436" i="3"/>
  <c r="E479" i="3"/>
  <c r="E39" i="3"/>
  <c r="E56" i="3"/>
  <c r="E90" i="3"/>
  <c r="E37" i="3"/>
  <c r="E57" i="3"/>
  <c r="E95" i="3"/>
  <c r="E131" i="3"/>
  <c r="E152" i="3"/>
  <c r="E182" i="3"/>
  <c r="E126" i="3"/>
  <c r="E166" i="3"/>
  <c r="E186" i="3"/>
  <c r="E211" i="3"/>
  <c r="E272" i="3"/>
  <c r="E295" i="3"/>
  <c r="E210" i="3"/>
  <c r="E273" i="3"/>
  <c r="E291" i="3"/>
  <c r="E316" i="3"/>
  <c r="E348" i="3"/>
  <c r="E363" i="3"/>
  <c r="E378" i="3"/>
  <c r="E349" i="3"/>
  <c r="E375" i="3"/>
  <c r="E389" i="3"/>
  <c r="E504" i="3"/>
  <c r="E30" i="3"/>
  <c r="E44" i="3"/>
  <c r="E109" i="3"/>
  <c r="E110" i="3"/>
  <c r="E59" i="3"/>
  <c r="E441" i="3"/>
  <c r="E484" i="3"/>
  <c r="E425" i="3"/>
  <c r="E467" i="3"/>
  <c r="E64" i="3"/>
  <c r="E98" i="3"/>
  <c r="E65" i="3"/>
  <c r="E138" i="3"/>
  <c r="E195" i="3"/>
  <c r="E163" i="3"/>
  <c r="E248" i="3"/>
  <c r="E209" i="3"/>
  <c r="E266" i="3"/>
  <c r="E307" i="3"/>
  <c r="E386" i="3"/>
  <c r="E354" i="3"/>
  <c r="E584" i="3"/>
  <c r="E66" i="3"/>
  <c r="E24" i="3"/>
  <c r="E48" i="3"/>
  <c r="E87" i="3"/>
  <c r="E127" i="3"/>
  <c r="E184" i="3"/>
  <c r="E233" i="3"/>
  <c r="E355" i="3"/>
  <c r="E381" i="3"/>
  <c r="E51" i="3"/>
  <c r="E19" i="3"/>
  <c r="E154" i="3"/>
  <c r="E179" i="3"/>
  <c r="E222" i="3"/>
  <c r="E283" i="3"/>
  <c r="E309" i="3"/>
  <c r="E513" i="3"/>
  <c r="E21" i="3"/>
  <c r="E516" i="3"/>
  <c r="E574" i="3"/>
  <c r="E431" i="3"/>
  <c r="E396" i="3"/>
  <c r="E247" i="3"/>
  <c r="E143" i="3"/>
  <c r="E97" i="3"/>
  <c r="E397" i="3"/>
  <c r="E314" i="3"/>
  <c r="E568" i="3"/>
  <c r="E511" i="3"/>
  <c r="I6" i="3"/>
  <c r="AN6" i="3"/>
  <c r="AI6" i="3"/>
  <c r="E536" i="3"/>
  <c r="AK6" i="3"/>
  <c r="E549" i="3"/>
  <c r="E434" i="3"/>
  <c r="E453" i="3"/>
  <c r="E306" i="3"/>
  <c r="E368" i="3"/>
  <c r="E296" i="3"/>
  <c r="E244" i="3"/>
  <c r="E245"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255" i="3"/>
  <c r="E345" i="3"/>
  <c r="E374" i="3"/>
  <c r="E367" i="3"/>
  <c r="E566" i="3"/>
  <c r="AP6" i="3"/>
  <c r="E547" i="3"/>
  <c r="E581" i="3"/>
  <c r="AS6" i="3"/>
  <c r="E531" i="3"/>
  <c r="E403" i="3"/>
  <c r="E444" i="3"/>
  <c r="E476" i="3"/>
  <c r="E489" i="3"/>
  <c r="E546" i="3"/>
  <c r="E404" i="3"/>
  <c r="E447" i="3"/>
  <c r="E28" i="3"/>
  <c r="E71" i="3"/>
  <c r="E88" i="3"/>
  <c r="E27" i="3"/>
  <c r="E70" i="3"/>
  <c r="E92" i="3"/>
  <c r="E121" i="3"/>
  <c r="E162" i="3"/>
  <c r="E187" i="3"/>
  <c r="E132" i="3"/>
  <c r="E155" i="3"/>
  <c r="E192" i="3"/>
  <c r="E240" i="3"/>
  <c r="E258" i="3"/>
  <c r="E297" i="3"/>
  <c r="E241" i="3"/>
  <c r="E259" i="3"/>
  <c r="E292" i="3"/>
  <c r="E331" i="3"/>
  <c r="E377" i="3"/>
  <c r="E317" i="3"/>
  <c r="E334" i="3"/>
  <c r="E384" i="3"/>
  <c r="E572" i="3"/>
  <c r="AM6" i="3"/>
  <c r="E544" i="3"/>
  <c r="E58" i="3"/>
  <c r="E76" i="3"/>
  <c r="E29" i="3"/>
  <c r="E480" i="3"/>
  <c r="E540" i="3"/>
  <c r="E462" i="3"/>
  <c r="E521" i="3"/>
  <c r="E446" i="3"/>
  <c r="E47" i="3"/>
  <c r="E46" i="3"/>
  <c r="E103" i="3"/>
  <c r="E160" i="3"/>
  <c r="E142" i="3"/>
  <c r="E200" i="3"/>
  <c r="E267" i="3"/>
  <c r="E249" i="3"/>
  <c r="E300" i="3"/>
  <c r="E371" i="3"/>
  <c r="E310" i="3"/>
  <c r="E492" i="3"/>
  <c r="E23" i="3"/>
  <c r="E84" i="3"/>
  <c r="E67" i="3"/>
  <c r="E33" i="3"/>
  <c r="E144" i="3"/>
  <c r="E250" i="3"/>
  <c r="E284" i="3"/>
  <c r="E341" i="3"/>
  <c r="Y6" i="3"/>
  <c r="E68" i="3"/>
  <c r="E63" i="3"/>
  <c r="E81" i="3"/>
  <c r="E118" i="3"/>
  <c r="E264" i="3"/>
  <c r="E323" i="3"/>
  <c r="E373" i="3"/>
  <c r="E82" i="3"/>
  <c r="D9" i="53"/>
  <c r="B25" i="72" s="1"/>
  <c r="B24" i="72"/>
  <c r="AZ503" i="3"/>
  <c r="BL5" i="3"/>
  <c r="E557" i="3"/>
  <c r="D5" i="43"/>
  <c r="W31" i="34"/>
  <c r="AA13" i="35"/>
  <c r="AA41" i="33"/>
  <c r="S41" i="33"/>
  <c r="U23" i="34"/>
  <c r="AB23" i="34"/>
  <c r="W34" i="36"/>
  <c r="AC34" i="36"/>
  <c r="W11" i="40"/>
  <c r="AC11" i="40"/>
  <c r="P14" i="1"/>
  <c r="C34" i="69"/>
  <c r="C38" i="69" s="1"/>
  <c r="H7" i="34"/>
  <c r="F27" i="11"/>
  <c r="J7" i="34"/>
  <c r="F7" i="37"/>
  <c r="H7" i="37"/>
  <c r="U33" i="21"/>
  <c r="W17" i="21"/>
  <c r="AA28" i="34"/>
  <c r="S28" i="34"/>
  <c r="AB33" i="35"/>
  <c r="U33" i="35"/>
  <c r="AA39" i="37"/>
  <c r="S34" i="21"/>
  <c r="W33" i="33"/>
  <c r="U35" i="33"/>
  <c r="S9" i="33"/>
  <c r="W22" i="35"/>
  <c r="W8" i="36"/>
  <c r="H12" i="21"/>
  <c r="J12" i="21"/>
  <c r="J12" i="34"/>
  <c r="F12" i="35"/>
  <c r="H36" i="35"/>
  <c r="J36" i="35"/>
  <c r="AZ424" i="3"/>
  <c r="AZ429" i="3"/>
  <c r="AZ439" i="3"/>
  <c r="AZ448" i="3"/>
  <c r="AZ452" i="3"/>
  <c r="AZ461" i="3"/>
  <c r="AZ463" i="3"/>
  <c r="AZ468" i="3"/>
  <c r="AZ470" i="3"/>
  <c r="AZ479" i="3"/>
  <c r="AZ485" i="3"/>
  <c r="J9" i="34"/>
  <c r="H9" i="34"/>
  <c r="J34" i="35"/>
  <c r="H34" i="35"/>
  <c r="F34" i="35"/>
  <c r="AZ398" i="3"/>
  <c r="AZ405" i="3"/>
  <c r="AZ407" i="3"/>
  <c r="AZ410" i="3"/>
  <c r="AZ415" i="3"/>
  <c r="AZ420" i="3"/>
  <c r="AZ426" i="3"/>
  <c r="AZ472" i="3"/>
  <c r="AZ475" i="3"/>
  <c r="AZ489" i="3"/>
  <c r="C20" i="43"/>
  <c r="AC31" i="35"/>
  <c r="AZ492" i="3"/>
  <c r="AZ395" i="3"/>
  <c r="AZ208" i="3"/>
  <c r="AZ211" i="3"/>
  <c r="AZ219" i="3"/>
  <c r="AZ236" i="3"/>
  <c r="AZ252" i="3"/>
  <c r="AZ260" i="3"/>
  <c r="AZ274" i="3"/>
  <c r="AZ285" i="3"/>
  <c r="AZ293" i="3"/>
  <c r="AZ298" i="3"/>
  <c r="AZ153" i="3"/>
  <c r="AZ185" i="3"/>
  <c r="AZ207" i="3"/>
  <c r="AZ22" i="3"/>
  <c r="AZ5" i="3" s="1"/>
  <c r="AZ54" i="3"/>
  <c r="AZ57" i="3"/>
  <c r="AZ70" i="3"/>
  <c r="AZ92" i="3"/>
  <c r="T29" i="71"/>
  <c r="D29" i="71"/>
  <c r="T17" i="71"/>
  <c r="D17" i="71"/>
  <c r="AZ112" i="3"/>
  <c r="F3" i="35"/>
  <c r="C20" i="71"/>
  <c r="D19" i="71"/>
  <c r="D36" i="71"/>
  <c r="C37" i="71"/>
  <c r="D40" i="71"/>
  <c r="C41" i="71"/>
  <c r="D44" i="71"/>
  <c r="C45" i="71"/>
  <c r="D12" i="71"/>
  <c r="AA12" i="71"/>
  <c r="AB12" i="71"/>
  <c r="S13" i="71"/>
  <c r="C24" i="71"/>
  <c r="Y13" i="71"/>
  <c r="Z13" i="71" s="1"/>
  <c r="AB22" i="71"/>
  <c r="AB18" i="71"/>
  <c r="Y15" i="71"/>
  <c r="Z15" i="71" s="1"/>
  <c r="AB15" i="71"/>
  <c r="AB16" i="71"/>
  <c r="Y19" i="71"/>
  <c r="Z19" i="71" s="1"/>
  <c r="AB19" i="71"/>
  <c r="X18" i="71"/>
  <c r="X19" i="71"/>
  <c r="X20" i="71"/>
  <c r="AB20" i="71"/>
  <c r="Y23" i="71"/>
  <c r="Z23" i="71" s="1"/>
  <c r="AA24" i="71"/>
  <c r="AA22" i="71"/>
  <c r="AC12" i="43"/>
  <c r="AC10" i="43"/>
  <c r="AE12" i="43"/>
  <c r="AE13" i="43" s="1"/>
  <c r="AE10" i="43"/>
  <c r="AG12" i="43"/>
  <c r="AG13" i="43" s="1"/>
  <c r="AG10" i="43"/>
  <c r="M100" i="43"/>
  <c r="I100" i="43"/>
  <c r="E100" i="43"/>
  <c r="D100" i="43"/>
  <c r="D23" i="67"/>
  <c r="X10" i="71"/>
  <c r="X12" i="71"/>
  <c r="Y14" i="71"/>
  <c r="Z14" i="71" s="1"/>
  <c r="Y3" i="71"/>
  <c r="Z3" i="71" s="1"/>
  <c r="F15" i="71"/>
  <c r="F16" i="71" s="1"/>
  <c r="F17" i="71" s="1"/>
  <c r="V17" i="71" s="1"/>
  <c r="AA15" i="71"/>
  <c r="AA16" i="71"/>
  <c r="AA18" i="71"/>
  <c r="AA17" i="71"/>
  <c r="AI10" i="43"/>
  <c r="V53" i="71"/>
  <c r="F52" i="71"/>
  <c r="Z12" i="43"/>
  <c r="Z10" i="43"/>
  <c r="AD12" i="43"/>
  <c r="AD10" i="43"/>
  <c r="AH12" i="43"/>
  <c r="AH10" i="43"/>
  <c r="J1" i="73"/>
  <c r="Y9" i="71"/>
  <c r="Z9" i="71" s="1"/>
  <c r="Y8" i="71"/>
  <c r="Z8" i="71" s="1"/>
  <c r="AA8" i="71"/>
  <c r="AB8" i="71"/>
  <c r="Y7" i="71"/>
  <c r="Z7" i="71" s="1"/>
  <c r="AB7"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N59" i="67"/>
  <c r="L58" i="67"/>
  <c r="F68" i="15"/>
  <c r="N59" i="15"/>
  <c r="L59" i="15"/>
  <c r="L58" i="15"/>
  <c r="F65" i="15"/>
  <c r="C6" i="15"/>
  <c r="Q71" i="67"/>
  <c r="B13" i="70"/>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C16" i="67"/>
  <c r="M17" i="67"/>
  <c r="C17" i="15"/>
  <c r="C14" i="15"/>
  <c r="F31" i="67"/>
  <c r="F59" i="15"/>
  <c r="M17" i="15"/>
  <c r="F59" i="67"/>
  <c r="C14" i="67"/>
  <c r="C16" i="15"/>
  <c r="F31" i="15"/>
  <c r="C17" i="67"/>
  <c r="K4" i="4" l="1"/>
  <c r="B46" i="48" s="1"/>
  <c r="B4" i="72" s="1"/>
  <c r="G16" i="1"/>
  <c r="J10" i="40" s="1"/>
  <c r="E63" i="39"/>
  <c r="B4" i="62"/>
  <c r="B71" i="72" s="1"/>
  <c r="S32" i="39"/>
  <c r="AB32" i="39"/>
  <c r="W32" i="39"/>
  <c r="AC32" i="39"/>
  <c r="W31" i="39"/>
  <c r="AC31" i="39"/>
  <c r="AA31" i="39"/>
  <c r="S31" i="39"/>
  <c r="AB31" i="39"/>
  <c r="U31" i="39"/>
  <c r="W15" i="39"/>
  <c r="AC15" i="39"/>
  <c r="U15" i="39"/>
  <c r="AB15" i="39"/>
  <c r="S15" i="21"/>
  <c r="AA15" i="21"/>
  <c r="AD13" i="43"/>
  <c r="H6" i="3"/>
  <c r="D22" i="43"/>
  <c r="AC13" i="43"/>
  <c r="M16" i="1"/>
  <c r="L16" i="1" s="1"/>
  <c r="AC6" i="3"/>
  <c r="E27" i="6"/>
  <c r="C15" i="15"/>
  <c r="C18" i="15"/>
  <c r="I103" i="43"/>
  <c r="I104" i="43"/>
  <c r="F27" i="69"/>
  <c r="F27" i="68"/>
  <c r="F28" i="12"/>
  <c r="I107" i="43"/>
  <c r="I106" i="43"/>
  <c r="I109" i="43"/>
  <c r="D109" i="43"/>
  <c r="D105" i="43"/>
  <c r="D106" i="43"/>
  <c r="D102" i="43"/>
  <c r="D103" i="43"/>
  <c r="D104" i="43"/>
  <c r="D107" i="43"/>
  <c r="E56" i="40"/>
  <c r="E61" i="39"/>
  <c r="E16" i="6"/>
  <c r="E102" i="43"/>
  <c r="E106" i="43"/>
  <c r="E103" i="43"/>
  <c r="E109" i="43"/>
  <c r="E107" i="43"/>
  <c r="E104" i="43"/>
  <c r="E105" i="43"/>
  <c r="H102" i="43"/>
  <c r="H103" i="43"/>
  <c r="H104" i="43"/>
  <c r="H106" i="43"/>
  <c r="H109" i="43"/>
  <c r="H107" i="43"/>
  <c r="H105" i="43"/>
  <c r="C105" i="43"/>
  <c r="C106" i="43"/>
  <c r="C107" i="43"/>
  <c r="C104"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D116" i="43"/>
  <c r="E116" i="43" s="1"/>
  <c r="F116" i="43" s="1"/>
  <c r="G116" i="43" s="1"/>
  <c r="H116" i="43" s="1"/>
  <c r="B117" i="43"/>
  <c r="C117" i="43" s="1"/>
  <c r="D115" i="43"/>
  <c r="E115" i="43" s="1"/>
  <c r="F115" i="43" s="1"/>
  <c r="G115" i="43" s="1"/>
  <c r="H115" i="43" s="1"/>
  <c r="AH13" i="43"/>
  <c r="Z13" i="43"/>
  <c r="F10" i="39"/>
  <c r="S10" i="39" s="1"/>
  <c r="F31" i="6"/>
  <c r="F104" i="43"/>
  <c r="F107" i="43"/>
  <c r="F106" i="43"/>
  <c r="F105" i="43"/>
  <c r="F109" i="43"/>
  <c r="F103" i="43"/>
  <c r="F102" i="43"/>
  <c r="E59" i="40"/>
  <c r="E64" i="39"/>
  <c r="E57" i="40"/>
  <c r="E62" i="39"/>
  <c r="M109" i="43"/>
  <c r="M102" i="43"/>
  <c r="M106" i="43"/>
  <c r="M103" i="43"/>
  <c r="M104" i="43"/>
  <c r="M105" i="43"/>
  <c r="M107" i="43"/>
  <c r="L106" i="43"/>
  <c r="L107" i="43"/>
  <c r="L103" i="43"/>
  <c r="L109" i="43"/>
  <c r="L102" i="43"/>
  <c r="L105" i="43"/>
  <c r="L104" i="43"/>
  <c r="J105" i="43"/>
  <c r="J103" i="43"/>
  <c r="J109" i="43"/>
  <c r="J104" i="43"/>
  <c r="J102" i="43"/>
  <c r="J107" i="43"/>
  <c r="J106" i="43"/>
  <c r="G103" i="43"/>
  <c r="G106" i="43"/>
  <c r="G105" i="43"/>
  <c r="G104" i="43"/>
  <c r="G102" i="43"/>
  <c r="G107" i="43"/>
  <c r="G109" i="43"/>
  <c r="K103" i="43"/>
  <c r="K107" i="43"/>
  <c r="K104" i="43"/>
  <c r="K105" i="43"/>
  <c r="K109" i="43"/>
  <c r="K102" i="43"/>
  <c r="K106" i="43"/>
  <c r="C35" i="69"/>
  <c r="J7" i="33"/>
  <c r="W7" i="37"/>
  <c r="AC7" i="37"/>
  <c r="V42" i="37" s="1"/>
  <c r="I42" i="37" s="1"/>
  <c r="I46" i="37" s="1"/>
  <c r="J46" i="37" s="1"/>
  <c r="E63" i="40"/>
  <c r="D65" i="40"/>
  <c r="H7" i="33"/>
  <c r="U7" i="33" s="1"/>
  <c r="H10" i="40"/>
  <c r="F10" i="40"/>
  <c r="J10" i="39"/>
  <c r="AY6" i="3"/>
  <c r="E3" i="6"/>
  <c r="T45" i="71"/>
  <c r="D45" i="71"/>
  <c r="T41" i="71"/>
  <c r="D41" i="71"/>
  <c r="T37" i="71"/>
  <c r="D37" i="71"/>
  <c r="AA34" i="35"/>
  <c r="S34" i="35"/>
  <c r="AC34" i="35"/>
  <c r="W34" i="35"/>
  <c r="AC9" i="34"/>
  <c r="W9" i="34"/>
  <c r="W36" i="35"/>
  <c r="AC36" i="35"/>
  <c r="S12" i="35"/>
  <c r="AA12" i="35"/>
  <c r="AC12" i="21"/>
  <c r="W12" i="21"/>
  <c r="AB7" i="37"/>
  <c r="T42" i="37" s="1"/>
  <c r="G42" i="37" s="1"/>
  <c r="U7" i="37"/>
  <c r="AA7" i="37"/>
  <c r="R42" i="37" s="1"/>
  <c r="S7" i="37"/>
  <c r="W7" i="34"/>
  <c r="AC7" i="34"/>
  <c r="V49" i="34" s="1"/>
  <c r="I49" i="34" s="1"/>
  <c r="C47" i="11"/>
  <c r="D45" i="11" s="1"/>
  <c r="E6" i="3"/>
  <c r="F7" i="33"/>
  <c r="F46" i="36"/>
  <c r="P16" i="1"/>
  <c r="C11" i="12" s="1"/>
  <c r="D10" i="52"/>
  <c r="D125" i="9"/>
  <c r="D11" i="52" s="1"/>
  <c r="H14" i="74"/>
  <c r="B7" i="74" s="1"/>
  <c r="E58" i="21"/>
  <c r="U7" i="35"/>
  <c r="AB7" i="35"/>
  <c r="T38" i="35" s="1"/>
  <c r="G38" i="35" s="1"/>
  <c r="F51" i="71"/>
  <c r="Q52" i="71"/>
  <c r="D24" i="71"/>
  <c r="C25" i="71"/>
  <c r="D20" i="71"/>
  <c r="C21" i="71"/>
  <c r="AB34" i="35"/>
  <c r="U34" i="35"/>
  <c r="AB9" i="34"/>
  <c r="U9" i="34"/>
  <c r="AB36" i="35"/>
  <c r="U36" i="35"/>
  <c r="W12" i="34"/>
  <c r="AC12" i="34"/>
  <c r="AB12" i="21"/>
  <c r="U12" i="21"/>
  <c r="AC10" i="40"/>
  <c r="W10" i="40"/>
  <c r="AB7" i="34"/>
  <c r="T49" i="34" s="1"/>
  <c r="G49" i="34" s="1"/>
  <c r="U7" i="34"/>
  <c r="D70" i="39"/>
  <c r="E68" i="39"/>
  <c r="W7" i="33"/>
  <c r="AC7" i="33"/>
  <c r="V48" i="33" s="1"/>
  <c r="I48" i="33" s="1"/>
  <c r="W7" i="35"/>
  <c r="AC7" i="35"/>
  <c r="V38" i="35" s="1"/>
  <c r="I38" i="35" s="1"/>
  <c r="R39" i="35"/>
  <c r="E38" i="35"/>
  <c r="L65" i="9"/>
  <c r="M65" i="9" s="1"/>
  <c r="L64" i="9"/>
  <c r="M64" i="9" s="1"/>
  <c r="L67" i="9"/>
  <c r="M67" i="9" s="1"/>
  <c r="L68" i="9"/>
  <c r="M68" i="9" s="1"/>
  <c r="L66" i="9"/>
  <c r="M66" i="9" s="1"/>
  <c r="L63" i="9"/>
  <c r="M63" i="9" s="1"/>
  <c r="M69" i="9" s="1"/>
  <c r="N69" i="9" s="1"/>
  <c r="E30" i="6"/>
  <c r="E31" i="6" s="1"/>
  <c r="K15" i="1"/>
  <c r="K16" i="1" s="1"/>
  <c r="B34" i="72"/>
  <c r="D17" i="53"/>
  <c r="B36" i="72" s="1"/>
  <c r="S7" i="34"/>
  <c r="AA7" i="34"/>
  <c r="R49" i="34" s="1"/>
  <c r="C5" i="71"/>
  <c r="D6" i="71"/>
  <c r="P25" i="43"/>
  <c r="C49" i="67"/>
  <c r="C49" i="15"/>
  <c r="C18" i="67"/>
  <c r="C15" i="67"/>
  <c r="M11" i="15"/>
  <c r="J10" i="15" s="1"/>
  <c r="J5" i="15" s="1"/>
  <c r="F11" i="67"/>
  <c r="F11" i="15"/>
  <c r="M11" i="67"/>
  <c r="J10" i="67" s="1"/>
  <c r="J5" i="67" s="1"/>
  <c r="Q73" i="67"/>
  <c r="Q60" i="67"/>
  <c r="B2" i="70"/>
  <c r="B3" i="70" s="1"/>
  <c r="Q60" i="15"/>
  <c r="Q73" i="15"/>
  <c r="Q74" i="15"/>
  <c r="Q61" i="15"/>
  <c r="Q61" i="67"/>
  <c r="Q74" i="67"/>
  <c r="D5" i="73"/>
  <c r="D6" i="73"/>
  <c r="D4" i="73"/>
  <c r="D3" i="73"/>
  <c r="D7" i="73"/>
  <c r="AB7" i="33" l="1"/>
  <c r="T48" i="33" s="1"/>
  <c r="G48" i="33" s="1"/>
  <c r="H10" i="39"/>
  <c r="AA10" i="39"/>
  <c r="C19" i="15"/>
  <c r="C20" i="15" s="1"/>
  <c r="C26" i="15" s="1"/>
  <c r="K26" i="6"/>
  <c r="M26" i="6" s="1"/>
  <c r="I26" i="6" s="1"/>
  <c r="S26" i="6" s="1"/>
  <c r="K20" i="6"/>
  <c r="M20" i="6" s="1"/>
  <c r="I20" i="6" s="1"/>
  <c r="S20" i="6" s="1"/>
  <c r="K19" i="6"/>
  <c r="S6" i="1" s="1"/>
  <c r="K24" i="6"/>
  <c r="M24" i="6" s="1"/>
  <c r="I24" i="6" s="1"/>
  <c r="S24" i="6" s="1"/>
  <c r="K23" i="6"/>
  <c r="M23" i="6" s="1"/>
  <c r="I23" i="6" s="1"/>
  <c r="S23" i="6" s="1"/>
  <c r="K21" i="6"/>
  <c r="M21" i="6" s="1"/>
  <c r="I21" i="6" s="1"/>
  <c r="S21" i="6" s="1"/>
  <c r="K25" i="6"/>
  <c r="M25" i="6" s="1"/>
  <c r="I25" i="6" s="1"/>
  <c r="S25" i="6" s="1"/>
  <c r="K22" i="6"/>
  <c r="M22" i="6" s="1"/>
  <c r="I22" i="6" s="1"/>
  <c r="S22" i="6" s="1"/>
  <c r="N16" i="1"/>
  <c r="C47" i="68"/>
  <c r="D45" i="68" s="1"/>
  <c r="C47" i="69"/>
  <c r="D45" i="69" s="1"/>
  <c r="C29" i="69"/>
  <c r="D27" i="69" s="1"/>
  <c r="C115" i="43"/>
  <c r="D113" i="43" s="1"/>
  <c r="E66" i="39"/>
  <c r="AA10" i="40"/>
  <c r="S10" i="40"/>
  <c r="F63" i="40"/>
  <c r="E65" i="40"/>
  <c r="AC10" i="39"/>
  <c r="W10" i="39"/>
  <c r="U10" i="40"/>
  <c r="AB10" i="40"/>
  <c r="K1" i="73"/>
  <c r="E20" i="43"/>
  <c r="E49" i="34"/>
  <c r="R50" i="34"/>
  <c r="E43" i="35"/>
  <c r="F43" i="35" s="1"/>
  <c r="E42" i="35"/>
  <c r="F42" i="35" s="1"/>
  <c r="I42" i="35"/>
  <c r="J42" i="35" s="1"/>
  <c r="I43" i="35"/>
  <c r="J43" i="35" s="1"/>
  <c r="I52" i="33"/>
  <c r="J52" i="33" s="1"/>
  <c r="G52" i="33"/>
  <c r="H52" i="33" s="1"/>
  <c r="G53" i="33"/>
  <c r="H53" i="33" s="1"/>
  <c r="F68" i="39"/>
  <c r="E70" i="39"/>
  <c r="Q51" i="71"/>
  <c r="Q50" i="71"/>
  <c r="C15" i="12"/>
  <c r="C12" i="12"/>
  <c r="AA7" i="33"/>
  <c r="R48" i="33" s="1"/>
  <c r="S7" i="33"/>
  <c r="R43" i="37"/>
  <c r="E42" i="37"/>
  <c r="G47" i="37"/>
  <c r="H47" i="37" s="1"/>
  <c r="G46" i="37"/>
  <c r="H46" i="37" s="1"/>
  <c r="D3" i="34"/>
  <c r="D3" i="33"/>
  <c r="E6" i="6"/>
  <c r="C17" i="4"/>
  <c r="B4" i="52" s="1"/>
  <c r="B43" i="72" s="1"/>
  <c r="L18" i="9"/>
  <c r="D3" i="37"/>
  <c r="D3" i="21"/>
  <c r="D19" i="11"/>
  <c r="C19" i="11" s="1"/>
  <c r="D37" i="11"/>
  <c r="D14" i="12"/>
  <c r="M18" i="9"/>
  <c r="B118" i="9" s="1"/>
  <c r="B14" i="74" s="1"/>
  <c r="B1" i="74" s="1"/>
  <c r="C8" i="74" s="1"/>
  <c r="C39" i="35"/>
  <c r="B2" i="35" s="1"/>
  <c r="B3" i="35" s="1"/>
  <c r="C38" i="35"/>
  <c r="G53" i="34"/>
  <c r="H53" i="34" s="1"/>
  <c r="G54" i="34"/>
  <c r="H54" i="34" s="1"/>
  <c r="T21" i="71"/>
  <c r="D21" i="71"/>
  <c r="T25" i="71"/>
  <c r="D25" i="71"/>
  <c r="G42" i="35"/>
  <c r="H42" i="35" s="1"/>
  <c r="G43" i="35"/>
  <c r="H43" i="35" s="1"/>
  <c r="F58" i="21"/>
  <c r="C7" i="74"/>
  <c r="G46" i="36"/>
  <c r="I53" i="34"/>
  <c r="J53" i="34" s="1"/>
  <c r="I54" i="34"/>
  <c r="J54" i="3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57" i="3"/>
  <c r="AY126" i="3"/>
  <c r="AY117" i="3"/>
  <c r="AY302" i="3"/>
  <c r="AY271" i="3"/>
  <c r="AY239" i="3"/>
  <c r="AY254" i="3"/>
  <c r="AY238" i="3"/>
  <c r="AY227" i="3"/>
  <c r="AY384" i="3"/>
  <c r="AY373" i="3"/>
  <c r="AY368" i="3"/>
  <c r="AY507" i="3"/>
  <c r="BB6" i="3"/>
  <c r="AY88" i="3"/>
  <c r="AY72" i="3"/>
  <c r="AY40" i="3"/>
  <c r="AY186" i="3"/>
  <c r="AY150" i="3"/>
  <c r="AY161" i="3"/>
  <c r="AY121" i="3"/>
  <c r="AY275" i="3"/>
  <c r="AY258" i="3"/>
  <c r="AY215" i="3"/>
  <c r="AY370" i="3"/>
  <c r="AY341" i="3"/>
  <c r="AY309" i="3"/>
  <c r="AY340" i="3"/>
  <c r="AY308" i="3"/>
  <c r="AY467" i="3"/>
  <c r="AY464" i="3"/>
  <c r="AY449" i="3"/>
  <c r="AY438" i="3"/>
  <c r="AY406" i="3"/>
  <c r="AY419" i="3"/>
  <c r="AY403" i="3"/>
  <c r="AY525" i="3"/>
  <c r="AY516" i="3"/>
  <c r="BN6" i="3"/>
  <c r="AY536" i="3"/>
  <c r="AY269" i="3"/>
  <c r="AY574" i="3"/>
  <c r="AY85" i="3"/>
  <c r="AY68" i="3"/>
  <c r="AY25" i="3"/>
  <c r="AY182" i="3"/>
  <c r="AY162" i="3"/>
  <c r="AY173" i="3"/>
  <c r="AY141" i="3"/>
  <c r="AY134" i="3"/>
  <c r="AY291" i="3"/>
  <c r="AY286" i="3"/>
  <c r="AY255" i="3"/>
  <c r="AY270" i="3"/>
  <c r="AY222" i="3"/>
  <c r="AY211" i="3"/>
  <c r="AY389" i="3"/>
  <c r="AY365" i="3"/>
  <c r="BS6" i="3"/>
  <c r="BI6" i="3"/>
  <c r="AY93" i="3"/>
  <c r="AY57" i="3"/>
  <c r="AY29" i="3"/>
  <c r="AY181" i="3"/>
  <c r="AY130" i="3"/>
  <c r="AY279" i="3"/>
  <c r="AY243" i="3"/>
  <c r="AY226" i="3"/>
  <c r="AY393" i="3"/>
  <c r="AY356" i="3"/>
  <c r="AY325" i="3"/>
  <c r="AY324" i="3"/>
  <c r="AY483" i="3"/>
  <c r="AY480" i="3"/>
  <c r="AY454" i="3"/>
  <c r="AY422" i="3"/>
  <c r="AY435" i="3"/>
  <c r="AY503" i="3"/>
  <c r="AY580" i="3"/>
  <c r="AY572"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5" i="71"/>
  <c r="M20" i="43" s="1"/>
  <c r="C19" i="43" s="1"/>
  <c r="C19" i="67"/>
  <c r="C20" i="67" s="1"/>
  <c r="C26" i="67" s="1"/>
  <c r="J24" i="67"/>
  <c r="J26" i="67"/>
  <c r="J29" i="67" s="1"/>
  <c r="J18" i="67"/>
  <c r="C53" i="67"/>
  <c r="C48" i="67" s="1"/>
  <c r="C10" i="67"/>
  <c r="C5" i="67" s="1"/>
  <c r="J24" i="15"/>
  <c r="J18" i="15"/>
  <c r="J26" i="15"/>
  <c r="J29" i="15" s="1"/>
  <c r="C53" i="15"/>
  <c r="C48" i="15" s="1"/>
  <c r="C10" i="15"/>
  <c r="C5" i="15" s="1"/>
  <c r="G1" i="73"/>
  <c r="AB10" i="39" l="1"/>
  <c r="U10" i="39"/>
  <c r="AQ6" i="1"/>
  <c r="AR6" i="1"/>
  <c r="T6" i="1"/>
  <c r="T16" i="1" s="1"/>
  <c r="S16" i="1"/>
  <c r="K27" i="6"/>
  <c r="M19" i="6"/>
  <c r="G63" i="40"/>
  <c r="F65" i="40"/>
  <c r="B40" i="1"/>
  <c r="D17" i="12"/>
  <c r="C17" i="12" s="1"/>
  <c r="C20" i="11"/>
  <c r="E47" i="37"/>
  <c r="F47" i="37" s="1"/>
  <c r="E46" i="37"/>
  <c r="F46" i="37" s="1"/>
  <c r="I47" i="37"/>
  <c r="J47" i="37" s="1"/>
  <c r="R49" i="33"/>
  <c r="E48" i="33"/>
  <c r="G68" i="39"/>
  <c r="F70" i="39"/>
  <c r="E54" i="34"/>
  <c r="F54" i="34" s="1"/>
  <c r="E53" i="34"/>
  <c r="F53" i="34" s="1"/>
  <c r="P17" i="43"/>
  <c r="N17" i="43"/>
  <c r="M17" i="43"/>
  <c r="O17" i="43"/>
  <c r="D25" i="6"/>
  <c r="D15" i="6"/>
  <c r="D22" i="6"/>
  <c r="D21" i="6"/>
  <c r="D24" i="6"/>
  <c r="D20" i="6"/>
  <c r="D6" i="6"/>
  <c r="D9" i="6"/>
  <c r="D10" i="6"/>
  <c r="L19" i="9"/>
  <c r="D29" i="6"/>
  <c r="H25" i="6"/>
  <c r="H22" i="6"/>
  <c r="H21" i="6"/>
  <c r="H24" i="6"/>
  <c r="M19" i="9"/>
  <c r="C118" i="9" s="1"/>
  <c r="C14" i="74" s="1"/>
  <c r="D26" i="6"/>
  <c r="D8" i="6"/>
  <c r="D14" i="6"/>
  <c r="D12" i="6"/>
  <c r="D13" i="6"/>
  <c r="E61" i="40"/>
  <c r="H23" i="6"/>
  <c r="H20" i="6"/>
  <c r="D19" i="6"/>
  <c r="C18" i="4"/>
  <c r="D23" i="6"/>
  <c r="D5" i="6"/>
  <c r="D11" i="6"/>
  <c r="D28" i="6"/>
  <c r="H26" i="6"/>
  <c r="H46" i="36"/>
  <c r="G58" i="21"/>
  <c r="D10" i="11"/>
  <c r="C10" i="11" s="1"/>
  <c r="D20" i="12"/>
  <c r="C20" i="12" s="1"/>
  <c r="C18" i="12" s="1"/>
  <c r="D10" i="69"/>
  <c r="D10" i="68"/>
  <c r="C43" i="37"/>
  <c r="B2" i="37" s="1"/>
  <c r="B3" i="37" s="1"/>
  <c r="C42" i="37"/>
  <c r="C49" i="34"/>
  <c r="C50" i="34"/>
  <c r="B2" i="34" s="1"/>
  <c r="B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38" i="67"/>
  <c r="C32" i="67"/>
  <c r="D30" i="6" l="1"/>
  <c r="C28" i="11"/>
  <c r="C27" i="11" s="1"/>
  <c r="B23" i="1"/>
  <c r="B24" i="1"/>
  <c r="C29" i="11"/>
  <c r="D27" i="11" s="1"/>
  <c r="C29" i="68"/>
  <c r="D27" i="68" s="1"/>
  <c r="R23" i="6"/>
  <c r="D16" i="6"/>
  <c r="I19" i="6"/>
  <c r="M27" i="6"/>
  <c r="R25" i="6"/>
  <c r="H63" i="40"/>
  <c r="G65" i="40"/>
  <c r="H58" i="21"/>
  <c r="D27" i="6"/>
  <c r="D31" i="6" s="1"/>
  <c r="R24" i="6"/>
  <c r="R22" i="6"/>
  <c r="H68" i="39"/>
  <c r="G70" i="39"/>
  <c r="C48" i="33"/>
  <c r="C49" i="33"/>
  <c r="B2" i="33" s="1"/>
  <c r="B3" i="33" s="1"/>
  <c r="C10" i="68"/>
  <c r="D19" i="68"/>
  <c r="C10" i="69"/>
  <c r="C8" i="69" s="1"/>
  <c r="C5" i="69" s="1"/>
  <c r="D19" i="69"/>
  <c r="I46" i="36"/>
  <c r="A7" i="51"/>
  <c r="B7" i="72" s="1"/>
  <c r="C4" i="52"/>
  <c r="B45" i="72" s="1"/>
  <c r="A10" i="51"/>
  <c r="B9" i="72" s="1"/>
  <c r="R26" i="6"/>
  <c r="R20" i="6"/>
  <c r="R21" i="6"/>
  <c r="E53" i="33"/>
  <c r="F53" i="33" s="1"/>
  <c r="E52" i="33"/>
  <c r="F52" i="33" s="1"/>
  <c r="I53" i="33"/>
  <c r="J53" i="33" s="1"/>
  <c r="F24" i="67"/>
  <c r="F22" i="11"/>
  <c r="F25" i="12"/>
  <c r="F22" i="68"/>
  <c r="F22" i="69"/>
  <c r="F24" i="15"/>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F34" i="11" l="1"/>
  <c r="F11" i="12"/>
  <c r="F34" i="68"/>
  <c r="M59" i="67"/>
  <c r="M59" i="15"/>
  <c r="C29" i="12"/>
  <c r="D28" i="12" s="1"/>
  <c r="F50" i="69"/>
  <c r="F50" i="68"/>
  <c r="F50" i="11"/>
  <c r="C26" i="12"/>
  <c r="D25" i="12" s="1"/>
  <c r="I27" i="6"/>
  <c r="H19" i="6"/>
  <c r="S19" i="6"/>
  <c r="S27" i="6" s="1"/>
  <c r="I63" i="40"/>
  <c r="H65" i="40"/>
  <c r="C24" i="15"/>
  <c r="C23" i="15"/>
  <c r="C26" i="68"/>
  <c r="D22" i="68" s="1"/>
  <c r="C44" i="68"/>
  <c r="D41" i="68" s="1"/>
  <c r="C44" i="11"/>
  <c r="D41" i="11" s="1"/>
  <c r="C24" i="11"/>
  <c r="C26" i="11"/>
  <c r="D22" i="11" s="1"/>
  <c r="C23" i="11"/>
  <c r="C25" i="11"/>
  <c r="C23" i="69"/>
  <c r="C26" i="69"/>
  <c r="D22" i="69" s="1"/>
  <c r="C44" i="69"/>
  <c r="D41" i="69" s="1"/>
  <c r="C24" i="67"/>
  <c r="C23" i="67"/>
  <c r="J46" i="36"/>
  <c r="C19" i="69"/>
  <c r="C24" i="69" s="1"/>
  <c r="D37" i="69"/>
  <c r="C37" i="69" s="1"/>
  <c r="C33" i="69" s="1"/>
  <c r="C19" i="68"/>
  <c r="D37" i="68"/>
  <c r="H70" i="39"/>
  <c r="I68" i="39"/>
  <c r="I6" i="6"/>
  <c r="I5" i="6"/>
  <c r="I58" i="21"/>
  <c r="C26" i="43"/>
  <c r="B2" i="43" s="1"/>
  <c r="C27" i="43"/>
  <c r="E6" i="76"/>
  <c r="B6" i="76"/>
  <c r="C37" i="68" l="1"/>
  <c r="C14" i="12"/>
  <c r="C16" i="12" s="1"/>
  <c r="C21" i="12" s="1"/>
  <c r="C22" i="12" s="1"/>
  <c r="C36" i="68"/>
  <c r="C34" i="68"/>
  <c r="C36" i="11"/>
  <c r="C34" i="11"/>
  <c r="C37" i="11"/>
  <c r="H27" i="6"/>
  <c r="R19" i="6"/>
  <c r="J63" i="40"/>
  <c r="I65" i="40"/>
  <c r="C29" i="15"/>
  <c r="C36" i="15" s="1"/>
  <c r="J68" i="39"/>
  <c r="I70" i="39"/>
  <c r="C39" i="69"/>
  <c r="C42" i="69"/>
  <c r="K46" i="36"/>
  <c r="Q49" i="15"/>
  <c r="J58" i="21"/>
  <c r="C24" i="68"/>
  <c r="C29" i="67"/>
  <c r="C20" i="69"/>
  <c r="C25" i="69" s="1"/>
  <c r="C22" i="69" s="1"/>
  <c r="C22" i="11"/>
  <c r="C31" i="11" s="1"/>
  <c r="E2" i="76"/>
  <c r="B2" i="76"/>
  <c r="B3" i="43"/>
  <c r="C38" i="11" l="1"/>
  <c r="C35" i="11"/>
  <c r="C38" i="68"/>
  <c r="C35" i="68"/>
  <c r="R27" i="6"/>
  <c r="R6" i="1"/>
  <c r="R16" i="1" s="1"/>
  <c r="J19" i="15"/>
  <c r="J17" i="15" s="1"/>
  <c r="C57" i="15"/>
  <c r="C61" i="15" s="1"/>
  <c r="C59" i="15" s="1"/>
  <c r="J14" i="15"/>
  <c r="J22" i="15" s="1"/>
  <c r="C13" i="15"/>
  <c r="Q70" i="15" s="1"/>
  <c r="C33" i="15"/>
  <c r="C31" i="15" s="1"/>
  <c r="J59" i="15"/>
  <c r="J60" i="15" s="1"/>
  <c r="Q48" i="15" s="1"/>
  <c r="J65" i="40"/>
  <c r="K63" i="40"/>
  <c r="C33" i="67"/>
  <c r="C31" i="67" s="1"/>
  <c r="C57" i="67"/>
  <c r="J19" i="67"/>
  <c r="J17" i="67" s="1"/>
  <c r="C36" i="67"/>
  <c r="J59" i="67"/>
  <c r="J60" i="67" s="1"/>
  <c r="J14" i="67"/>
  <c r="C13" i="67"/>
  <c r="Q49" i="67"/>
  <c r="C28" i="69"/>
  <c r="C27" i="69" s="1"/>
  <c r="C31" i="69" s="1"/>
  <c r="L46" i="36"/>
  <c r="C46" i="69"/>
  <c r="C45" i="69" s="1"/>
  <c r="C43" i="69"/>
  <c r="C41" i="69" s="1"/>
  <c r="K58" i="21"/>
  <c r="J13" i="15"/>
  <c r="J23" i="15" s="1"/>
  <c r="J70" i="39"/>
  <c r="K68" i="39"/>
  <c r="B3" i="76"/>
  <c r="C33" i="11" l="1"/>
  <c r="C39" i="11" s="1"/>
  <c r="C33" i="68"/>
  <c r="C42" i="68" s="1"/>
  <c r="C64" i="15"/>
  <c r="C56" i="15"/>
  <c r="C65" i="15" s="1"/>
  <c r="L46" i="15"/>
  <c r="C37" i="15"/>
  <c r="C30" i="15" s="1"/>
  <c r="C39" i="15" s="1"/>
  <c r="Q69" i="15" s="1"/>
  <c r="Q68" i="15" s="1"/>
  <c r="C75" i="15"/>
  <c r="J16" i="15"/>
  <c r="J25" i="15" s="1"/>
  <c r="C49" i="69"/>
  <c r="C51" i="69" s="1"/>
  <c r="C52" i="69" s="1"/>
  <c r="B2" i="69" s="1"/>
  <c r="B3" i="69" s="1"/>
  <c r="L63" i="40"/>
  <c r="K65" i="40"/>
  <c r="C37" i="67"/>
  <c r="C30" i="67" s="1"/>
  <c r="C39" i="67" s="1"/>
  <c r="C56" i="67"/>
  <c r="C65" i="67" s="1"/>
  <c r="C75" i="67"/>
  <c r="Q70" i="67"/>
  <c r="L46" i="67"/>
  <c r="Q48" i="67"/>
  <c r="L68" i="39"/>
  <c r="K70" i="39"/>
  <c r="L58" i="21"/>
  <c r="M46" i="36"/>
  <c r="J22" i="67"/>
  <c r="J13" i="67"/>
  <c r="J23" i="67" s="1"/>
  <c r="C61" i="67"/>
  <c r="C59" i="67" s="1"/>
  <c r="C64" i="67"/>
  <c r="L51" i="15"/>
  <c r="C80" i="67" l="1"/>
  <c r="C79" i="67" s="1"/>
  <c r="C42" i="11"/>
  <c r="C39" i="68"/>
  <c r="C43" i="68" s="1"/>
  <c r="C41" i="68" s="1"/>
  <c r="C46" i="11"/>
  <c r="C45" i="11" s="1"/>
  <c r="C43" i="11"/>
  <c r="C58" i="15"/>
  <c r="C67" i="15" s="1"/>
  <c r="C68" i="15" s="1"/>
  <c r="C71" i="15" s="1"/>
  <c r="C40" i="15"/>
  <c r="Q47" i="15" s="1"/>
  <c r="Q53" i="15" s="1"/>
  <c r="C80" i="15"/>
  <c r="C79" i="15" s="1"/>
  <c r="J16" i="67"/>
  <c r="J25" i="67" s="1"/>
  <c r="L65" i="40"/>
  <c r="M63" i="40"/>
  <c r="C57" i="69"/>
  <c r="C56" i="69" s="1"/>
  <c r="L57" i="15"/>
  <c r="L60" i="15" s="1"/>
  <c r="Q67" i="15"/>
  <c r="M58" i="21"/>
  <c r="N58" i="21" s="1"/>
  <c r="O58" i="21" s="1"/>
  <c r="Q69" i="67"/>
  <c r="Q68" i="67" s="1"/>
  <c r="C40" i="67"/>
  <c r="C58" i="67"/>
  <c r="C67" i="67" s="1"/>
  <c r="C68" i="67" s="1"/>
  <c r="N46" i="36"/>
  <c r="O46" i="36" s="1"/>
  <c r="L70" i="39"/>
  <c r="M68" i="39"/>
  <c r="L51" i="67"/>
  <c r="H7" i="36" l="1"/>
  <c r="AB7" i="36" s="1"/>
  <c r="T36" i="36" s="1"/>
  <c r="G36" i="36" s="1"/>
  <c r="B2" i="15"/>
  <c r="B3" i="15" s="1"/>
  <c r="C41" i="11"/>
  <c r="C49" i="11" s="1"/>
  <c r="C51" i="11" s="1"/>
  <c r="C52" i="11" s="1"/>
  <c r="B2" i="11" s="1"/>
  <c r="B3" i="11" s="1"/>
  <c r="C46" i="68"/>
  <c r="C45" i="68" s="1"/>
  <c r="C49" i="68" s="1"/>
  <c r="C51" i="68" s="1"/>
  <c r="Q56" i="15"/>
  <c r="C46" i="15"/>
  <c r="C83" i="15"/>
  <c r="C82" i="15" s="1"/>
  <c r="C43" i="15"/>
  <c r="Q65" i="15"/>
  <c r="M65" i="40"/>
  <c r="N63" i="40"/>
  <c r="J7" i="21"/>
  <c r="AC7" i="21" s="1"/>
  <c r="V48" i="21" s="1"/>
  <c r="I48" i="21" s="1"/>
  <c r="L57" i="67"/>
  <c r="L60" i="67" s="1"/>
  <c r="Q67" i="67"/>
  <c r="U7" i="36"/>
  <c r="C45" i="67"/>
  <c r="C46" i="67" s="1"/>
  <c r="C71" i="67"/>
  <c r="N68" i="39"/>
  <c r="M70" i="39"/>
  <c r="F7" i="36"/>
  <c r="J7" i="36"/>
  <c r="Q47" i="67"/>
  <c r="Q53" i="67" s="1"/>
  <c r="C43" i="67"/>
  <c r="C83" i="67"/>
  <c r="C82" i="67" s="1"/>
  <c r="Q65" i="67"/>
  <c r="Q56" i="67"/>
  <c r="D2" i="67"/>
  <c r="H7" i="21"/>
  <c r="F7" i="21"/>
  <c r="Q66" i="15"/>
  <c r="Q57" i="15"/>
  <c r="Q75" i="15" l="1"/>
  <c r="W7" i="21"/>
  <c r="C56" i="11"/>
  <c r="C57" i="11" s="1"/>
  <c r="Q62" i="15"/>
  <c r="N65" i="40"/>
  <c r="O63" i="40"/>
  <c r="O65" i="40" s="1"/>
  <c r="AB7" i="21"/>
  <c r="T48" i="21" s="1"/>
  <c r="G48" i="21" s="1"/>
  <c r="U7" i="21"/>
  <c r="AC7" i="36"/>
  <c r="V36" i="36" s="1"/>
  <c r="I36" i="36" s="1"/>
  <c r="G41" i="36" s="1"/>
  <c r="H41" i="36" s="1"/>
  <c r="W7" i="36"/>
  <c r="G40" i="36"/>
  <c r="H40" i="36" s="1"/>
  <c r="S7" i="21"/>
  <c r="AA7" i="21"/>
  <c r="R48" i="21" s="1"/>
  <c r="B2" i="67"/>
  <c r="B3" i="67"/>
  <c r="S7" i="36"/>
  <c r="AA7" i="36"/>
  <c r="R36" i="36" s="1"/>
  <c r="N70" i="39"/>
  <c r="O68" i="39"/>
  <c r="O70" i="39" s="1"/>
  <c r="I52" i="21"/>
  <c r="J52" i="21" s="1"/>
  <c r="Q57" i="67"/>
  <c r="Q62" i="67" s="1"/>
  <c r="Q66" i="67"/>
  <c r="Q75" i="67" s="1"/>
  <c r="J7" i="40" l="1"/>
  <c r="H7" i="40"/>
  <c r="F7" i="40"/>
  <c r="J7" i="39"/>
  <c r="H7" i="39"/>
  <c r="F7" i="39"/>
  <c r="R37" i="36"/>
  <c r="E36" i="36"/>
  <c r="R49" i="21"/>
  <c r="E48" i="21"/>
  <c r="I40" i="36"/>
  <c r="J40" i="36" s="1"/>
  <c r="I41" i="36"/>
  <c r="J41" i="36" s="1"/>
  <c r="G52" i="21"/>
  <c r="H52" i="21" s="1"/>
  <c r="G53" i="21"/>
  <c r="H53" i="21" s="1"/>
  <c r="U7" i="40" l="1"/>
  <c r="AB7" i="40"/>
  <c r="T42" i="40" s="1"/>
  <c r="G42" i="40" s="1"/>
  <c r="S7" i="40"/>
  <c r="AA7" i="40"/>
  <c r="R42" i="40" s="1"/>
  <c r="W7" i="40"/>
  <c r="AC7" i="40"/>
  <c r="V42" i="40" s="1"/>
  <c r="I42" i="40" s="1"/>
  <c r="E52" i="21"/>
  <c r="F52" i="21" s="1"/>
  <c r="E53" i="21"/>
  <c r="F53" i="21" s="1"/>
  <c r="I53" i="21"/>
  <c r="J53" i="21" s="1"/>
  <c r="E40" i="36"/>
  <c r="F40" i="36" s="1"/>
  <c r="E41" i="36"/>
  <c r="F41" i="36" s="1"/>
  <c r="C49" i="21"/>
  <c r="B2" i="21" s="1"/>
  <c r="C48" i="21"/>
  <c r="C37" i="36"/>
  <c r="B2" i="36" s="1"/>
  <c r="B3" i="36" s="1"/>
  <c r="C36" i="36"/>
  <c r="AB7" i="39"/>
  <c r="T47" i="39" s="1"/>
  <c r="G47" i="39" s="1"/>
  <c r="U7" i="39"/>
  <c r="S7" i="39"/>
  <c r="AA7" i="39"/>
  <c r="R47" i="39" s="1"/>
  <c r="AC7" i="39"/>
  <c r="V47" i="39" s="1"/>
  <c r="I47" i="39" s="1"/>
  <c r="W7" i="39"/>
  <c r="B3" i="21" l="1"/>
  <c r="C6" i="12" s="1"/>
  <c r="C8" i="12"/>
  <c r="C4" i="12" s="1"/>
  <c r="I46" i="40"/>
  <c r="J46" i="40" s="1"/>
  <c r="E42" i="40"/>
  <c r="I47" i="40" s="1"/>
  <c r="J47" i="40" s="1"/>
  <c r="R43" i="40"/>
  <c r="G46" i="40"/>
  <c r="H46" i="40" s="1"/>
  <c r="G47" i="40"/>
  <c r="H47" i="40" s="1"/>
  <c r="I51" i="39"/>
  <c r="J51" i="39" s="1"/>
  <c r="G51" i="39"/>
  <c r="H51" i="39" s="1"/>
  <c r="G52" i="39"/>
  <c r="H52" i="39" s="1"/>
  <c r="E47" i="39"/>
  <c r="I52" i="39" s="1"/>
  <c r="J52" i="39" s="1"/>
  <c r="R48" i="39"/>
  <c r="C31" i="12" l="1"/>
  <c r="C23" i="12"/>
  <c r="C43" i="40"/>
  <c r="C42" i="40"/>
  <c r="E47" i="40"/>
  <c r="F47" i="40" s="1"/>
  <c r="E46" i="40"/>
  <c r="F46" i="40" s="1"/>
  <c r="C48" i="39"/>
  <c r="C47" i="39"/>
  <c r="E52" i="39"/>
  <c r="F52" i="39" s="1"/>
  <c r="E51" i="39"/>
  <c r="F51" i="39" s="1"/>
  <c r="C27" i="12" l="1"/>
  <c r="C25" i="12" s="1"/>
  <c r="C30" i="12"/>
  <c r="C28" i="12" s="1"/>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B61" i="39"/>
  <c r="F61" i="39" s="1"/>
  <c r="B56" i="39"/>
  <c r="F56" i="39" s="1"/>
  <c r="B59" i="39"/>
  <c r="F59" i="39" s="1"/>
  <c r="B65" i="39"/>
  <c r="F65" i="39" s="1"/>
  <c r="B63" i="39"/>
  <c r="F63" i="39" s="1"/>
  <c r="B60" i="39"/>
  <c r="F60" i="39" s="1"/>
  <c r="B58" i="39"/>
  <c r="F58" i="39" s="1"/>
  <c r="B64" i="39"/>
  <c r="F64" i="39" s="1"/>
  <c r="B57" i="39"/>
  <c r="F57" i="39" s="1"/>
  <c r="B62" i="39"/>
  <c r="F62" i="39" s="1"/>
  <c r="C32" i="12" l="1"/>
  <c r="B2" i="12" s="1"/>
  <c r="B3" i="12" s="1"/>
  <c r="F66" i="39"/>
  <c r="B2" i="39" s="1"/>
  <c r="D19" i="9"/>
  <c r="D20" i="9"/>
  <c r="B3" i="39" l="1"/>
  <c r="C6" i="68"/>
  <c r="C7" i="68" s="1"/>
  <c r="C5" i="68" s="1"/>
  <c r="D102" i="9"/>
  <c r="D21" i="9"/>
  <c r="D103" i="9"/>
  <c r="C23" i="68" l="1"/>
  <c r="C20" i="68"/>
  <c r="C25" i="68" l="1"/>
  <c r="C22" i="68" s="1"/>
  <c r="C28" i="68"/>
  <c r="C27" i="68" s="1"/>
  <c r="C31" i="68" l="1"/>
  <c r="C52" i="68" s="1"/>
  <c r="B2" i="68" s="1"/>
  <c r="C19" i="9"/>
  <c r="C102" i="9" l="1"/>
  <c r="D22" i="9"/>
  <c r="C21" i="9"/>
  <c r="G19" i="9"/>
  <c r="C57" i="68"/>
  <c r="C56" i="68" s="1"/>
  <c r="B3" i="68"/>
  <c r="D35" i="9"/>
  <c r="C20" i="9"/>
  <c r="D34" i="9"/>
  <c r="G20" i="9" l="1"/>
  <c r="C103" i="9"/>
  <c r="G21" i="9"/>
  <c r="C32" i="9"/>
  <c r="C35" i="9" l="1"/>
  <c r="H118" i="9"/>
  <c r="J713" i="78" s="1"/>
  <c r="K713" i="78" s="1"/>
  <c r="F118" i="9" l="1"/>
  <c r="H713" i="78" s="1"/>
  <c r="I713" i="78" s="1"/>
  <c r="C34" i="9"/>
  <c r="D118" i="9" s="1"/>
  <c r="F713" i="78" s="1"/>
  <c r="G713" i="78" s="1"/>
  <c r="H4" i="52"/>
  <c r="I118" i="9"/>
  <c r="C104" i="9"/>
  <c r="D14" i="74"/>
  <c r="H101" i="9"/>
  <c r="H119" i="9"/>
  <c r="H5" i="52" s="1"/>
  <c r="E14" i="74" l="1"/>
  <c r="F14" i="74"/>
  <c r="I4" i="52"/>
  <c r="H102" i="9"/>
  <c r="D7" i="53" s="1"/>
  <c r="B21" i="72" s="1"/>
  <c r="C105" i="9"/>
  <c r="D119" i="9"/>
  <c r="D5" i="52" s="1"/>
  <c r="B49" i="72" s="1"/>
  <c r="D4" i="52"/>
  <c r="B47" i="72" s="1"/>
  <c r="M48" i="9"/>
  <c r="D45" i="9"/>
  <c r="D5" i="53"/>
  <c r="H107" i="9"/>
  <c r="F4" i="52"/>
  <c r="B51" i="72" s="1"/>
  <c r="G118" i="9"/>
  <c r="G4" i="52" s="1"/>
  <c r="B52" i="72" s="1"/>
  <c r="F119" i="9"/>
  <c r="F5" i="52" s="1"/>
  <c r="B53" i="72" s="1"/>
  <c r="D13" i="53" l="1"/>
  <c r="H108" i="9"/>
  <c r="D15" i="53" s="1"/>
  <c r="B31" i="72" s="1"/>
  <c r="D122" i="9"/>
  <c r="D53" i="9"/>
  <c r="C72" i="9"/>
  <c r="C78" i="9"/>
  <c r="C73" i="9" s="1"/>
  <c r="C85" i="9"/>
  <c r="C64" i="9"/>
  <c r="C63" i="9" s="1"/>
  <c r="C67" i="9" s="1"/>
  <c r="C68" i="9" s="1"/>
  <c r="D54" i="9" s="1"/>
  <c r="C93" i="9"/>
  <c r="C86" i="9" s="1"/>
  <c r="D52" i="9"/>
  <c r="D55" i="9"/>
  <c r="M53" i="9" s="1"/>
  <c r="D6" i="53"/>
  <c r="B22" i="72" s="1"/>
  <c r="B20" i="72"/>
  <c r="E118" i="9"/>
  <c r="E4" i="52" s="1"/>
  <c r="B48" i="72" s="1"/>
  <c r="C79" i="9" l="1"/>
  <c r="C80" i="9" s="1"/>
  <c r="E80" i="9" s="1"/>
  <c r="E81" i="9" s="1"/>
  <c r="C95" i="9"/>
  <c r="C96" i="9" s="1"/>
  <c r="E96" i="9" s="1"/>
  <c r="E97" i="9" s="1"/>
  <c r="G14" i="74"/>
  <c r="D8" i="52"/>
  <c r="D123" i="9"/>
  <c r="D9" i="52" s="1"/>
  <c r="D14" i="53"/>
  <c r="B32" i="72" s="1"/>
  <c r="B30" i="72"/>
  <c r="C81" i="9" l="1"/>
  <c r="C97" i="9"/>
  <c r="D58" i="9" s="1"/>
  <c r="D56" i="9" s="1"/>
  <c r="M54" i="9" s="1"/>
  <c r="N57" i="9" s="1"/>
  <c r="N59" i="9" s="1"/>
  <c r="N60" i="9" s="1"/>
  <c r="N61" i="9" l="1"/>
  <c r="N58" i="9"/>
  <c r="P57" i="9"/>
  <c r="C15" i="74" l="1"/>
  <c r="B2" i="74" s="1"/>
  <c r="D7" i="74" l="1"/>
  <c r="D8" i="74"/>
  <c r="D15" i="74" l="1"/>
  <c r="G15" i="74" l="1"/>
  <c r="B6" i="74" s="1"/>
  <c r="B5" i="74"/>
  <c r="E15" i="74"/>
  <c r="F15" i="74"/>
  <c r="C5" i="74" l="1"/>
  <c r="D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<sst xmlns="http://schemas.openxmlformats.org/spreadsheetml/2006/main" count="11351" uniqueCount="4032">
  <si>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</si>
  <si>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</si>
  <si>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</si>
  <si>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</si>
  <si>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</si>
  <si>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</si>
  <si>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</si>
  <si>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</si>
  <si>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</si>
  <si>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</si>
  <si>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</si>
  <si>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</si>
  <si>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</si>
  <si>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</si>
  <si>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</si>
  <si>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</si>
  <si>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</si>
  <si>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</si>
  <si>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</si>
  <si>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</si>
  <si>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</si>
  <si>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</si>
  <si>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</si>
  <si>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</si>
  <si>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</si>
  <si>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</si>
  <si>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</si>
  <si>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</si>
  <si>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</si>
  <si>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</si>
  <si>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</si>
  <si>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</si>
  <si>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</si>
  <si>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</si>
  <si>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</si>
  <si>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</si>
  <si>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</si>
  <si>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</si>
  <si>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</si>
  <si>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</si>
  <si>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</si>
  <si>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</si>
  <si>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</si>
  <si>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</si>
  <si>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</si>
  <si>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</si>
  <si>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</si>
  <si>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</si>
  <si>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</si>
  <si>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</si>
  <si>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</si>
  <si>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</si>
  <si>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</si>
  <si>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</si>
  <si>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</si>
  <si>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</si>
  <si>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</si>
  <si>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</si>
  <si>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</si>
  <si>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</si>
  <si>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</si>
  <si>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</si>
  <si>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</si>
  <si>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</si>
  <si>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</si>
  <si>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</si>
  <si>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</si>
  <si>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</si>
  <si>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</si>
  <si>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</si>
  <si>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</si>
  <si>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</si>
  <si>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</si>
  <si>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</si>
  <si>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</si>
  <si>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</si>
  <si>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</si>
  <si>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</si>
  <si>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</si>
  <si>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</si>
  <si>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</si>
  <si>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</si>
  <si>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</si>
  <si>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</si>
  <si>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</si>
  <si>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</si>
  <si>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</si>
  <si>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</si>
  <si>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</si>
  <si>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</si>
  <si>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</si>
  <si>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</si>
  <si>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</si>
  <si>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</si>
  <si>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</si>
  <si>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</si>
  <si>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</si>
  <si>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</si>
  <si>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</si>
  <si>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</si>
  <si>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</si>
  <si>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</si>
  <si>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</si>
  <si>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</si>
  <si>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</si>
  <si>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</si>
  <si>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</si>
  <si>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</si>
  <si>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</si>
  <si>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</si>
  <si>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</si>
  <si>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</si>
  <si>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</si>
  <si>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</si>
  <si>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</si>
  <si>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</si>
  <si>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</si>
  <si>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</si>
  <si>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</si>
  <si>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</si>
  <si>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</si>
  <si>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</si>
  <si>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</si>
  <si>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</si>
  <si>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</si>
  <si>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</si>
  <si>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</si>
  <si>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</si>
  <si>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</si>
  <si>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</si>
  <si>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</si>
  <si>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</si>
  <si>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</si>
  <si>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</si>
  <si>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</si>
  <si>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</si>
  <si>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</si>
  <si>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</si>
  <si>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</si>
  <si>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</si>
  <si>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</si>
  <si>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</si>
  <si>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</si>
  <si>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</si>
  <si>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</si>
  <si>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</si>
  <si>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</si>
  <si>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</si>
  <si>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</si>
  <si>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</si>
  <si>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</si>
  <si>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</si>
  <si>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</si>
  <si>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</si>
  <si>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</si>
  <si>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</si>
  <si>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</si>
  <si>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</si>
  <si>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</si>
  <si>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</si>
  <si>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</si>
  <si>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</si>
  <si>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</si>
  <si>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</si>
  <si>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</si>
  <si>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</si>
  <si>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</si>
  <si>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</si>
  <si>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</si>
  <si>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</si>
  <si>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</si>
  <si>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</si>
  <si>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</si>
  <si>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</si>
  <si>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</si>
  <si>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</si>
  <si>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</si>
  <si>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</si>
  <si>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</si>
  <si>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</si>
  <si>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</si>
  <si>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</si>
  <si>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</si>
  <si>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</si>
  <si>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</si>
  <si>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</si>
  <si>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</si>
  <si>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</si>
  <si>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</si>
  <si>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</si>
  <si>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</si>
  <si>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</si>
  <si>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</si>
  <si>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</si>
  <si>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</si>
  <si>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</si>
  <si>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</si>
  <si>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</si>
  <si>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</si>
  <si>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</si>
  <si>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</si>
  <si>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</si>
  <si>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</si>
  <si>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</si>
  <si>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</si>
  <si>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</si>
  <si>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</si>
  <si>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</si>
  <si>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</si>
  <si>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</si>
  <si>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</si>
  <si>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</si>
  <si>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</si>
  <si>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</si>
  <si>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</si>
  <si>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</si>
  <si>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</si>
  <si>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</si>
  <si>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</si>
  <si>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</si>
  <si>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</si>
  <si>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</si>
  <si>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</si>
  <si>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</si>
  <si>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</si>
  <si>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</si>
  <si>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</si>
  <si>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</si>
  <si>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</si>
  <si>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</si>
  <si>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</si>
  <si>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</si>
  <si>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</si>
  <si>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</si>
  <si>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</si>
  <si>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</si>
  <si>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</si>
  <si>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</si>
  <si>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</si>
  <si>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</si>
  <si>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</si>
  <si>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</si>
  <si>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</si>
  <si>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</si>
  <si>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</si>
  <si>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</si>
  <si>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</si>
  <si>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</si>
  <si>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</si>
  <si>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</si>
  <si>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</si>
  <si>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</si>
  <si>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</si>
  <si>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</si>
  <si>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</si>
  <si>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</si>
  <si>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</si>
  <si>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</si>
  <si>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</si>
  <si>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</si>
  <si>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</si>
  <si>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</si>
  <si>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</si>
  <si>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</si>
  <si>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</si>
  <si>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</si>
  <si>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</si>
  <si>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</si>
  <si>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</si>
  <si>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</si>
  <si>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</si>
  <si>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</si>
  <si>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</si>
  <si>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</si>
  <si>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</si>
  <si>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</si>
  <si>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</si>
  <si>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</si>
  <si>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</si>
  <si>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</si>
  <si>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</si>
  <si>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</si>
  <si>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</si>
  <si>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</si>
  <si>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</si>
  <si>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</si>
  <si>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</si>
  <si>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</si>
  <si>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</si>
  <si>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</si>
  <si>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</si>
  <si>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</si>
  <si>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</si>
  <si>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</si>
  <si>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</si>
  <si>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</si>
  <si>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</si>
  <si>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</si>
  <si>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</si>
  <si>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</si>
  <si>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</si>
  <si>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</si>
  <si>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</si>
  <si>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</si>
  <si>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</si>
  <si>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</si>
  <si>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</si>
  <si>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</si>
  <si>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</si>
  <si>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</si>
  <si>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</si>
  <si>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</si>
  <si>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</si>
  <si>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</si>
  <si>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</si>
  <si>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</si>
  <si>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</si>
  <si>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</si>
  <si>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</si>
  <si>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</si>
  <si>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</si>
  <si>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</si>
  <si>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</si>
  <si>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</si>
  <si>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</si>
  <si>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</si>
  <si>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</si>
  <si>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</si>
  <si>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</si>
  <si>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</si>
  <si>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</si>
  <si>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</si>
  <si>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</si>
  <si>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</si>
  <si>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</si>
  <si>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</si>
  <si>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</si>
  <si>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</si>
  <si>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</si>
  <si>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</si>
  <si>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</si>
  <si>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</si>
  <si>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</si>
  <si>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</si>
  <si>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</si>
  <si>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</si>
  <si>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</si>
  <si>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</si>
  <si>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</si>
  <si>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</si>
  <si>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</si>
  <si>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</si>
  <si>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</si>
  <si>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</si>
  <si>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</si>
  <si>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</si>
  <si>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</si>
  <si>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</si>
  <si>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</si>
  <si>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</si>
  <si>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</si>
  <si>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</si>
  <si>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</si>
  <si>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</si>
  <si>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</si>
  <si>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</si>
  <si>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</si>
  <si>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</si>
  <si>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</si>
  <si>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</si>
  <si>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</si>
  <si>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</si>
  <si>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</si>
  <si>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</si>
  <si>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</si>
  <si>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</si>
  <si>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</si>
  <si>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</si>
  <si>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</si>
  <si>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</si>
  <si>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</si>
  <si>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</si>
  <si>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</si>
  <si>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</si>
  <si>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</si>
  <si>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</si>
  <si>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</si>
  <si>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</si>
  <si>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</si>
  <si>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</si>
  <si>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</si>
  <si>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</si>
  <si>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</si>
  <si>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</si>
  <si>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</si>
  <si>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</si>
  <si>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</si>
  <si>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</si>
  <si>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</si>
  <si>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</si>
  <si>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</si>
  <si>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</si>
  <si>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</si>
  <si>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</si>
  <si>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</si>
  <si>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</si>
  <si>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</si>
  <si>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</si>
  <si>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</si>
  <si>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</si>
  <si>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</si>
  <si>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</si>
  <si>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</si>
  <si>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</si>
  <si>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</si>
  <si>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</si>
  <si>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</si>
  <si>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</si>
  <si>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</si>
  <si>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</si>
  <si>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</si>
  <si>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</si>
  <si>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</si>
  <si>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</si>
  <si>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</si>
  <si>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</si>
  <si>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</si>
  <si>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</si>
  <si>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</si>
  <si>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</si>
  <si>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</si>
  <si>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</si>
  <si>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</si>
  <si>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</si>
  <si>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</si>
  <si>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</si>
  <si>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</si>
  <si>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</si>
  <si>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</si>
  <si>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</si>
  <si>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</si>
  <si>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</si>
  <si>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</si>
  <si>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</si>
  <si>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</si>
  <si>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</si>
  <si>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</si>
  <si>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</si>
  <si>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</si>
  <si>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</si>
  <si>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</si>
  <si>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</si>
  <si>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</si>
  <si>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</si>
  <si>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</si>
  <si>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</si>
  <si>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</si>
  <si>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</si>
  <si>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</si>
  <si>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</si>
  <si>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</si>
  <si>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</si>
  <si>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</si>
  <si>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</si>
  <si>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</si>
  <si>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</si>
  <si>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</si>
  <si>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</si>
  <si>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</si>
  <si>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</si>
  <si>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</si>
  <si>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</si>
  <si>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</si>
  <si>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</si>
  <si>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</si>
  <si>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</si>
  <si>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</si>
  <si>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</si>
  <si>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</si>
  <si>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</si>
  <si>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</si>
  <si>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</si>
  <si>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</si>
  <si>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</si>
  <si>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</si>
  <si>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</si>
  <si>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</si>
  <si>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</si>
  <si>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</si>
  <si>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</si>
  <si>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</si>
  <si>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</si>
  <si>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</si>
  <si>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</si>
  <si>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</si>
  <si>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</si>
  <si>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</si>
  <si>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</si>
  <si>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</si>
  <si>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</si>
  <si>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</si>
  <si>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</si>
  <si>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</si>
  <si>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</si>
  <si>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</si>
  <si>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</si>
  <si>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</si>
  <si>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</si>
  <si>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</si>
  <si>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</si>
  <si>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</si>
  <si>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</si>
  <si>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</si>
  <si>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</si>
  <si>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</si>
  <si>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</si>
  <si>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</si>
  <si>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</si>
  <si>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</si>
  <si>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</si>
  <si>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</si>
  <si>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</si>
  <si>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</si>
  <si>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</si>
  <si>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</si>
  <si>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</si>
  <si>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</si>
  <si>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</si>
  <si>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</si>
  <si>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</si>
  <si>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</si>
  <si>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</si>
  <si>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</si>
  <si>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</si>
  <si>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</si>
  <si>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</si>
  <si>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</si>
  <si>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</si>
  <si>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</si>
  <si>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</si>
  <si>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</si>
  <si>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</si>
  <si>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</si>
  <si>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</si>
  <si>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</si>
  <si>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</si>
  <si>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</si>
  <si>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</si>
  <si>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</si>
  <si>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</si>
  <si>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</si>
  <si>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</si>
  <si>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</si>
  <si>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</si>
  <si>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</si>
  <si>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</si>
  <si>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</si>
  <si>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</si>
  <si>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</si>
  <si>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</si>
  <si>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</si>
  <si>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</si>
  <si>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</si>
  <si>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</si>
  <si>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</si>
  <si>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</si>
  <si>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</si>
  <si>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</si>
  <si>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</si>
  <si>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</si>
  <si>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</si>
  <si>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</si>
  <si>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</si>
  <si>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</si>
  <si>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</si>
  <si>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</si>
  <si>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</si>
  <si>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</si>
  <si>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</si>
  <si>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</si>
  <si>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</si>
  <si>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</si>
  <si>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</si>
  <si>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</si>
  <si>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</si>
  <si>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</si>
  <si>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</si>
  <si>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</si>
  <si>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</si>
  <si>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</si>
  <si>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</si>
  <si>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</si>
  <si>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</si>
  <si>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</si>
  <si>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</si>
  <si>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</si>
  <si>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</si>
  <si>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</si>
  <si>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</si>
  <si>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</si>
  <si>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</si>
  <si>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</si>
  <si>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</si>
  <si>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</si>
  <si>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</si>
  <si>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</si>
  <si>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</si>
  <si>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</si>
  <si>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</si>
  <si>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</si>
  <si>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</si>
  <si>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</si>
  <si>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</si>
  <si>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</si>
  <si>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</si>
  <si>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</si>
  <si>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</si>
  <si>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</si>
  <si>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</si>
  <si>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</si>
  <si>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</si>
  <si>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</si>
  <si>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</si>
  <si>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</si>
  <si>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</si>
  <si>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</si>
  <si>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</si>
  <si>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</si>
  <si>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</si>
  <si>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</si>
  <si>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</si>
  <si>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</si>
  <si>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</si>
  <si>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</si>
  <si>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</si>
  <si>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</si>
  <si>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</si>
  <si>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</si>
  <si>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</si>
  <si>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</si>
  <si>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</si>
  <si>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</si>
  <si>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</si>
  <si>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</si>
  <si>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</si>
  <si>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</si>
  <si>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</si>
  <si>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</si>
  <si>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</si>
  <si>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</si>
  <si>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</si>
  <si>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</si>
  <si>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</si>
  <si>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</si>
  <si>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</si>
  <si>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</si>
  <si>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</si>
  <si>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</si>
  <si>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</si>
  <si>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</si>
  <si>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</si>
  <si>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</si>
  <si>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</si>
  <si>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</si>
  <si>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</si>
  <si>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</si>
  <si>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</si>
  <si>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</si>
  <si>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</si>
  <si>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</si>
  <si>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</si>
  <si>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</si>
  <si>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</si>
  <si>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</si>
  <si>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</si>
  <si>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</si>
  <si>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</si>
  <si>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</si>
  <si>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</si>
  <si>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</si>
  <si>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</si>
  <si>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</si>
  <si>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</si>
  <si>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</si>
  <si>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</si>
  <si>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</si>
  <si>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</si>
  <si>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</si>
  <si>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</si>
  <si>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</si>
  <si>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</si>
  <si>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</si>
  <si>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</si>
  <si>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</si>
  <si>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</si>
  <si>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</si>
  <si>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</si>
  <si>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</si>
  <si>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</si>
  <si>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</si>
  <si>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</si>
  <si>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</si>
  <si>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</si>
  <si>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</si>
  <si>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</si>
  <si>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</si>
  <si>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</si>
  <si>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</si>
  <si>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</si>
  <si>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</si>
  <si>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</si>
  <si>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</si>
  <si>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</si>
  <si>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</si>
  <si>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</si>
  <si>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</si>
  <si>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</si>
  <si>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</si>
  <si>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</si>
  <si>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</si>
  <si>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</si>
  <si>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</si>
  <si>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</si>
  <si>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</si>
  <si>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</si>
  <si>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</si>
  <si>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</si>
  <si>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</si>
  <si>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</si>
  <si>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</si>
  <si>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</si>
  <si>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</si>
  <si>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</si>
  <si>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</si>
  <si>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</si>
  <si>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</si>
  <si>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</si>
  <si>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</si>
  <si>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</si>
  <si>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</si>
  <si>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</si>
  <si>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</si>
  <si>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</si>
  <si>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</si>
  <si>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</si>
  <si>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</si>
  <si>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</si>
  <si>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</si>
  <si>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</si>
  <si>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</si>
  <si>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</si>
  <si>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</si>
  <si>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</si>
  <si>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</si>
  <si>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</si>
  <si>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</si>
  <si>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</si>
  <si>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</si>
  <si>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</si>
  <si>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</si>
  <si>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</si>
  <si>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</si>
  <si>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</si>
  <si>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</si>
  <si>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</si>
  <si>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</si>
  <si>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</si>
  <si>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</si>
  <si>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</si>
  <si>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</si>
  <si>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</si>
  <si>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</si>
  <si>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</si>
  <si>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</si>
  <si>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</si>
  <si>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</si>
  <si>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</si>
  <si>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</si>
  <si>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</si>
  <si>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</si>
  <si>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</si>
  <si>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</si>
  <si>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</si>
  <si>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</si>
  <si>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</si>
  <si>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</si>
  <si>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</si>
  <si>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</si>
  <si>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</si>
  <si>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</si>
  <si>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</si>
  <si>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</si>
  <si>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</si>
  <si>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</si>
  <si>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</si>
  <si>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</si>
  <si>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</si>
  <si>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</si>
  <si>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</si>
  <si>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</si>
  <si>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</si>
  <si>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</si>
  <si>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</si>
  <si>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</si>
  <si>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</si>
  <si>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</si>
  <si>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</si>
  <si>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</si>
  <si>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</si>
  <si>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</si>
  <si>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</si>
  <si>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</si>
  <si>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</si>
  <si>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</si>
  <si>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</si>
  <si>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</si>
  <si>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</si>
  <si>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</si>
  <si>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</si>
  <si>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</si>
  <si>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</si>
  <si>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</si>
  <si>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</si>
  <si>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</si>
  <si>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</si>
  <si>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</si>
  <si>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</si>
  <si>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</si>
  <si>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</si>
  <si>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</si>
  <si>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</si>
  <si>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</si>
  <si>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</si>
  <si>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</si>
  <si>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</si>
  <si>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</si>
  <si>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</si>
  <si>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</si>
  <si>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</si>
  <si>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</si>
  <si>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</si>
  <si>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</si>
  <si>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</si>
  <si>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</si>
  <si>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</si>
  <si>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</si>
  <si>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</si>
  <si>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</si>
  <si>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</si>
  <si>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</si>
  <si>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</si>
  <si>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</si>
  <si>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</si>
  <si>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</si>
  <si>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</si>
  <si>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</si>
  <si>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</si>
  <si>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</si>
  <si>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</si>
  <si>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</si>
  <si>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</si>
  <si>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</si>
  <si>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</si>
  <si>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</si>
  <si>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</si>
  <si>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</si>
  <si>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</si>
  <si>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</si>
  <si>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</si>
  <si>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</si>
  <si>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</si>
  <si>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</si>
  <si>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</si>
  <si>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</si>
  <si>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</si>
  <si>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</si>
  <si>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</si>
  <si>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</si>
  <si>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</si>
  <si>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</si>
  <si>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</si>
  <si>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</si>
  <si>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</si>
  <si>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</si>
  <si>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</si>
  <si>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</si>
  <si>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</si>
  <si>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</si>
  <si>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</si>
  <si>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</si>
  <si>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</si>
  <si>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</si>
  <si>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</si>
  <si>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</si>
  <si>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</si>
  <si>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</si>
  <si>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</si>
  <si>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</si>
  <si>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</si>
  <si>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</si>
  <si>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</si>
  <si>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</si>
  <si>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</si>
  <si>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</si>
  <si>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</si>
  <si>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</si>
  <si>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</si>
  <si>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</si>
  <si>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</si>
  <si>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</si>
  <si>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</si>
  <si>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</si>
  <si>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</si>
  <si>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</si>
  <si>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</si>
  <si>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</si>
  <si>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</si>
  <si>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</si>
  <si>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</si>
  <si>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</si>
  <si>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</si>
  <si>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</si>
  <si>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</si>
  <si>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</si>
  <si>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</si>
  <si>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</si>
  <si>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</si>
  <si>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</si>
  <si>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</si>
  <si>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</si>
  <si>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</si>
  <si>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</si>
  <si>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</si>
  <si>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</si>
  <si>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</si>
  <si>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</si>
  <si>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</si>
  <si>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</si>
  <si>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</si>
  <si>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</si>
  <si>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</si>
  <si>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</si>
  <si>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</si>
  <si>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</si>
  <si>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</si>
  <si>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</si>
  <si>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</si>
  <si>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</si>
  <si>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</si>
  <si>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</si>
  <si>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</si>
  <si>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</si>
  <si>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</si>
  <si>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</si>
  <si>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</si>
  <si>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</si>
  <si>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</si>
  <si>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</si>
  <si>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</si>
  <si>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</si>
  <si>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</si>
  <si>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</si>
  <si>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</si>
  <si>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</si>
  <si>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</si>
  <si>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</si>
  <si>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</si>
  <si>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</si>
  <si>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</si>
  <si>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</si>
  <si>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</si>
  <si>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</si>
  <si>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</si>
  <si>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</si>
  <si>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</si>
  <si>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</si>
  <si>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</si>
  <si>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</si>
  <si>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</si>
  <si>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</si>
  <si>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</si>
  <si>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</si>
  <si>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</si>
  <si>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</si>
  <si>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</si>
  <si>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</si>
  <si>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</si>
  <si>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</si>
  <si>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</si>
  <si>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</si>
  <si>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</si>
  <si>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</si>
  <si>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</si>
  <si>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</si>
  <si>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</si>
  <si>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</si>
  <si>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</si>
  <si>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</si>
  <si>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</si>
  <si>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</si>
  <si>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</si>
  <si>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</si>
  <si>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</si>
  <si>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</si>
  <si>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</si>
  <si>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</si>
  <si>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</si>
  <si>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</si>
  <si>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</si>
  <si>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</si>
  <si>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</si>
  <si>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</si>
  <si>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</si>
  <si>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</si>
  <si>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</si>
  <si>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</si>
  <si>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</si>
  <si>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</si>
  <si>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</si>
  <si>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</si>
  <si>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</si>
  <si>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</si>
  <si>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</si>
  <si>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</si>
  <si>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</si>
  <si>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</si>
  <si>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</si>
  <si>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</si>
  <si>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</si>
  <si>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</si>
  <si>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</si>
  <si>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</si>
  <si>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</si>
  <si>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</si>
  <si>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</si>
  <si>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</si>
  <si>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</si>
  <si>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</si>
  <si>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</si>
  <si>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</si>
  <si>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</si>
  <si>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</si>
  <si>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</si>
  <si>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</si>
  <si>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</si>
  <si>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</si>
  <si>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</si>
  <si>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</si>
  <si>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</si>
  <si>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</si>
  <si>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</si>
  <si>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</si>
  <si>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</si>
  <si>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</si>
  <si>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</si>
  <si>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</si>
  <si>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</si>
  <si>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</si>
  <si>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</si>
  <si>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</si>
  <si>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</si>
  <si>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</si>
  <si>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</si>
  <si>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</si>
  <si>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</si>
  <si>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</si>
  <si>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</si>
  <si>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</si>
  <si>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</si>
  <si>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</si>
  <si>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</si>
  <si>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</si>
  <si>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</si>
  <si>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</si>
  <si>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</si>
  <si>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</si>
  <si>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</si>
  <si>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</si>
  <si>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</si>
  <si>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</si>
  <si>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</si>
  <si>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</si>
  <si>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</si>
  <si>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</si>
  <si>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</si>
  <si>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</si>
  <si>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</si>
  <si>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</si>
  <si>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</si>
  <si>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</si>
  <si>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</si>
  <si>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</si>
  <si>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</si>
  <si>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</si>
  <si>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</si>
  <si>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</si>
  <si>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</si>
  <si>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</si>
  <si>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</si>
  <si>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</si>
  <si>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</si>
  <si>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</si>
  <si>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</si>
  <si>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</si>
  <si>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</si>
  <si>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</si>
  <si>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</si>
  <si>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</si>
  <si>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</si>
  <si>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</si>
  <si>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</si>
  <si>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</si>
  <si>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</si>
  <si>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</si>
  <si>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</si>
  <si>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</si>
  <si>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</si>
  <si>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</si>
  <si>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</si>
  <si>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</si>
  <si>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</si>
  <si>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</si>
  <si>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</si>
  <si>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</si>
  <si>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</si>
  <si>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</si>
  <si>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</si>
  <si>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</si>
  <si>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</si>
  <si>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</si>
  <si>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</si>
  <si>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</si>
  <si>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</si>
  <si>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</si>
  <si>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</si>
  <si>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</si>
  <si>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</si>
  <si>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</si>
  <si>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</si>
  <si>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</si>
  <si>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</si>
  <si>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</si>
  <si>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</si>
  <si>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</si>
  <si>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</si>
  <si>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</si>
  <si>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</si>
  <si>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</si>
  <si>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</si>
  <si>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</si>
  <si>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</si>
  <si>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</si>
  <si>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</si>
  <si>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</si>
  <si>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</si>
  <si>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</si>
  <si>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</si>
  <si>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</si>
  <si>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</si>
  <si>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</si>
  <si>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</si>
  <si>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</si>
  <si>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</si>
  <si>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</si>
  <si>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</si>
  <si>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</si>
  <si>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</si>
  <si>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</si>
  <si>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</si>
  <si>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</si>
  <si>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</si>
  <si>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</si>
  <si>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</si>
  <si>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</si>
  <si>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</si>
  <si>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</si>
  <si>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</si>
  <si>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</si>
  <si>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</si>
  <si>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</si>
  <si>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</si>
  <si>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</si>
  <si>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</si>
  <si>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</si>
  <si>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</si>
  <si>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</si>
  <si>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</si>
  <si>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</si>
  <si>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</si>
  <si>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</si>
  <si>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</si>
  <si>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</si>
  <si>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</si>
  <si>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</si>
  <si>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</si>
  <si>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</si>
  <si>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</si>
  <si>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</si>
  <si>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</si>
  <si>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</si>
  <si>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</si>
  <si>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</si>
  <si>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</si>
  <si>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</si>
  <si>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</si>
  <si>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</si>
  <si>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</si>
  <si>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</si>
  <si>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</si>
  <si>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</si>
  <si>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</si>
  <si>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</si>
  <si>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</si>
  <si>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</si>
  <si>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</si>
  <si>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</si>
  <si>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</si>
  <si>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</si>
  <si>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</si>
  <si>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</si>
  <si>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</si>
  <si>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</si>
  <si>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</si>
  <si>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</si>
  <si>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</si>
  <si>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</si>
  <si>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</si>
  <si>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</si>
  <si>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</si>
  <si>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</si>
  <si>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</si>
  <si>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</si>
  <si>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</si>
  <si>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</si>
  <si>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</si>
  <si>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</si>
  <si>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</si>
  <si>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</si>
  <si>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</si>
  <si>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</si>
  <si>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</si>
  <si>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</si>
  <si>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</si>
  <si>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</si>
  <si>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</si>
  <si>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</si>
  <si>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</si>
  <si>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</si>
  <si>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</si>
  <si>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</si>
  <si>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</si>
  <si>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</si>
  <si>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</si>
  <si>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</si>
  <si>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</si>
  <si>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</si>
  <si>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</si>
  <si>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</si>
  <si>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</si>
  <si>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</si>
  <si>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</si>
  <si>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</si>
  <si>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</si>
  <si>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</si>
  <si>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</si>
  <si>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</si>
  <si>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</si>
  <si>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</si>
  <si>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</si>
  <si>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</si>
  <si>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</si>
  <si>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</si>
  <si>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</si>
  <si>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</si>
  <si>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</si>
  <si>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</si>
  <si>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</si>
  <si>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</si>
  <si>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</si>
  <si>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</si>
  <si>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</si>
  <si>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</si>
  <si>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</si>
  <si>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</si>
  <si>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</si>
  <si>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</si>
  <si>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</si>
  <si>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</si>
  <si>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</si>
  <si>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</si>
  <si>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</si>
  <si>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</si>
  <si>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</si>
  <si>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</si>
  <si>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</si>
  <si>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</si>
  <si>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</si>
  <si>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</si>
  <si>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</si>
  <si>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</si>
  <si>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</si>
  <si>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</si>
  <si>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</si>
  <si>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</si>
  <si>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</si>
  <si>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</si>
  <si>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</si>
  <si>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</si>
  <si>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</si>
  <si>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</si>
  <si>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</si>
  <si>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</si>
  <si>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</si>
  <si>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</si>
  <si>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</si>
  <si>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</si>
  <si>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</si>
  <si>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</si>
  <si>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</si>
  <si>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</si>
  <si>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</si>
  <si>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</si>
  <si>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</si>
  <si>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</si>
  <si>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</si>
  <si>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</si>
  <si>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</si>
  <si>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</si>
  <si>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</si>
  <si>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</si>
  <si>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</si>
  <si>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</si>
  <si>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</si>
  <si>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</si>
  <si>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</si>
  <si>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</si>
  <si>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</si>
  <si>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</si>
  <si>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</si>
  <si>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</si>
  <si>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</si>
  <si>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</si>
  <si>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</si>
  <si>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</si>
  <si>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</si>
  <si>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</si>
  <si>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</si>
  <si>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</si>
  <si>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</si>
  <si>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</si>
  <si>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</si>
  <si>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</si>
  <si>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</si>
  <si>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</si>
  <si>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</si>
  <si>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</si>
  <si>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</si>
  <si>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</si>
  <si>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</si>
  <si>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</si>
  <si>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</si>
  <si>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</si>
  <si>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</si>
  <si>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</si>
  <si>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</si>
  <si>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</si>
  <si>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</si>
  <si>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</si>
  <si>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</si>
  <si>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</si>
  <si>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</si>
  <si>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</si>
  <si>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</si>
  <si>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</si>
  <si>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</si>
  <si>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</si>
  <si>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</si>
  <si>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</si>
  <si>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</si>
  <si>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</si>
  <si>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</si>
  <si>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</si>
  <si>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</si>
  <si>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</si>
  <si>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</si>
  <si>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</si>
  <si>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</si>
  <si>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</si>
  <si>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</si>
  <si>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</si>
  <si>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</si>
  <si>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</si>
  <si>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</si>
  <si>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</si>
  <si>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</si>
  <si>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</si>
  <si>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</si>
  <si>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</si>
  <si>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</si>
  <si>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</si>
  <si>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</si>
  <si>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</si>
  <si>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</si>
  <si>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</si>
  <si>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</si>
  <si>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</si>
  <si>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</si>
  <si>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</si>
  <si>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</si>
  <si>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</si>
  <si>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</si>
  <si>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</si>
  <si>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</si>
  <si>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</si>
  <si>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</si>
  <si>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</si>
  <si>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</si>
  <si>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</si>
  <si>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</si>
  <si>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</si>
  <si>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</si>
  <si>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</si>
  <si>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</si>
  <si>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</si>
  <si>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</si>
  <si>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</si>
  <si>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</si>
  <si>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</si>
  <si>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</si>
  <si>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</si>
  <si>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</si>
  <si>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</si>
  <si>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</si>
  <si>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</si>
  <si>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</si>
  <si>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</si>
  <si>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</si>
  <si>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</si>
  <si>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</si>
  <si>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</si>
  <si>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</si>
  <si>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</si>
  <si>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</si>
  <si>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</si>
  <si>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</si>
  <si>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</si>
  <si>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</si>
  <si>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</si>
  <si>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</si>
  <si>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</si>
  <si>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</si>
  <si>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</si>
  <si>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</si>
  <si>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</si>
  <si>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</si>
  <si>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</si>
  <si>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</si>
  <si>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</si>
  <si>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</si>
  <si>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</si>
  <si>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</si>
  <si>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</si>
  <si>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</si>
  <si>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</si>
  <si>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</si>
  <si>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</si>
  <si>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</si>
  <si>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</si>
  <si>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</si>
  <si>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</si>
  <si>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</si>
  <si>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</si>
  <si>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</si>
  <si>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</si>
  <si>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</si>
  <si>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</si>
  <si>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</si>
  <si>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</si>
  <si>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</si>
  <si>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</si>
  <si>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</si>
  <si>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</si>
  <si>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</si>
  <si>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</si>
  <si>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</si>
  <si>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</si>
  <si>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</si>
  <si>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</si>
  <si>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</si>
  <si>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</si>
  <si>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</si>
  <si>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</si>
  <si>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</si>
  <si>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</si>
  <si>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</si>
  <si>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</si>
  <si>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</si>
  <si>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</si>
  <si>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</si>
  <si>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</si>
  <si>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</si>
  <si>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</si>
  <si>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</si>
  <si>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</si>
  <si>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</si>
  <si>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</si>
  <si>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</si>
  <si>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</si>
  <si>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</si>
  <si>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</si>
  <si>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</si>
  <si>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</si>
  <si>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</si>
  <si>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</si>
  <si>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</si>
  <si>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</si>
  <si>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</si>
  <si>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</si>
  <si>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</si>
  <si>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</si>
  <si>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</si>
  <si>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</si>
  <si>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</si>
  <si>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</si>
  <si>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</si>
  <si>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</si>
  <si>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</si>
  <si>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</si>
  <si>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</si>
  <si>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</si>
  <si>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</si>
  <si>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</si>
  <si>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</si>
  <si>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</si>
  <si>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</si>
  <si>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</si>
  <si>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</si>
  <si>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</si>
  <si>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</si>
  <si>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</si>
  <si>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</si>
  <si>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</si>
  <si>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</si>
  <si>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</si>
  <si>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</si>
  <si>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</si>
  <si>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</si>
  <si>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</si>
  <si>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</si>
  <si>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</si>
  <si>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</si>
  <si>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</si>
  <si>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</si>
  <si>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</si>
  <si>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</si>
  <si>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</si>
  <si>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</si>
  <si>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</si>
  <si>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</si>
  <si>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</si>
  <si>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</si>
  <si>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</si>
  <si>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</si>
  <si>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</si>
  <si>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</si>
  <si>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</si>
  <si>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</si>
  <si>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</si>
  <si>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</si>
  <si>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</si>
  <si>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</si>
  <si>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</si>
  <si>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</si>
  <si>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</si>
  <si>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</si>
  <si>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</si>
  <si>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</si>
  <si>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</si>
  <si>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</si>
  <si>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</si>
  <si>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</si>
  <si>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</si>
  <si>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</si>
  <si>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</si>
  <si>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</si>
  <si>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</si>
  <si>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</si>
  <si>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</si>
  <si>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</si>
  <si>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</si>
  <si>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</si>
  <si>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</si>
  <si>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</si>
  <si>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</si>
  <si>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</si>
  <si>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</si>
  <si>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</si>
  <si>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</si>
  <si>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</si>
  <si>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</si>
  <si>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</si>
  <si>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</si>
  <si>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</si>
  <si>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</si>
  <si>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</si>
  <si>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</si>
  <si>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</si>
  <si>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</si>
  <si>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</si>
  <si>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</si>
  <si>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</si>
  <si>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</si>
  <si>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</si>
  <si>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</si>
  <si>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</si>
  <si>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</si>
  <si>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</si>
  <si>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</si>
  <si>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</si>
  <si>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</si>
  <si>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</si>
  <si>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</si>
  <si>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</si>
  <si>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</si>
  <si>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</si>
  <si>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</si>
  <si>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</si>
  <si>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</si>
  <si>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</si>
  <si>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</si>
  <si>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</si>
  <si>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</si>
  <si>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</si>
  <si>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</si>
  <si>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</si>
  <si>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</si>
  <si>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</si>
  <si>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</si>
  <si>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</si>
  <si>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</si>
  <si>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</si>
  <si>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</si>
  <si>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</si>
  <si>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</si>
  <si>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</si>
  <si>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</si>
  <si>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</si>
  <si>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</si>
  <si>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</si>
  <si>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</si>
  <si>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</si>
  <si>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</si>
  <si>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</si>
  <si>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</si>
  <si>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</si>
  <si>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</si>
  <si>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</si>
  <si>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</si>
  <si>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</si>
  <si>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</si>
  <si>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</si>
  <si>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</si>
  <si>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</si>
  <si>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</si>
  <si>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</si>
  <si>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</si>
  <si>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</si>
  <si>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</si>
  <si>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</si>
  <si>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</si>
  <si>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</si>
  <si>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</si>
  <si>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</si>
  <si>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</si>
  <si>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</si>
  <si>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</si>
  <si>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</si>
  <si>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</si>
  <si>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</si>
  <si>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</si>
  <si>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</si>
  <si>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</si>
  <si>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</si>
  <si>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</si>
  <si>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</si>
  <si>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</si>
  <si>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</si>
  <si>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</si>
  <si>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</si>
  <si>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</si>
  <si>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</si>
  <si>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</si>
  <si>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</si>
  <si>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</si>
  <si>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</si>
  <si>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</si>
  <si>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</si>
  <si>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</si>
  <si>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</si>
  <si>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</si>
  <si>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</si>
  <si>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</si>
  <si>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</si>
  <si>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</si>
  <si>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</si>
  <si>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</si>
  <si>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</si>
  <si>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</si>
  <si>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</si>
  <si>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</si>
  <si>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</si>
  <si>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</si>
  <si>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</si>
  <si>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</si>
  <si>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</si>
  <si>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</si>
  <si>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</si>
  <si>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</si>
  <si>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</si>
  <si>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</si>
  <si>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</si>
  <si>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</si>
  <si>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</si>
  <si>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</si>
  <si>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</si>
  <si>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</si>
  <si>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</si>
  <si>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</si>
  <si>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</si>
  <si>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</si>
  <si>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</si>
  <si>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</si>
  <si>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</si>
  <si>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</si>
  <si>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</si>
  <si>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</si>
  <si>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</si>
  <si>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</si>
  <si>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</si>
  <si>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</si>
  <si>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</si>
  <si>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</si>
  <si>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</si>
  <si>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</si>
  <si>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</si>
  <si>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</si>
  <si>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</si>
  <si>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</si>
  <si>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</si>
  <si>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</si>
  <si>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</si>
  <si>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</si>
  <si>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</si>
  <si>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</si>
  <si>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</si>
  <si>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</si>
  <si>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</si>
  <si>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</si>
  <si>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</si>
  <si>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</si>
  <si>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</si>
  <si>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</si>
  <si>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</si>
  <si>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</si>
  <si>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</si>
  <si>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</si>
  <si>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</si>
  <si>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</si>
  <si>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</si>
  <si>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</si>
  <si>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</si>
  <si>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</si>
  <si>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</si>
  <si>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</si>
  <si>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</si>
  <si>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</si>
  <si>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</si>
  <si>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</si>
  <si>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</si>
  <si>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</si>
  <si>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</si>
  <si>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</si>
  <si>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</si>
  <si>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</si>
  <si>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</si>
  <si>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</si>
  <si>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</si>
  <si>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</si>
  <si>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</si>
  <si>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</si>
  <si>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</si>
  <si>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</si>
  <si>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</si>
  <si>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</si>
  <si>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</si>
  <si>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</si>
  <si>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</si>
  <si>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</si>
  <si>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</si>
  <si>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</si>
  <si>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</si>
  <si>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</si>
  <si>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</si>
  <si>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</si>
  <si>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</si>
  <si>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</si>
  <si>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</si>
  <si>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</si>
  <si>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</si>
  <si>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</si>
  <si>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</si>
  <si>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</si>
  <si>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</si>
  <si>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</si>
  <si>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</si>
  <si>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</si>
  <si>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</si>
  <si>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</si>
  <si>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</si>
  <si>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</si>
  <si>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</si>
  <si>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</si>
  <si>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</si>
  <si>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</si>
  <si>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</si>
  <si>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</si>
  <si>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</si>
  <si>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</si>
  <si>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</si>
  <si>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</si>
  <si>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</si>
  <si>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</si>
  <si>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</si>
  <si>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</si>
  <si>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</si>
  <si>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</si>
  <si>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</si>
  <si>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</si>
  <si>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</si>
  <si>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</si>
  <si>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</si>
  <si>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</si>
  <si>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</si>
  <si>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</si>
  <si>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</si>
  <si>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</si>
  <si>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</si>
  <si>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</si>
  <si>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</si>
  <si>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</si>
  <si>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</si>
  <si>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</si>
  <si>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</si>
  <si>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</si>
  <si>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</si>
  <si>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</si>
  <si>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</si>
  <si>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</si>
  <si>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</si>
  <si>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</si>
  <si>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</si>
  <si>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</si>
  <si>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</si>
  <si>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</si>
  <si>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</si>
  <si>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</si>
  <si>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</si>
  <si>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</si>
  <si>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</si>
  <si>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</si>
  <si>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</si>
  <si>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</si>
  <si>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</si>
  <si>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</si>
  <si>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</si>
  <si>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</si>
  <si>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</si>
  <si>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</si>
  <si>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</si>
  <si>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</si>
  <si>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</si>
  <si>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</si>
  <si>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</si>
  <si>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</si>
  <si>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</si>
  <si>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</si>
  <si>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</si>
  <si>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</si>
  <si>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</si>
  <si>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</si>
  <si>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</si>
  <si>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</si>
  <si>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</si>
  <si>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</si>
  <si>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</si>
  <si>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</si>
  <si>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</si>
  <si>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</si>
  <si>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</si>
  <si>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</si>
  <si>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</si>
  <si>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</si>
  <si>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</si>
  <si>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</si>
  <si>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</si>
  <si>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</si>
  <si>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</si>
  <si>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</si>
  <si>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</si>
  <si>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</si>
  <si>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</si>
  <si>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</si>
  <si>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</si>
  <si>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</si>
  <si>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</si>
  <si>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</si>
  <si>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</si>
  <si>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</si>
  <si>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</si>
  <si>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</si>
  <si>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</si>
  <si>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</si>
  <si>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</si>
  <si>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</si>
  <si>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</si>
  <si>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</si>
  <si>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</si>
  <si>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</si>
  <si>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</si>
  <si>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</si>
  <si>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</si>
  <si>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</si>
  <si>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</si>
  <si>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</si>
  <si>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</si>
  <si>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</si>
  <si>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</si>
  <si>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</si>
  <si>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</si>
  <si>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</si>
  <si>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</si>
  <si>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</si>
  <si>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</si>
  <si>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</si>
  <si>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</si>
  <si>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</si>
  <si>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</si>
  <si>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</si>
  <si>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</si>
  <si>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</si>
  <si>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</si>
  <si>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</si>
  <si>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</si>
  <si>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</si>
  <si>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</si>
  <si>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</si>
  <si>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</si>
  <si>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</si>
  <si>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</si>
  <si>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</si>
  <si>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</si>
  <si>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</si>
  <si>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</si>
  <si>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</si>
  <si>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</si>
  <si>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</si>
  <si>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</si>
  <si>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</si>
  <si>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</si>
  <si>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</si>
  <si>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</si>
  <si>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</si>
  <si>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</si>
  <si>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</si>
  <si>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</si>
  <si>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</si>
  <si>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</si>
  <si>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</si>
  <si>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</si>
  <si>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</si>
  <si>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</si>
  <si>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</si>
  <si>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</si>
  <si>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</si>
  <si>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</si>
  <si>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</si>
  <si>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</si>
  <si>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</si>
  <si>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</si>
  <si>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</si>
  <si>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</si>
  <si>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</si>
  <si>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</si>
  <si>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</si>
  <si>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</si>
  <si>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</si>
  <si>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</si>
  <si>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</si>
  <si>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</si>
  <si>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</si>
  <si>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</si>
  <si>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</si>
  <si>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</si>
  <si>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</si>
  <si>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</si>
  <si>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</si>
  <si>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</si>
  <si>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</si>
  <si>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</si>
  <si>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</si>
  <si>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</si>
  <si>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</si>
  <si>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</si>
  <si>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</si>
  <si>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</si>
  <si>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</si>
  <si>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</si>
  <si>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</si>
  <si>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</si>
  <si>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</si>
  <si>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</si>
  <si>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</si>
  <si>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</si>
  <si>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</si>
  <si>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</si>
  <si>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</si>
  <si>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</si>
  <si>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</si>
  <si>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</si>
  <si>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</si>
  <si>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</si>
  <si>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</si>
  <si>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</si>
  <si>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</si>
  <si>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</si>
  <si>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</si>
  <si>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</si>
  <si>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</si>
  <si>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</si>
  <si>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</si>
  <si>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</si>
  <si>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</si>
  <si>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</si>
  <si>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</si>
  <si>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</si>
  <si>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</si>
  <si>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</si>
  <si>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</si>
  <si>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</si>
  <si>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</si>
  <si>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</si>
  <si>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</si>
  <si>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</si>
  <si>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</si>
  <si>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</si>
  <si>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</si>
  <si>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</si>
  <si>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</si>
  <si>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</si>
  <si>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</si>
  <si>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</si>
  <si>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</si>
  <si>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</si>
  <si>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</si>
  <si>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</si>
  <si>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</si>
  <si>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</si>
  <si>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</si>
  <si>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</si>
  <si>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</si>
  <si>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</si>
  <si>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</si>
  <si>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</si>
  <si>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</si>
  <si>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</si>
  <si>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</si>
  <si>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</si>
  <si>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</si>
  <si>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</si>
  <si>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</si>
  <si>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</si>
  <si>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</si>
  <si>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</si>
  <si>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</si>
  <si>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</si>
  <si>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</si>
  <si>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</si>
  <si>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</si>
  <si>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</si>
  <si>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</si>
  <si>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</si>
  <si>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</si>
  <si>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</si>
  <si>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</si>
  <si>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</si>
  <si>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</si>
  <si>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</si>
  <si>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</si>
  <si>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</si>
  <si>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</si>
  <si>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</si>
  <si>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</si>
  <si>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</si>
  <si>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</si>
  <si>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</si>
  <si>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</si>
  <si>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</si>
  <si>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</si>
  <si>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</si>
  <si>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</si>
  <si>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</si>
  <si>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</si>
  <si>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</si>
  <si>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</si>
  <si>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</si>
  <si>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</si>
  <si>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</si>
  <si>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</si>
  <si>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</si>
  <si>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</si>
  <si>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</si>
  <si>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</si>
  <si>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</si>
  <si>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</si>
  <si>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</si>
  <si>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</si>
  <si>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</si>
  <si>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</si>
  <si>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</si>
  <si>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</si>
  <si>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</si>
  <si>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</si>
  <si>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</si>
  <si>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</si>
  <si>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</si>
  <si>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</si>
  <si>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</si>
  <si>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</si>
  <si>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</si>
  <si>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</si>
  <si>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</si>
  <si>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</si>
  <si>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</si>
  <si>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</si>
  <si>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</si>
  <si>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</si>
  <si>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</si>
  <si>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</si>
  <si>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</si>
  <si>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</si>
  <si>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</si>
  <si>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</si>
  <si>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</si>
  <si>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</si>
  <si>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</si>
  <si>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</si>
  <si>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</si>
  <si>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</si>
  <si>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</si>
  <si>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</si>
  <si>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</si>
  <si>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</si>
  <si>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</si>
  <si>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</si>
  <si>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</si>
  <si>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</si>
  <si>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</si>
  <si>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</si>
  <si>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</si>
  <si>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</si>
  <si>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</si>
  <si>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</si>
  <si>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</si>
  <si>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</si>
  <si>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</si>
  <si>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</si>
  <si>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</si>
  <si>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</si>
  <si>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</si>
  <si>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</si>
  <si>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</si>
  <si>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</si>
  <si>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</si>
  <si>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</si>
  <si>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</si>
  <si>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</si>
  <si>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</si>
  <si>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</si>
  <si>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</si>
  <si>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</si>
  <si>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</si>
  <si>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</si>
  <si>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</si>
  <si>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</si>
  <si>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</si>
  <si>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</si>
  <si>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</si>
  <si>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</si>
  <si>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</si>
  <si>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</si>
  <si>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</si>
  <si>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</si>
  <si>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</si>
  <si>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</si>
  <si>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</si>
  <si>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</si>
  <si>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</si>
  <si>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</si>
  <si>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</si>
  <si>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</si>
  <si>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</si>
  <si>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</si>
  <si>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</si>
  <si>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</si>
  <si>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</si>
  <si>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</si>
  <si>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</si>
  <si>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</si>
  <si>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</si>
  <si>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</si>
  <si>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</si>
  <si>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</si>
  <si>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</si>
  <si>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</si>
  <si>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</si>
  <si>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</si>
  <si>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</si>
  <si>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</si>
  <si>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</si>
  <si>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</si>
  <si>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</si>
  <si>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</si>
  <si>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</si>
  <si>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</si>
  <si>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</si>
  <si>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</si>
  <si>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</si>
  <si>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</si>
  <si>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</si>
  <si>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</si>
  <si>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</si>
  <si>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</si>
  <si>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</si>
  <si>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</si>
  <si>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</si>
  <si>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</si>
  <si>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</si>
  <si>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</si>
  <si>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</si>
  <si>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</si>
  <si>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</si>
  <si>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</si>
  <si>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</si>
  <si>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</si>
  <si>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</si>
  <si>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</si>
  <si>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</si>
  <si>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</si>
  <si>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</si>
  <si>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</si>
  <si>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</si>
  <si>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</si>
  <si>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</si>
  <si>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</si>
  <si>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</si>
  <si>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</si>
  <si>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</si>
  <si>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</si>
  <si>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</si>
  <si>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</si>
  <si>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</si>
  <si>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</si>
  <si>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</si>
  <si>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</si>
  <si>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</si>
  <si>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</si>
  <si>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</si>
  <si>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</si>
  <si>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</si>
  <si>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</si>
  <si>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</si>
  <si>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</si>
  <si>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</si>
  <si>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</si>
  <si>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</si>
  <si>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</si>
  <si>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</si>
  <si>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</si>
  <si>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</si>
  <si>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</si>
  <si>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</si>
  <si>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</si>
  <si>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</si>
  <si>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</si>
  <si>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</si>
  <si>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</si>
  <si>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</si>
  <si>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</si>
  <si>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</si>
  <si>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</si>
  <si>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</si>
  <si>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</si>
  <si>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</si>
  <si>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</si>
  <si>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</si>
  <si>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</si>
  <si>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</si>
  <si>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</si>
  <si>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</si>
  <si>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</si>
  <si>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</si>
  <si>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</si>
  <si>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</si>
  <si>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</si>
  <si>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</si>
  <si>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</si>
  <si>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</si>
  <si>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</si>
  <si>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</si>
  <si>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</si>
  <si>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</si>
  <si>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</si>
  <si>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</si>
  <si>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</si>
  <si>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</si>
  <si>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</si>
  <si>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</si>
  <si>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</si>
  <si>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</si>
  <si>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</si>
  <si>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</si>
  <si>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</si>
  <si>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</si>
  <si>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</si>
  <si>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</si>
  <si>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</si>
  <si>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</si>
  <si>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</si>
  <si>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</si>
  <si>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</si>
  <si>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</si>
  <si>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</si>
  <si>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</si>
  <si>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</si>
  <si>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</si>
  <si>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</si>
  <si>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</si>
  <si>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</si>
  <si>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</si>
  <si>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</si>
  <si>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</si>
  <si>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</si>
  <si>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</si>
  <si>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</si>
  <si>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</si>
  <si>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</si>
  <si>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</si>
  <si>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</si>
  <si>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</si>
  <si>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</si>
  <si>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</si>
  <si>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</si>
  <si>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</si>
  <si>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</si>
  <si>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</si>
  <si>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</si>
  <si>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</si>
  <si>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</si>
  <si>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</si>
  <si>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</si>
  <si>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</si>
  <si>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</si>
  <si>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</si>
  <si>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</si>
  <si>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</si>
  <si>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</si>
  <si>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</si>
  <si>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</si>
  <si>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</si>
  <si>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</si>
  <si>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</si>
  <si>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</si>
  <si>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</si>
  <si>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</si>
  <si>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</si>
  <si>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</si>
  <si>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</si>
  <si>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</si>
  <si>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</si>
  <si>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</si>
  <si>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</si>
  <si>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</si>
  <si>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</si>
  <si>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</si>
  <si>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</si>
  <si>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</si>
  <si>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</si>
  <si>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</si>
  <si>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</si>
  <si>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</si>
  <si>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</si>
  <si>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</si>
  <si>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</si>
  <si>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</si>
  <si>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</si>
  <si>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</si>
  <si>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</si>
  <si>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</si>
  <si>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</si>
  <si>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</si>
  <si>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</si>
  <si>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</si>
  <si>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</si>
  <si>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</si>
  <si>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</si>
  <si>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</si>
  <si>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</si>
  <si>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</si>
  <si>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</si>
  <si>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</si>
  <si>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</si>
  <si>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</si>
  <si>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</si>
  <si>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</si>
  <si>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</si>
  <si>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</si>
  <si>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</si>
  <si>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</si>
  <si>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</si>
  <si>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</si>
  <si>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</si>
  <si>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</si>
  <si>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</si>
  <si>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</si>
  <si>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</si>
  <si>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</si>
  <si>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</si>
  <si>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</si>
  <si>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</si>
  <si>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</si>
  <si>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</si>
  <si>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</si>
  <si>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</si>
  <si>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</si>
  <si>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</si>
  <si>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</si>
  <si>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</si>
  <si>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</si>
  <si>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</si>
  <si>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</si>
  <si>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</si>
  <si>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</si>
  <si>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</si>
  <si>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</si>
  <si>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</si>
  <si>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</si>
  <si>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</si>
  <si>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</si>
  <si>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</si>
  <si>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</si>
  <si>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</si>
  <si>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</si>
  <si>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</si>
  <si>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</si>
  <si>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</si>
  <si>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</si>
  <si>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</si>
  <si>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</si>
  <si>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</si>
  <si>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</si>
  <si>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</si>
  <si>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</si>
  <si>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</si>
  <si>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</si>
  <si>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</si>
  <si>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</si>
  <si>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</si>
  <si>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</si>
  <si>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</si>
  <si>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</si>
  <si>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</si>
  <si>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</si>
  <si>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</si>
  <si>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</si>
  <si>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</si>
  <si>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</si>
  <si>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</si>
  <si>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</si>
  <si>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</si>
  <si>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</si>
  <si>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</si>
  <si>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</si>
  <si>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</si>
  <si>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</si>
  <si>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</si>
  <si>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</si>
  <si>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</si>
  <si>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</si>
  <si>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</si>
  <si>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</si>
  <si>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</si>
  <si>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</si>
  <si>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</si>
  <si>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</si>
  <si>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</si>
  <si>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</si>
  <si>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</si>
  <si>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</si>
  <si>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</si>
  <si>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</si>
  <si>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</si>
  <si>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</si>
  <si>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</si>
  <si>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</si>
  <si>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</si>
  <si>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</si>
  <si>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</si>
  <si>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</si>
  <si>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</si>
  <si>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</si>
  <si>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</si>
  <si>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</si>
  <si>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</si>
  <si>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</si>
  <si>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</si>
  <si>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</si>
  <si>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</si>
  <si>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</si>
  <si>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</si>
  <si>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</si>
  <si>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</si>
  <si>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</si>
  <si>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</si>
  <si>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</si>
  <si>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</si>
  <si>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</si>
  <si>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</si>
  <si>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</si>
  <si>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</si>
  <si>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</si>
  <si>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</si>
  <si>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</si>
  <si>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</si>
  <si>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</si>
  <si>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</si>
  <si>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</si>
  <si>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</si>
  <si>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</si>
  <si>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</si>
  <si>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</si>
  <si>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</si>
  <si>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</si>
  <si>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</si>
  <si>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</si>
  <si>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</si>
  <si>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</si>
  <si>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</si>
  <si>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</si>
  <si>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</si>
  <si>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</si>
  <si>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</si>
  <si>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</si>
  <si>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</si>
  <si>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</si>
  <si>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</si>
  <si>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</si>
  <si>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</si>
  <si>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</si>
  <si>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</si>
  <si>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</si>
  <si>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</si>
  <si>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</si>
  <si>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</si>
  <si>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</si>
  <si>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</si>
  <si>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</si>
  <si>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</si>
  <si>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</si>
  <si>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</si>
  <si>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</si>
  <si>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</si>
  <si>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</si>
  <si>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</si>
  <si>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</si>
  <si>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</si>
  <si>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</si>
  <si>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</si>
  <si>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</si>
  <si>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</si>
  <si>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</si>
  <si>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</si>
  <si>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</si>
  <si>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</si>
  <si>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</si>
  <si>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</si>
  <si>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</si>
  <si>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</si>
  <si>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</si>
  <si>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</si>
  <si>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</si>
  <si>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</si>
  <si>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</si>
  <si>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</si>
  <si>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</si>
  <si>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</si>
  <si>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</si>
  <si>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</si>
  <si>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</si>
  <si>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</si>
  <si>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</si>
  <si>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</si>
  <si>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</si>
  <si>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</si>
  <si>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</si>
  <si>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</si>
  <si>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</si>
  <si>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</si>
  <si>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</si>
  <si>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</si>
  <si>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</si>
  <si>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</si>
  <si>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</si>
  <si>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</si>
  <si>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</si>
  <si>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</si>
  <si>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</si>
  <si>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</si>
  <si>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</si>
  <si>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</si>
  <si>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</si>
  <si>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</si>
  <si>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</si>
  <si>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</si>
  <si>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</si>
  <si>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</si>
  <si>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</si>
  <si>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</si>
  <si>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</si>
  <si>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</si>
  <si>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</si>
  <si>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</si>
  <si>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</si>
  <si>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</si>
  <si>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</si>
  <si>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</si>
  <si>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</si>
  <si>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</si>
  <si>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</si>
  <si>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</si>
  <si>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</si>
  <si>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</si>
  <si>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</si>
  <si>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</si>
  <si>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</si>
  <si>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</si>
  <si>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</si>
  <si>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</si>
  <si>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</si>
  <si>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</si>
  <si>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</si>
  <si>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</si>
  <si>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</si>
  <si>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</si>
  <si>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</si>
  <si>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</si>
  <si>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</si>
  <si>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</si>
  <si>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</si>
  <si>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</si>
  <si>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</si>
  <si>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</si>
  <si>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</si>
  <si>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</si>
  <si>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</si>
  <si>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</si>
  <si>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</si>
  <si>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</si>
  <si>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</si>
  <si>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</si>
  <si>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</si>
  <si>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</si>
  <si>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</si>
  <si>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</si>
  <si>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</si>
  <si>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</si>
  <si>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</si>
  <si>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</si>
  <si>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</si>
  <si>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</si>
  <si>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</si>
  <si>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</si>
  <si>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</si>
  <si>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</si>
  <si>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</si>
  <si>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</si>
  <si>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</si>
  <si>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</si>
  <si>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</si>
  <si>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</si>
  <si>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</si>
  <si>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</si>
  <si>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</si>
  <si>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</si>
  <si>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</si>
  <si>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</si>
  <si>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</si>
  <si>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</si>
  <si>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</si>
  <si>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</si>
  <si>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</si>
  <si>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</si>
  <si>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</si>
  <si>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</si>
  <si>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</si>
  <si>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</si>
  <si>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</si>
  <si>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</si>
  <si>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</si>
  <si>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</si>
  <si>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</si>
  <si>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</si>
  <si>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</si>
  <si>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</si>
  <si>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</si>
  <si>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</si>
  <si>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</si>
  <si>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</si>
  <si>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</si>
  <si>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</si>
  <si>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</si>
  <si>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</si>
  <si>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</si>
  <si>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</si>
  <si>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</si>
  <si>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</si>
  <si>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</si>
  <si>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</si>
  <si>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</si>
  <si>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</si>
  <si>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</si>
  <si>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</si>
  <si>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</si>
  <si>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</si>
  <si>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</si>
  <si>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</si>
  <si>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</si>
  <si>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</si>
  <si>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</si>
  <si>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</si>
  <si>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</si>
  <si>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</si>
  <si>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</si>
  <si>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</si>
  <si>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</si>
  <si>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</si>
  <si>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</si>
  <si>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</si>
  <si>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</si>
  <si>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</si>
  <si>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</si>
  <si>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</si>
  <si>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</si>
  <si>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</si>
  <si>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</si>
  <si>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</si>
  <si>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</si>
  <si>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</si>
  <si>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</si>
  <si>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</si>
  <si>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</si>
  <si>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</si>
  <si>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</si>
  <si>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</si>
  <si>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</si>
  <si>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</si>
  <si>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</si>
  <si>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</si>
  <si>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</si>
  <si>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</si>
  <si>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</si>
  <si>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</si>
  <si>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</si>
  <si>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</si>
  <si>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</si>
  <si>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</si>
  <si>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</si>
  <si>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</si>
  <si>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</si>
  <si>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</si>
  <si>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</si>
  <si>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</si>
  <si>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</si>
  <si>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</si>
  <si>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</si>
  <si>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</si>
  <si>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</si>
  <si>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</si>
  <si>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</si>
  <si>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</si>
  <si>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</si>
  <si>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</si>
  <si>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</si>
  <si>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</si>
  <si>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</si>
  <si>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</si>
  <si>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</si>
  <si>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</si>
  <si>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</si>
  <si>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</si>
  <si>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</si>
  <si>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</si>
  <si>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</si>
  <si>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</si>
  <si>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</si>
  <si>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</si>
  <si>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</si>
  <si>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</si>
  <si>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</si>
  <si>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</si>
  <si>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</si>
  <si>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</si>
  <si>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</si>
  <si>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</si>
  <si>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</si>
  <si>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</si>
  <si>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</si>
  <si>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</si>
  <si>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</si>
  <si>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</si>
  <si>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</si>
  <si>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</si>
  <si>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</si>
  <si>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</si>
  <si>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</si>
  <si>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</si>
  <si>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</si>
  <si>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</si>
  <si>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</si>
  <si>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</si>
  <si>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</si>
  <si>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</si>
  <si>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</si>
  <si>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</si>
  <si>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</si>
  <si>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</si>
  <si>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</si>
  <si>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</si>
  <si>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</si>
  <si>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</si>
  <si>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</si>
  <si>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</si>
  <si>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</si>
  <si>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</si>
  <si>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</si>
  <si>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</si>
  <si>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</si>
  <si>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</si>
  <si>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</si>
  <si>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</si>
  <si>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</si>
  <si>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</si>
  <si>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</si>
  <si>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</si>
  <si>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</si>
  <si>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</si>
  <si>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</si>
  <si>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</si>
  <si>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</si>
  <si>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</si>
  <si>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</si>
  <si>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</si>
  <si>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</si>
  <si>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</si>
  <si>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</si>
  <si>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</si>
  <si>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</si>
  <si>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</si>
  <si>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</si>
  <si>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</si>
  <si>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</si>
  <si>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</si>
  <si>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</si>
  <si>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</si>
  <si>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</si>
  <si>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</si>
  <si>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</si>
  <si>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</si>
  <si>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</si>
  <si>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</si>
  <si>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</si>
  <si>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</si>
  <si>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</si>
  <si>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</si>
  <si>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</si>
  <si>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</si>
  <si>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</si>
  <si>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</si>
  <si>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</si>
  <si>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</si>
  <si>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</si>
  <si>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</si>
  <si>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</si>
  <si>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</si>
  <si>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</si>
  <si>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</si>
  <si>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</si>
  <si>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</si>
  <si>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</si>
  <si>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</si>
  <si>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</si>
  <si>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</si>
  <si>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</si>
  <si>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</si>
  <si>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</si>
  <si>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</si>
  <si>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</si>
  <si>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</si>
  <si>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</si>
  <si>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</si>
  <si>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</si>
  <si>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</si>
  <si>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</si>
  <si>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</si>
  <si>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</si>
  <si>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</si>
  <si>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</si>
  <si>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</si>
  <si>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</si>
  <si>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</si>
  <si>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</si>
  <si>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</si>
  <si>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</si>
  <si>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</si>
  <si>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</si>
  <si>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</si>
  <si>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</si>
  <si>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</si>
  <si>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</si>
  <si>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</si>
  <si>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</si>
  <si>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</si>
  <si>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</si>
  <si>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</si>
  <si>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</si>
  <si>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</si>
  <si>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</si>
  <si>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</si>
  <si>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</si>
  <si>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</si>
  <si>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</si>
  <si>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</si>
  <si>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</si>
  <si>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</si>
  <si>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</si>
  <si>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</si>
  <si>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</si>
  <si>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</si>
  <si>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</si>
  <si>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</si>
  <si>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</si>
  <si>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</si>
  <si>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</si>
  <si>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</si>
  <si>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</si>
  <si>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</si>
  <si>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</si>
  <si>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</si>
  <si>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</si>
  <si>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</si>
  <si>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</si>
  <si>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</si>
  <si>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</si>
  <si>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</si>
  <si>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</si>
  <si>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</si>
  <si>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</si>
  <si>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</si>
  <si>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</si>
  <si>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</si>
  <si>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</si>
  <si>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</si>
  <si>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</si>
  <si>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</si>
  <si>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</si>
  <si>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</si>
  <si>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</si>
  <si>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</si>
  <si>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</si>
  <si>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</si>
  <si>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</si>
  <si>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</si>
  <si>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</si>
  <si>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</si>
  <si>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</si>
  <si>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</si>
  <si>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</si>
  <si>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</si>
  <si>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</si>
  <si>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</si>
  <si>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</si>
  <si>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</si>
  <si>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</si>
  <si>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</si>
  <si>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</si>
  <si>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</si>
  <si>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</si>
  <si>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</si>
  <si>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</si>
  <si>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</si>
  <si>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</si>
  <si>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</si>
  <si>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</si>
  <si>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</si>
  <si>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</si>
  <si>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</si>
  <si>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</si>
  <si>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</si>
  <si>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</si>
  <si>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</si>
  <si>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</si>
  <si>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</si>
  <si>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</si>
  <si>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</si>
  <si>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</si>
  <si>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</si>
  <si>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</si>
  <si>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</si>
  <si>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</si>
  <si>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</si>
  <si>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</si>
  <si>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</si>
  <si>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</si>
  <si>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</si>
  <si>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</si>
  <si>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</si>
  <si>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</si>
  <si>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</si>
  <si>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</si>
  <si>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</si>
  <si>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</si>
  <si>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</si>
  <si>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</si>
  <si>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</si>
  <si>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</si>
  <si>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</si>
  <si>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</si>
  <si>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</si>
  <si>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</si>
  <si>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</si>
  <si>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</si>
  <si>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</si>
  <si>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</si>
  <si>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</si>
  <si>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</si>
  <si>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</si>
  <si>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</si>
  <si>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</si>
  <si>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</si>
  <si>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</si>
  <si>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</si>
  <si>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</si>
  <si>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</si>
  <si>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</si>
  <si>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</si>
  <si>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</si>
  <si>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</si>
  <si>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</si>
  <si>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</si>
  <si>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</si>
  <si>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</si>
  <si>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海口市滨海大道西侧、新港经六街以东</t>
  </si>
  <si>
    <t>海口市</t>
  </si>
  <si>
    <t>商业/办公用地</t>
  </si>
  <si>
    <t>挂牌</t>
  </si>
  <si>
    <t>2018-12-17</t>
  </si>
  <si>
    <t>国旅(海口)投资发展有限公司</t>
  </si>
  <si>
    <t>4星</t>
  </si>
  <si>
    <t>海口市博义盐灶棚改项目B-08地块</t>
  </si>
  <si>
    <t>拍卖</t>
  </si>
  <si>
    <t>2016-11-28</t>
  </si>
  <si>
    <t>海口农村商业银行股份有限公司</t>
  </si>
  <si>
    <t>海甸岛沿江西路南侧</t>
  </si>
  <si>
    <t>2016-10-09</t>
  </si>
  <si>
    <t>海南天汇房地产开发有限公司</t>
  </si>
  <si>
    <t>秀英区秀英大道东侧</t>
  </si>
  <si>
    <t>2016-06-15</t>
  </si>
  <si>
    <t>海南泰河置业有限公司</t>
  </si>
  <si>
    <t>3星</t>
  </si>
  <si>
    <t>海口市龙华区城西镇丁村</t>
  </si>
  <si>
    <t>2016-04-15</t>
  </si>
  <si>
    <t>唐建华、唐洁、苏冠文</t>
  </si>
  <si>
    <t>海口市长秀片区蓝城大道西与紫园路交叉口西北角</t>
  </si>
  <si>
    <t>2016-03-11</t>
  </si>
  <si>
    <t>海南恩祥房地产开发有限公司</t>
  </si>
  <si>
    <t>演丰镇演美路北侧</t>
  </si>
  <si>
    <t>2016-03-09</t>
  </si>
  <si>
    <t>海南美信置业有限公司</t>
  </si>
  <si>
    <t>2星</t>
  </si>
  <si>
    <t>海口市茉莉路与民生东路交叉口东北侧</t>
  </si>
  <si>
    <t>2016-03-02</t>
  </si>
  <si>
    <t>海南灵狮创意产业投资有限公司</t>
  </si>
  <si>
    <t>海口市广场路北侧、椰树门广场地下</t>
  </si>
  <si>
    <t>2016-01-22</t>
  </si>
  <si>
    <t>海南城昭房地产开发有限公司</t>
  </si>
  <si>
    <t>海口市新大洲大道南侧玉龙泉湿地公园范围内</t>
  </si>
  <si>
    <t>2016-01-05</t>
  </si>
  <si>
    <t>海南汇鑫源置业有限公司、海南玉龙泉建设有限公司、海口天峡假日开发有限公司</t>
  </si>
  <si>
    <t>西海岸新区南片区</t>
  </si>
  <si>
    <t>2015-12-30</t>
  </si>
  <si>
    <t>长影金源(海南)实业有限公司、长影(海南)置业有限公司、长影(海南)文化旅游有限公司、长影滨海(海南)房地产开发有限公司、长影通达(海南)房地产开发有限公司、长影金岛(海南)房地产开发有限公司等</t>
  </si>
  <si>
    <t>正常</t>
  </si>
  <si>
    <t>地上</t>
  </si>
  <si>
    <t>公寓</t>
  </si>
  <si>
    <t>序号</t>
  </si>
  <si>
    <t>区</t>
  </si>
  <si>
    <t>期数</t>
  </si>
  <si>
    <t>楼栋名称</t>
  </si>
  <si>
    <t>单元</t>
  </si>
  <si>
    <t>房号</t>
  </si>
  <si>
    <t>合并房号</t>
  </si>
  <si>
    <t>建筑面积</t>
  </si>
  <si>
    <t>套内面积</t>
  </si>
  <si>
    <t>西区</t>
  </si>
  <si>
    <t>首期</t>
  </si>
  <si>
    <t>住宅区-3</t>
  </si>
  <si>
    <t/>
  </si>
  <si>
    <t>3-101</t>
  </si>
  <si>
    <t>3-102</t>
  </si>
  <si>
    <t>3-103</t>
  </si>
  <si>
    <t>3-104</t>
  </si>
  <si>
    <t>3-203</t>
  </si>
  <si>
    <t>3-901</t>
  </si>
  <si>
    <t>3-1302</t>
  </si>
  <si>
    <t>3-1802</t>
  </si>
  <si>
    <t>住宅区-4</t>
  </si>
  <si>
    <t>4-502</t>
  </si>
  <si>
    <t>4-1802</t>
  </si>
  <si>
    <t>住宅区-9</t>
  </si>
  <si>
    <t>9-1102</t>
  </si>
  <si>
    <t>住宅区-12</t>
  </si>
  <si>
    <t>12-101</t>
  </si>
  <si>
    <t>12-102</t>
  </si>
  <si>
    <t>12-103</t>
  </si>
  <si>
    <t>12-104</t>
  </si>
  <si>
    <t>12-203</t>
  </si>
  <si>
    <t>12-802</t>
  </si>
  <si>
    <t>12-902</t>
  </si>
  <si>
    <t>12-1802</t>
  </si>
  <si>
    <t>住宅区-13</t>
  </si>
  <si>
    <t>13-102</t>
  </si>
  <si>
    <t>13-104</t>
  </si>
  <si>
    <t>住宅区-15</t>
  </si>
  <si>
    <t>15-1601</t>
  </si>
  <si>
    <t>15-1602</t>
  </si>
  <si>
    <t>15-1603</t>
  </si>
  <si>
    <t>15-1604</t>
  </si>
  <si>
    <t>15-1701</t>
  </si>
  <si>
    <t>住宅区-17</t>
  </si>
  <si>
    <t>17-101</t>
  </si>
  <si>
    <t>17-102</t>
  </si>
  <si>
    <t>17-103</t>
  </si>
  <si>
    <t>17-502</t>
  </si>
  <si>
    <t>住宅区-18</t>
  </si>
  <si>
    <t>18-101</t>
  </si>
  <si>
    <t>18-102</t>
  </si>
  <si>
    <t>18-103</t>
  </si>
  <si>
    <t>18-602</t>
  </si>
  <si>
    <t>18-1002</t>
  </si>
  <si>
    <t>18-1102</t>
  </si>
  <si>
    <t>18-1202</t>
  </si>
  <si>
    <t>18-1402</t>
  </si>
  <si>
    <t>18-1602</t>
  </si>
  <si>
    <t>18-1801</t>
  </si>
  <si>
    <t>四期</t>
  </si>
  <si>
    <t>公寓区-19</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</si>
  <si>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</si>
  <si>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</si>
  <si>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</si>
  <si>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</si>
  <si>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</si>
  <si>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</si>
  <si>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</si>
  <si>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</si>
  <si>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</si>
  <si>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</si>
  <si>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</si>
  <si>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</si>
  <si>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</si>
  <si>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</si>
  <si>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</si>
  <si>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</si>
  <si>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</si>
  <si>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</si>
  <si>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</si>
  <si>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</si>
  <si>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</si>
  <si>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19-218</t>
  </si>
  <si>
    <t>19-913</t>
  </si>
  <si>
    <t>19-1503</t>
  </si>
  <si>
    <t>19-1518</t>
  </si>
  <si>
    <t>公寓区-20</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</si>
  <si>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</si>
  <si>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</si>
  <si>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</si>
  <si>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</si>
  <si>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</si>
  <si>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</si>
  <si>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</si>
  <si>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</si>
  <si>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</si>
  <si>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</si>
  <si>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</si>
  <si>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</si>
  <si>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</si>
  <si>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</si>
  <si>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</si>
  <si>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</si>
  <si>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</si>
  <si>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</si>
  <si>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</si>
  <si>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</si>
  <si>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</si>
  <si>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</si>
  <si>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</si>
  <si>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</si>
  <si>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</si>
  <si>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</si>
  <si>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</si>
  <si>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</si>
  <si>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</si>
  <si>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</si>
  <si>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</si>
  <si>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</si>
  <si>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</si>
  <si>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</si>
  <si>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</si>
  <si>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</si>
  <si>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</si>
  <si>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</si>
  <si>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</si>
  <si>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</si>
  <si>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</si>
  <si>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</si>
  <si>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</si>
  <si>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</si>
  <si>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</si>
  <si>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</si>
  <si>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</si>
  <si>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</si>
  <si>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</si>
  <si>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</si>
  <si>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</si>
  <si>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</si>
  <si>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</si>
  <si>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</si>
  <si>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</si>
  <si>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</si>
  <si>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</si>
  <si>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</si>
  <si>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</si>
  <si>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</si>
  <si>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</si>
  <si>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</si>
  <si>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20-310</t>
  </si>
  <si>
    <t>20-311</t>
  </si>
  <si>
    <t>20-312</t>
  </si>
  <si>
    <t>20-313</t>
  </si>
  <si>
    <t>20-314</t>
  </si>
  <si>
    <t>20-315</t>
  </si>
  <si>
    <t>20-316</t>
  </si>
  <si>
    <t>20-317</t>
  </si>
  <si>
    <t>20-318</t>
  </si>
  <si>
    <t>20-319</t>
  </si>
  <si>
    <t>20-320</t>
  </si>
  <si>
    <t>20-321</t>
  </si>
  <si>
    <t>20-322</t>
  </si>
  <si>
    <t>20-323</t>
  </si>
  <si>
    <t>20-324</t>
  </si>
  <si>
    <t>20-410</t>
  </si>
  <si>
    <t>20-411</t>
  </si>
  <si>
    <t>20-412</t>
  </si>
  <si>
    <t>20-413</t>
  </si>
  <si>
    <t>20-414</t>
  </si>
  <si>
    <t>20-415</t>
  </si>
  <si>
    <t>20-416</t>
  </si>
  <si>
    <t>20-417</t>
  </si>
  <si>
    <t>20-418</t>
  </si>
  <si>
    <t>20-419</t>
  </si>
  <si>
    <t>20-420</t>
  </si>
  <si>
    <t>20-421</t>
  </si>
  <si>
    <t>20-422</t>
  </si>
  <si>
    <t>20-423</t>
  </si>
  <si>
    <t>20-424</t>
  </si>
  <si>
    <t>20-510</t>
  </si>
  <si>
    <t>20-511</t>
  </si>
  <si>
    <t>20-512</t>
  </si>
  <si>
    <t>20-513</t>
  </si>
  <si>
    <t>20-514</t>
  </si>
  <si>
    <t>20-515</t>
  </si>
  <si>
    <t>20-516</t>
  </si>
  <si>
    <t>20-517</t>
  </si>
  <si>
    <t>20-518</t>
  </si>
  <si>
    <t>20-519</t>
  </si>
  <si>
    <t>20-520</t>
  </si>
  <si>
    <t>20-521</t>
  </si>
  <si>
    <t>20-522</t>
  </si>
  <si>
    <t>20-523</t>
  </si>
  <si>
    <t>20-524</t>
  </si>
  <si>
    <t>20-610</t>
  </si>
  <si>
    <t>20-611</t>
  </si>
  <si>
    <t>20-612</t>
  </si>
  <si>
    <t>20-613</t>
  </si>
  <si>
    <t>20-614</t>
  </si>
  <si>
    <t>20-615</t>
  </si>
  <si>
    <t>20-616</t>
  </si>
  <si>
    <t>20-617</t>
  </si>
  <si>
    <t>20-618</t>
  </si>
  <si>
    <t>20-619</t>
  </si>
  <si>
    <t>20-620</t>
  </si>
  <si>
    <t>20-621</t>
  </si>
  <si>
    <t>20-622</t>
  </si>
  <si>
    <t>20-623</t>
  </si>
  <si>
    <t>20-624</t>
  </si>
  <si>
    <t>20-711</t>
  </si>
  <si>
    <t>20-712</t>
  </si>
  <si>
    <t>20-713</t>
  </si>
  <si>
    <t>20-714</t>
  </si>
  <si>
    <t>20-716</t>
  </si>
  <si>
    <t>20-717</t>
  </si>
  <si>
    <t>20-718</t>
  </si>
  <si>
    <t>20-719</t>
  </si>
  <si>
    <t>20-720</t>
  </si>
  <si>
    <t>20-721</t>
  </si>
  <si>
    <t>20-722</t>
  </si>
  <si>
    <t>20-723</t>
  </si>
  <si>
    <t>20-830</t>
  </si>
  <si>
    <t>20-1227</t>
  </si>
  <si>
    <t>20-1416</t>
  </si>
  <si>
    <t>20-1427</t>
  </si>
  <si>
    <t>20-1630</t>
  </si>
  <si>
    <t>20-1826</t>
  </si>
  <si>
    <t>20-1827</t>
  </si>
  <si>
    <t>公寓区-21</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</si>
  <si>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</si>
  <si>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</si>
  <si>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</si>
  <si>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</si>
  <si>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</si>
  <si>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</si>
  <si>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</si>
  <si>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</si>
  <si>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</si>
  <si>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</si>
  <si>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</si>
  <si>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</si>
  <si>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</si>
  <si>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</si>
  <si>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</si>
  <si>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</si>
  <si>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</si>
  <si>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</si>
  <si>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</si>
  <si>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</si>
  <si>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</si>
  <si>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21-301</t>
  </si>
  <si>
    <t>21-304</t>
  </si>
  <si>
    <t>21-307</t>
  </si>
  <si>
    <t>21-311</t>
  </si>
  <si>
    <t>21-313</t>
  </si>
  <si>
    <t>21-314</t>
  </si>
  <si>
    <t>21-315</t>
  </si>
  <si>
    <t>21-316</t>
  </si>
  <si>
    <t>21-317</t>
  </si>
  <si>
    <t>21-319</t>
  </si>
  <si>
    <t>21-320</t>
  </si>
  <si>
    <t>21-321</t>
  </si>
  <si>
    <t>21-406</t>
  </si>
  <si>
    <t>21-410</t>
  </si>
  <si>
    <t>21-413</t>
  </si>
  <si>
    <t>21-414</t>
  </si>
  <si>
    <t>21-415</t>
  </si>
  <si>
    <t>21-416</t>
  </si>
  <si>
    <t>21-417</t>
  </si>
  <si>
    <t>21-418</t>
  </si>
  <si>
    <t>21-419</t>
  </si>
  <si>
    <t>21-420</t>
  </si>
  <si>
    <t>21-421</t>
  </si>
  <si>
    <t>21-1206</t>
  </si>
  <si>
    <t>公寓区-22</t>
  </si>
  <si>
    <t>22-306</t>
  </si>
  <si>
    <t>22-309</t>
  </si>
  <si>
    <t>22-1003</t>
  </si>
  <si>
    <t>22-1218</t>
  </si>
  <si>
    <t>22-1404</t>
  </si>
  <si>
    <t>22-1420</t>
  </si>
  <si>
    <t>六期</t>
  </si>
  <si>
    <t>公寓区-27</t>
  </si>
  <si>
    <t>2单元</t>
  </si>
  <si>
    <t>27-2-2104</t>
  </si>
  <si>
    <t>公寓区-32</t>
  </si>
  <si>
    <t>32-2-501</t>
  </si>
  <si>
    <t>32-2-502</t>
  </si>
  <si>
    <t>32-2-503</t>
  </si>
  <si>
    <t>32-2-504</t>
  </si>
  <si>
    <t>32-2-505</t>
  </si>
  <si>
    <t>32-2-506</t>
  </si>
  <si>
    <t>八期</t>
  </si>
  <si>
    <t>公寓区-42</t>
  </si>
  <si>
    <t>42-101</t>
  </si>
  <si>
    <t>42-102</t>
  </si>
  <si>
    <t>42-103</t>
  </si>
  <si>
    <t>42-104</t>
  </si>
  <si>
    <t>42-105</t>
  </si>
  <si>
    <t>42-205</t>
  </si>
  <si>
    <t>42-2501</t>
  </si>
  <si>
    <t>42-2505</t>
  </si>
  <si>
    <t>公寓区-43</t>
  </si>
  <si>
    <t>43-101</t>
  </si>
  <si>
    <t>43-102</t>
  </si>
  <si>
    <t>43-103</t>
  </si>
  <si>
    <t>43-104</t>
  </si>
  <si>
    <t>43-105</t>
  </si>
  <si>
    <t>43-201</t>
  </si>
  <si>
    <t>43-301</t>
  </si>
  <si>
    <t>43-1801</t>
  </si>
  <si>
    <t>43-2201</t>
  </si>
  <si>
    <t>43-2501</t>
  </si>
  <si>
    <t>43-2503</t>
  </si>
  <si>
    <t>43-2505</t>
  </si>
  <si>
    <t>公寓区-44</t>
  </si>
  <si>
    <t>44-101</t>
  </si>
  <si>
    <t>44-102</t>
  </si>
  <si>
    <t>44-103</t>
  </si>
  <si>
    <t>44-104</t>
  </si>
  <si>
    <t>44-105</t>
  </si>
  <si>
    <t>44-201</t>
  </si>
  <si>
    <t>44-1101</t>
  </si>
  <si>
    <t>44-1701</t>
  </si>
  <si>
    <t>44-1801</t>
  </si>
  <si>
    <t>44-2101</t>
  </si>
  <si>
    <t>44-2501</t>
  </si>
  <si>
    <t>公寓区-45</t>
  </si>
  <si>
    <t>45-101</t>
  </si>
  <si>
    <t>45-102</t>
  </si>
  <si>
    <t>45-103</t>
  </si>
  <si>
    <t>45-104</t>
  </si>
  <si>
    <t>45-201</t>
  </si>
  <si>
    <t>45-401</t>
  </si>
  <si>
    <t>45-2401</t>
  </si>
  <si>
    <t>45-2405</t>
  </si>
  <si>
    <t>45-2501</t>
  </si>
  <si>
    <t>45-2505</t>
  </si>
  <si>
    <t>公寓区-46</t>
  </si>
  <si>
    <t>46-101</t>
  </si>
  <si>
    <t>46-102</t>
  </si>
  <si>
    <t>46-103</t>
  </si>
  <si>
    <t>46-104</t>
  </si>
  <si>
    <t>46-105</t>
  </si>
  <si>
    <t>46-201</t>
  </si>
  <si>
    <t>46-301</t>
  </si>
  <si>
    <t>46-2501</t>
  </si>
  <si>
    <t>46-2503</t>
  </si>
  <si>
    <t>46-2505</t>
  </si>
  <si>
    <t>九期</t>
  </si>
  <si>
    <t>公寓区-47</t>
  </si>
  <si>
    <t>47-101</t>
  </si>
  <si>
    <t>47-102</t>
  </si>
  <si>
    <t>47-103</t>
  </si>
  <si>
    <t>47-104</t>
  </si>
  <si>
    <t>47-201</t>
  </si>
  <si>
    <t>47-202</t>
  </si>
  <si>
    <t>47-203</t>
  </si>
  <si>
    <t>47-204</t>
  </si>
  <si>
    <t>47-205</t>
  </si>
  <si>
    <t>47-301</t>
  </si>
  <si>
    <t>47-302</t>
  </si>
  <si>
    <t>47-403</t>
  </si>
  <si>
    <t>47-603</t>
  </si>
  <si>
    <t>47-1403</t>
  </si>
  <si>
    <t>47-1601</t>
  </si>
  <si>
    <t>47-1703</t>
  </si>
  <si>
    <t>47-2103</t>
  </si>
  <si>
    <t>47-2203</t>
  </si>
  <si>
    <t>47-2403</t>
  </si>
  <si>
    <t>47-2503</t>
  </si>
  <si>
    <t>47-2603</t>
  </si>
  <si>
    <t>47-2703</t>
  </si>
  <si>
    <t>47-2803</t>
  </si>
  <si>
    <t>47-2903</t>
  </si>
  <si>
    <t>47-3001</t>
  </si>
  <si>
    <t>47-3003</t>
  </si>
  <si>
    <t>47-3101</t>
  </si>
  <si>
    <t>47-3102</t>
  </si>
  <si>
    <t>47-3103</t>
  </si>
  <si>
    <t>47-3104</t>
  </si>
  <si>
    <t>47-3105</t>
  </si>
  <si>
    <t>公寓区-48</t>
  </si>
  <si>
    <t>48-101</t>
  </si>
  <si>
    <t>48-102</t>
  </si>
  <si>
    <t>48-103</t>
  </si>
  <si>
    <t>48-104</t>
  </si>
  <si>
    <t>48-201</t>
  </si>
  <si>
    <t>48-202</t>
  </si>
  <si>
    <t>48-203</t>
  </si>
  <si>
    <t>48-204</t>
  </si>
  <si>
    <t>48-205</t>
  </si>
  <si>
    <t>48-301</t>
  </si>
  <si>
    <t>48-302</t>
  </si>
  <si>
    <t>48-1403</t>
  </si>
  <si>
    <t>48-2403</t>
  </si>
  <si>
    <t>48-2703</t>
  </si>
  <si>
    <t>48-3101</t>
  </si>
  <si>
    <t>48-3102</t>
  </si>
  <si>
    <t>48-3103</t>
  </si>
  <si>
    <t>48-3104</t>
  </si>
  <si>
    <t>48-3105</t>
  </si>
  <si>
    <t>公寓区-50</t>
  </si>
  <si>
    <t>50-101</t>
  </si>
  <si>
    <t>50-102</t>
  </si>
  <si>
    <t>50-103</t>
  </si>
  <si>
    <t>50-104</t>
  </si>
  <si>
    <t>50-105</t>
  </si>
  <si>
    <t>50-201</t>
  </si>
  <si>
    <t>50-202</t>
  </si>
  <si>
    <t>50-203</t>
  </si>
  <si>
    <t>50-204</t>
  </si>
  <si>
    <t>50-205</t>
  </si>
  <si>
    <t>50-301</t>
  </si>
  <si>
    <t>50-303</t>
  </si>
  <si>
    <t>50-401</t>
  </si>
  <si>
    <t>50-503</t>
  </si>
  <si>
    <t>50-1103</t>
  </si>
  <si>
    <t>50-1201</t>
  </si>
  <si>
    <t>50-1302</t>
  </si>
  <si>
    <t>50-2105</t>
  </si>
  <si>
    <t>50-3101</t>
  </si>
  <si>
    <t>50-3102</t>
  </si>
  <si>
    <t>50-3103</t>
  </si>
  <si>
    <t>50-3104</t>
  </si>
  <si>
    <t>50-3105</t>
  </si>
  <si>
    <t>公寓区-51</t>
  </si>
  <si>
    <t>51-101</t>
  </si>
  <si>
    <t>51-102</t>
  </si>
  <si>
    <t>51-103</t>
  </si>
  <si>
    <t>51-104</t>
  </si>
  <si>
    <t>51-105</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</si>
  <si>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</si>
  <si>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</si>
  <si>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</si>
  <si>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</si>
  <si>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</si>
  <si>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</si>
  <si>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</si>
  <si>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</si>
  <si>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</si>
  <si>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</si>
  <si>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</si>
  <si>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</si>
  <si>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</si>
  <si>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</si>
  <si>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</si>
  <si>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</si>
  <si>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</si>
  <si>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</si>
  <si>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</si>
  <si>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</si>
  <si>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</si>
  <si>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</si>
  <si>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</si>
  <si>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</si>
  <si>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</si>
  <si>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</si>
  <si>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</si>
  <si>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</si>
  <si>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</si>
  <si>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</si>
  <si>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</si>
  <si>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</si>
  <si>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</si>
  <si>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</si>
  <si>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</si>
  <si>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</si>
  <si>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</si>
  <si>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</si>
  <si>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</si>
  <si>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</si>
  <si>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</si>
  <si>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</si>
  <si>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</si>
  <si>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</si>
  <si>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</si>
  <si>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</si>
  <si>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</si>
  <si>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</si>
  <si>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</si>
  <si>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</si>
  <si>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</si>
  <si>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</si>
  <si>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</si>
  <si>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</si>
  <si>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</si>
  <si>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</si>
  <si>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</si>
  <si>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</si>
  <si>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</si>
  <si>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</si>
  <si>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</si>
  <si>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</si>
  <si>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</si>
  <si>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</si>
  <si>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</si>
  <si>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</si>
  <si>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</si>
  <si>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</si>
  <si>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</si>
  <si>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</si>
  <si>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</si>
  <si>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</si>
  <si>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</si>
  <si>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</si>
  <si>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</si>
  <si>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</si>
  <si>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</si>
  <si>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</si>
  <si>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</si>
  <si>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</si>
  <si>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</si>
  <si>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</si>
  <si>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</si>
  <si>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</si>
  <si>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</si>
  <si>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</si>
  <si>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</si>
  <si>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</si>
  <si>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</si>
  <si>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</si>
  <si>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</si>
  <si>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</si>
  <si>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</si>
  <si>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51-2004</t>
  </si>
  <si>
    <t>51-2005</t>
  </si>
  <si>
    <t>51-2101</t>
  </si>
  <si>
    <t>51-2102</t>
  </si>
  <si>
    <t>51-2103</t>
  </si>
  <si>
    <t>51-2104</t>
  </si>
  <si>
    <t>51-2105</t>
  </si>
  <si>
    <t>三期</t>
  </si>
  <si>
    <t>公寓区-23</t>
  </si>
  <si>
    <t>1单元</t>
  </si>
  <si>
    <t>23-1-1004</t>
  </si>
  <si>
    <t>二期</t>
  </si>
  <si>
    <t>公寓区-37栋1单元</t>
  </si>
  <si>
    <t>37-1-101</t>
  </si>
  <si>
    <t>37-1-102</t>
  </si>
  <si>
    <t>37-1-103</t>
  </si>
  <si>
    <t>37-1-104</t>
  </si>
  <si>
    <t>37-1-105</t>
  </si>
  <si>
    <t>公寓区-37栋2单元</t>
  </si>
  <si>
    <t>37-2-101</t>
  </si>
  <si>
    <t>37-2-102</t>
  </si>
  <si>
    <t>37-2-103</t>
  </si>
  <si>
    <t>37-2-104</t>
  </si>
  <si>
    <t>37-2-105</t>
  </si>
  <si>
    <t>公寓区-38</t>
  </si>
  <si>
    <t>38-101</t>
  </si>
  <si>
    <t>38-102</t>
  </si>
  <si>
    <t>38-103</t>
  </si>
  <si>
    <t>38-104</t>
  </si>
  <si>
    <t>38-105</t>
  </si>
  <si>
    <t>38-106</t>
  </si>
  <si>
    <t>公寓区-39</t>
  </si>
  <si>
    <t>39-1-101</t>
  </si>
  <si>
    <t>39-1-102</t>
  </si>
  <si>
    <t>39-1-103</t>
  </si>
  <si>
    <t>39-1-104</t>
  </si>
  <si>
    <t>39-1-105</t>
  </si>
  <si>
    <t>39-1-106</t>
  </si>
  <si>
    <t>39-2-101</t>
  </si>
  <si>
    <t>39-2-102</t>
  </si>
  <si>
    <t>39-2-103</t>
  </si>
  <si>
    <t>39-2-104</t>
  </si>
  <si>
    <t>39-2-105</t>
  </si>
  <si>
    <t>39-2-106</t>
  </si>
  <si>
    <t>公寓区-40</t>
  </si>
  <si>
    <t>40-102</t>
  </si>
  <si>
    <t>40-103</t>
  </si>
  <si>
    <t>40-104</t>
  </si>
  <si>
    <t>40-105</t>
  </si>
  <si>
    <t>公寓区-41栋1单元</t>
  </si>
  <si>
    <t>41-1-101</t>
  </si>
  <si>
    <t>41-1-102</t>
  </si>
  <si>
    <t>41-1-103</t>
  </si>
  <si>
    <t>41-1-104</t>
  </si>
  <si>
    <t>41-1-105</t>
  </si>
  <si>
    <t>公寓区-41栋2单元</t>
  </si>
  <si>
    <t>41-2-101</t>
  </si>
  <si>
    <t>41-2-102</t>
  </si>
  <si>
    <t>41-2-103</t>
  </si>
  <si>
    <t>41-2-104</t>
  </si>
  <si>
    <t>41-2-105</t>
  </si>
  <si>
    <t>41-2-506</t>
  </si>
  <si>
    <t>公寓区-49</t>
  </si>
  <si>
    <t>49-201</t>
  </si>
  <si>
    <t>49-202</t>
  </si>
  <si>
    <t>49-203</t>
  </si>
  <si>
    <t>49-204</t>
  </si>
  <si>
    <t>49-205</t>
  </si>
  <si>
    <t>49-301</t>
  </si>
  <si>
    <t>49-302</t>
  </si>
  <si>
    <t>49-303</t>
  </si>
  <si>
    <t>49-304</t>
  </si>
  <si>
    <t>49-305</t>
  </si>
  <si>
    <t>49-401</t>
  </si>
  <si>
    <t>49-402</t>
  </si>
  <si>
    <t>49-403</t>
  </si>
  <si>
    <t>49-404</t>
  </si>
  <si>
    <t>49-405</t>
  </si>
  <si>
    <t>49-501</t>
  </si>
  <si>
    <t>49-502</t>
  </si>
  <si>
    <t>49-503</t>
  </si>
  <si>
    <t>49-504</t>
  </si>
  <si>
    <t>49-505</t>
  </si>
  <si>
    <t>49-601</t>
  </si>
  <si>
    <t>49-602</t>
  </si>
  <si>
    <t>49-603</t>
  </si>
  <si>
    <t>49-604</t>
  </si>
  <si>
    <t>49-605</t>
  </si>
  <si>
    <t>49-701</t>
  </si>
  <si>
    <t>49-702</t>
  </si>
  <si>
    <t>49-703</t>
  </si>
  <si>
    <t>49-704</t>
  </si>
  <si>
    <t>49-705</t>
  </si>
  <si>
    <t>49-801</t>
  </si>
  <si>
    <t>49-802</t>
  </si>
  <si>
    <t>49-803</t>
  </si>
  <si>
    <t>49-804</t>
  </si>
  <si>
    <t>49-805</t>
  </si>
  <si>
    <t>49-901</t>
  </si>
  <si>
    <t>49-902</t>
  </si>
  <si>
    <t>49-903</t>
  </si>
  <si>
    <t>49-904</t>
  </si>
  <si>
    <t>49-905</t>
  </si>
  <si>
    <t>49-1001</t>
  </si>
  <si>
    <t>49-1002</t>
  </si>
  <si>
    <t>49-1003</t>
  </si>
  <si>
    <t>49-1004</t>
  </si>
  <si>
    <t>49-1005</t>
  </si>
  <si>
    <t>49-1101</t>
  </si>
  <si>
    <t>49-1102</t>
  </si>
  <si>
    <t>49-1103</t>
  </si>
  <si>
    <t>49-1104</t>
  </si>
  <si>
    <t>49-1105</t>
  </si>
  <si>
    <t>49-1201</t>
  </si>
  <si>
    <t>49-1202</t>
  </si>
  <si>
    <t>49-1203</t>
  </si>
  <si>
    <t>49-1204</t>
  </si>
  <si>
    <t>49-1205</t>
  </si>
  <si>
    <t>49-1301</t>
  </si>
  <si>
    <t>49-1302</t>
  </si>
  <si>
    <t>49-1303</t>
  </si>
  <si>
    <t>49-1304</t>
  </si>
  <si>
    <t>49-1305</t>
  </si>
  <si>
    <t>49-1401</t>
  </si>
  <si>
    <t>49-1402</t>
  </si>
  <si>
    <t>49-1403</t>
  </si>
  <si>
    <t>49-1404</t>
  </si>
  <si>
    <t>49-1405</t>
  </si>
  <si>
    <t>49-1501</t>
  </si>
  <si>
    <t>49-1502</t>
  </si>
  <si>
    <t>49-1503</t>
  </si>
  <si>
    <t>49-1504</t>
  </si>
  <si>
    <t>49-1505</t>
  </si>
  <si>
    <t>49-1601</t>
  </si>
  <si>
    <t>49-1602</t>
  </si>
  <si>
    <t>49-1603</t>
  </si>
  <si>
    <t>49-1604</t>
  </si>
  <si>
    <t>49-1605</t>
  </si>
  <si>
    <t>49-1701</t>
  </si>
  <si>
    <t>49-1702</t>
  </si>
  <si>
    <t>49-1703</t>
  </si>
  <si>
    <t>49-1704</t>
  </si>
  <si>
    <t>49-1705</t>
  </si>
  <si>
    <t>49-1801</t>
  </si>
  <si>
    <t>49-1802</t>
  </si>
  <si>
    <t>49-1803</t>
  </si>
  <si>
    <t>49-1804</t>
  </si>
  <si>
    <t>49-1805</t>
  </si>
  <si>
    <t>49-1901</t>
  </si>
  <si>
    <t>49-1902</t>
  </si>
  <si>
    <t>49-1903</t>
  </si>
  <si>
    <t>49-1904</t>
  </si>
  <si>
    <t>49-1905</t>
  </si>
  <si>
    <t>49-2001</t>
  </si>
  <si>
    <t>49-2002</t>
  </si>
  <si>
    <t>49-2003</t>
  </si>
  <si>
    <t>49-2004</t>
  </si>
  <si>
    <t>49-2005</t>
  </si>
  <si>
    <t>49-2101</t>
  </si>
  <si>
    <t>49-2102</t>
  </si>
  <si>
    <t>49-2103</t>
  </si>
  <si>
    <t>49-2104</t>
  </si>
  <si>
    <t>49-2105</t>
  </si>
  <si>
    <t>49-2201</t>
  </si>
  <si>
    <t>49-2202</t>
  </si>
  <si>
    <t>49-2203</t>
  </si>
  <si>
    <t>49-2204</t>
  </si>
  <si>
    <t>49-2205</t>
  </si>
  <si>
    <t>49-2301</t>
  </si>
  <si>
    <t>49-2302</t>
  </si>
  <si>
    <t>49-2303</t>
  </si>
  <si>
    <t>49-2304</t>
  </si>
  <si>
    <t>49-2305</t>
  </si>
  <si>
    <t>49-2401</t>
  </si>
  <si>
    <t>49-2402</t>
  </si>
  <si>
    <t>49-2403</t>
  </si>
  <si>
    <t>49-2404</t>
  </si>
  <si>
    <t>49-2405</t>
  </si>
  <si>
    <t>49-2501</t>
  </si>
  <si>
    <t>49-2502</t>
  </si>
  <si>
    <t>49-2503</t>
  </si>
  <si>
    <t>49-2504</t>
  </si>
  <si>
    <t>49-2505</t>
  </si>
  <si>
    <t>49-2601</t>
  </si>
  <si>
    <t>49-2602</t>
  </si>
  <si>
    <t>49-2603</t>
  </si>
  <si>
    <t>49-2604</t>
  </si>
  <si>
    <t>49-2605</t>
  </si>
  <si>
    <t>49-2701</t>
  </si>
  <si>
    <t>49-2702</t>
  </si>
  <si>
    <t>49-2703</t>
  </si>
  <si>
    <t>49-2704</t>
  </si>
  <si>
    <t>49-2705</t>
  </si>
  <si>
    <t>49-2801</t>
  </si>
  <si>
    <t>49-2802</t>
  </si>
  <si>
    <t>49-2803</t>
  </si>
  <si>
    <t>49-2804</t>
  </si>
  <si>
    <t>49-2805</t>
  </si>
  <si>
    <t>49-2901</t>
  </si>
  <si>
    <t>49-2902</t>
  </si>
  <si>
    <t>49-2903</t>
  </si>
  <si>
    <t>49-2904</t>
  </si>
  <si>
    <t>49-2905</t>
  </si>
  <si>
    <t>49-3001</t>
  </si>
  <si>
    <t>49-3002</t>
  </si>
  <si>
    <t>49-3003</t>
  </si>
  <si>
    <t>49-3004</t>
  </si>
  <si>
    <t>49-3005</t>
  </si>
  <si>
    <t>49-3101</t>
  </si>
  <si>
    <t>49-3102</t>
  </si>
  <si>
    <t>49-3103</t>
  </si>
  <si>
    <t>49-3104</t>
  </si>
  <si>
    <t>49-3105</t>
  </si>
  <si>
    <t>五期</t>
    <phoneticPr fontId="143" type="noConversion"/>
  </si>
  <si>
    <t>双拼别墅区-52_110</t>
  </si>
  <si>
    <t>53栋</t>
  </si>
  <si>
    <t>102</t>
  </si>
  <si>
    <t>53-102</t>
    <phoneticPr fontId="143" type="noConversion"/>
  </si>
  <si>
    <t>54栋</t>
  </si>
  <si>
    <t>101</t>
  </si>
  <si>
    <t>54-101</t>
    <phoneticPr fontId="143" type="noConversion"/>
  </si>
  <si>
    <t>54-102</t>
    <phoneticPr fontId="143" type="noConversion"/>
  </si>
  <si>
    <t>74栋</t>
  </si>
  <si>
    <t>74-101</t>
    <phoneticPr fontId="143" type="noConversion"/>
  </si>
  <si>
    <t>是</t>
  </si>
  <si>
    <t>未包含在土地购买价格中</t>
  </si>
  <si>
    <t>已包含在土地取得成本中</t>
  </si>
  <si>
    <t>成本法</t>
  </si>
  <si>
    <t>假设开发法</t>
  </si>
  <si>
    <t>住宅</t>
  </si>
  <si>
    <t>住宅</t>
    <phoneticPr fontId="7" type="noConversion"/>
  </si>
  <si>
    <t>已全部缴纳</t>
  </si>
  <si>
    <t>现房</t>
    <phoneticPr fontId="143" type="noConversion"/>
  </si>
  <si>
    <t>总计</t>
    <phoneticPr fontId="143" type="noConversion"/>
  </si>
  <si>
    <t>在建</t>
    <phoneticPr fontId="143" type="noConversion"/>
  </si>
  <si>
    <t>钢</t>
    <phoneticPr fontId="25" type="noConversion"/>
  </si>
  <si>
    <t>钢混</t>
  </si>
  <si>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</si>
  <si>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</si>
  <si>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</si>
  <si>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</si>
  <si>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</si>
  <si>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</si>
  <si>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</si>
  <si>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</si>
  <si>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</si>
  <si>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</si>
  <si>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</si>
  <si>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</si>
  <si>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</si>
  <si>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七通</t>
  </si>
  <si>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</si>
  <si>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</si>
  <si>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</si>
  <si>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</si>
  <si>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</si>
  <si>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</si>
  <si>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</si>
  <si>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住宅</t>
    <phoneticPr fontId="25" type="noConversion"/>
  </si>
  <si>
    <t>40-50（含）</t>
  </si>
  <si>
    <t>60-70（含）</t>
  </si>
  <si>
    <t>较差</t>
  </si>
  <si>
    <t>一般</t>
  </si>
  <si>
    <t>较好</t>
  </si>
  <si>
    <t>碧桂园·剑桥郡</t>
    <phoneticPr fontId="3" type="noConversion"/>
  </si>
  <si>
    <t>紫竹园</t>
    <phoneticPr fontId="3" type="noConversion"/>
  </si>
  <si>
    <t>金地华府</t>
    <phoneticPr fontId="3" type="noConversion"/>
  </si>
  <si>
    <t>海口市红城湖棚改片区</t>
  </si>
  <si>
    <t>综合用地(含住宅)</t>
  </si>
  <si>
    <t>≤3.54</t>
  </si>
  <si>
    <t>2019-04-11</t>
  </si>
  <si>
    <t>中国建筑一局(集团)有限公司</t>
  </si>
  <si>
    <t>≤5.18</t>
  </si>
  <si>
    <t>中国交通建设股份有限公司</t>
  </si>
  <si>
    <t>海口市坡博坡巷片区棚改C-6-13地块</t>
  </si>
  <si>
    <t>≥1且≤4.25</t>
  </si>
  <si>
    <t>2019-02-21</t>
  </si>
  <si>
    <t>中建一局</t>
  </si>
  <si>
    <t>海口市坡博坡巷棚改C-4-13地块</t>
  </si>
  <si>
    <t>≥1且≤4.4</t>
  </si>
  <si>
    <t>海口市美兰区滨江路南侧A0508-4地块</t>
  </si>
  <si>
    <t>住宅用地</t>
  </si>
  <si>
    <t>≥1且≤3.47</t>
  </si>
  <si>
    <t>龙华区龙桥镇</t>
  </si>
  <si>
    <t>≥1且≤1.2</t>
  </si>
  <si>
    <t>2018-12-30</t>
  </si>
  <si>
    <t>海南华谊冯小刚文化旅游实业有限公司</t>
  </si>
  <si>
    <t>≥1且≤1.5</t>
  </si>
  <si>
    <t>海南骏博旅游发展有限公司</t>
  </si>
  <si>
    <t>秀英区永兴镇</t>
  </si>
  <si>
    <t>≥1且≤2</t>
  </si>
  <si>
    <t>海南盛维旅游发展有限公司</t>
  </si>
  <si>
    <t>1星</t>
  </si>
  <si>
    <t>海口市面前坡片区棚户区改造项目回迁安置房用地B0602地块</t>
  </si>
  <si>
    <t>≥1且≤4.15</t>
  </si>
  <si>
    <t>2018-12-29</t>
  </si>
  <si>
    <t>海南第三建设工程有限公司</t>
  </si>
  <si>
    <t>海口市面前坡片区棚户区改造项目回迁安置房用地B0303地块</t>
  </si>
  <si>
    <t>海口市西海岸新区南片区</t>
  </si>
  <si>
    <t>≥1且≤3</t>
  </si>
  <si>
    <t>海南复兴城产业园投资管理有限公司</t>
  </si>
  <si>
    <t>≥1且≤3.5</t>
  </si>
  <si>
    <t>海口市面前坡片区棚户区改造项目回迁安置房B0103地块</t>
  </si>
  <si>
    <t>≤5.5</t>
  </si>
  <si>
    <t>海口市面前坡片区棚户区改造项目回迁安置房A0105地块</t>
  </si>
  <si>
    <t>海口市美苑路以西、美祥路南侧,下洋瓦灶片区棚户区改造项目C0502地块</t>
  </si>
  <si>
    <t>≥1且≤5.414</t>
  </si>
  <si>
    <t>2018-12-06</t>
  </si>
  <si>
    <t>山西建设发展有限公司</t>
  </si>
  <si>
    <t>海口市龙岐村</t>
  </si>
  <si>
    <t>≥1且≤5</t>
  </si>
  <si>
    <t>2018-11-16</t>
  </si>
  <si>
    <t>中交第四公路工程局有限公司</t>
  </si>
  <si>
    <t>海口市滨江西路西侧白沙坊棚户区</t>
  </si>
  <si>
    <t>≥1且≤5.72</t>
  </si>
  <si>
    <t>≥1且≤5.5</t>
  </si>
  <si>
    <t>绿地控股集团有限公司</t>
  </si>
  <si>
    <t>海口市龙华区龙桥镇</t>
  </si>
  <si>
    <t>2018-04-04</t>
  </si>
  <si>
    <t>海南观澜湖实业发展有限公司</t>
  </si>
  <si>
    <t>海口市椰海大道与永万路交汇处西北角</t>
  </si>
  <si>
    <t>≥1且≤2.8</t>
  </si>
  <si>
    <t>海南恩祥新城实业有限公司</t>
  </si>
  <si>
    <t>≥1且≤2.5</t>
  </si>
  <si>
    <t>海口市秀英区永兴镇</t>
  </si>
  <si>
    <t>≥1且≤1.9</t>
  </si>
  <si>
    <t>海南骏豪实业有限公司</t>
  </si>
  <si>
    <t>海南观澜湖华谊冯小刚文化旅游实业有限公司</t>
  </si>
  <si>
    <t>海口市江东组团白驹大道南侧E4002地块</t>
  </si>
  <si>
    <t>2017-12-12</t>
  </si>
  <si>
    <t>海南发展控股置业集团有限公司</t>
  </si>
  <si>
    <t>海口市江东组团白驹大道南侧E4502地块</t>
  </si>
  <si>
    <t>≥1且≤2.6</t>
  </si>
  <si>
    <t>海口市江东组团白驹大道南侧E4302地块</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</si>
  <si>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</si>
  <si>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</si>
  <si>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</si>
  <si>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</si>
  <si>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</si>
  <si>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</si>
  <si>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</si>
  <si>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</si>
  <si>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</si>
  <si>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</si>
  <si>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</si>
  <si>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</si>
  <si>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</si>
  <si>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</si>
  <si>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</si>
  <si>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住宅</t>
    <phoneticPr fontId="31" type="noConversion"/>
  </si>
  <si>
    <t>高速</t>
    <phoneticPr fontId="31" type="noConversion"/>
  </si>
  <si>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</si>
  <si>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</si>
  <si>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</si>
  <si>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</si>
  <si>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</si>
  <si>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</si>
  <si>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phoneticPr fontId="31" type="noConversion"/>
  </si>
  <si>
    <t>较不规则</t>
  </si>
  <si>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</si>
  <si>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</si>
  <si>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</si>
  <si>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</si>
  <si>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</si>
  <si>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</si>
  <si>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</si>
  <si>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</si>
  <si>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</si>
  <si>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</si>
  <si>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</si>
  <si>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</si>
  <si>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</si>
  <si>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t>单面临街</t>
  </si>
  <si>
    <t>城市支路—迎宾大道</t>
    <phoneticPr fontId="31" type="noConversion"/>
  </si>
  <si>
    <t>双面临街</t>
  </si>
  <si>
    <t>吴薇</t>
  </si>
  <si>
    <t>郑燚</t>
  </si>
  <si>
    <t>普通住宅</t>
  </si>
  <si>
    <t>普通住宅</t>
    <phoneticPr fontId="25" type="noConversion"/>
  </si>
  <si>
    <t>公寓</t>
    <phoneticPr fontId="25" type="noConversion"/>
  </si>
  <si>
    <t>成本比率</t>
  </si>
  <si>
    <t>普通装修</t>
  </si>
  <si>
    <t>测算结果</t>
  </si>
  <si>
    <t>总价</t>
  </si>
  <si>
    <t>单价</t>
  </si>
  <si>
    <t>评估价值</t>
  </si>
  <si>
    <t>(规划)建筑面积</t>
  </si>
  <si>
    <t>(分摊)土地面积</t>
  </si>
  <si>
    <t>出让国有建设用地使用权价值</t>
  </si>
  <si>
    <t>在建建筑物价值</t>
  </si>
  <si>
    <t>房地产价值</t>
  </si>
  <si>
    <t>总 价</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</si>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</sst>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 numFmtId="198"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b/>
      <sz val="14"/>
      <name val="宋体"/>
      <family val="3"/>
      <charset val="134"/>
      <scheme val="minor"/>
    </font>
    <font>
      <sz val="10"/>
      <color rgb="FF000000"/>
      <name val="宋体"/>
      <family val="3"/>
      <charset val="134"/>
      <scheme val="minor"/>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254"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0" borderId="0" xfId="0" applyAlignment="1">
      <alignment horizontal="center" vertical="center" wrapText="1"/>
    </xf>
    <xf numFmtId="0" fontId="0" fillId="9" borderId="0" xfId="0" applyFill="1" applyAlignment="1">
      <alignment horizontal="center" vertical="center" wrapText="1"/>
    </xf>
    <xf numFmtId="197" fontId="206" fillId="0" borderId="1" xfId="17" applyNumberFormat="1" applyFont="1" applyFill="1" applyBorder="1" applyAlignment="1">
      <alignment horizontal="center" vertical="center" wrapText="1" readingOrder="1"/>
    </xf>
    <xf numFmtId="0" fontId="255" fillId="0" borderId="1" xfId="0" applyFont="1" applyFill="1" applyBorder="1" applyAlignment="1">
      <alignment horizontal="center" vertical="center" wrapText="1"/>
    </xf>
    <xf numFmtId="0" fontId="211" fillId="0" borderId="0" xfId="0" applyFont="1" applyAlignment="1">
      <alignment horizontal="center"/>
    </xf>
    <xf numFmtId="198" fontId="256" fillId="0" borderId="1" xfId="17" applyNumberFormat="1" applyFont="1" applyFill="1" applyBorder="1" applyAlignment="1">
      <alignment horizontal="center" vertical="center" wrapText="1" readingOrder="1"/>
    </xf>
    <xf numFmtId="197" fontId="256" fillId="0" borderId="1" xfId="17" applyNumberFormat="1" applyFont="1" applyFill="1" applyBorder="1" applyAlignment="1">
      <alignment horizontal="center" vertical="center" wrapText="1" readingOrder="1"/>
    </xf>
    <xf numFmtId="0" fontId="256" fillId="0" borderId="1" xfId="17" applyNumberFormat="1" applyFont="1" applyFill="1" applyBorder="1" applyAlignment="1">
      <alignment horizontal="center" vertical="center" wrapText="1" readingOrder="1"/>
    </xf>
    <xf numFmtId="0" fontId="0" fillId="0" borderId="0" xfId="0" applyFill="1" applyAlignment="1">
      <alignment horizontal="center"/>
    </xf>
    <xf numFmtId="0" fontId="0" fillId="0" borderId="0" xfId="0" applyAlignment="1">
      <alignment horizontal="center"/>
    </xf>
    <xf numFmtId="198" fontId="256" fillId="7" borderId="1" xfId="17" applyNumberFormat="1" applyFont="1" applyFill="1" applyBorder="1" applyAlignment="1">
      <alignment horizontal="center" vertical="center" wrapText="1" readingOrder="1"/>
    </xf>
    <xf numFmtId="197" fontId="256" fillId="7" borderId="1" xfId="17" applyNumberFormat="1" applyFont="1" applyFill="1" applyBorder="1" applyAlignment="1">
      <alignment horizontal="center" vertical="center" wrapText="1" readingOrder="1"/>
    </xf>
    <xf numFmtId="0" fontId="256" fillId="7" borderId="1" xfId="17" applyNumberFormat="1" applyFont="1" applyFill="1" applyBorder="1" applyAlignment="1">
      <alignment horizontal="center" vertical="center" wrapText="1" readingOrder="1"/>
    </xf>
    <xf numFmtId="0" fontId="100" fillId="7" borderId="1" xfId="0" applyFont="1" applyFill="1" applyBorder="1" applyAlignment="1">
      <alignment horizontal="center" vertical="center" wrapText="1" readingOrder="1"/>
    </xf>
    <xf numFmtId="197" fontId="100" fillId="7" borderId="1" xfId="0" applyNumberFormat="1" applyFont="1" applyFill="1" applyBorder="1" applyAlignment="1">
      <alignment horizontal="center" vertical="center" wrapText="1" readingOrder="1"/>
    </xf>
    <xf numFmtId="0" fontId="100" fillId="0" borderId="0" xfId="0" applyFont="1" applyAlignment="1">
      <alignment horizontal="center" vertical="center"/>
    </xf>
    <xf numFmtId="0" fontId="0" fillId="0" borderId="0" xfId="0" applyAlignment="1">
      <alignment horizontal="center" vertical="center" wrapText="1" readingOrder="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wrapText="1"/>
    </xf>
    <xf numFmtId="0" fontId="257"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5" borderId="0" xfId="0" applyFill="1" applyAlignment="1"/>
    <xf numFmtId="49" fontId="98" fillId="0" borderId="14" xfId="0" applyNumberFormat="1" applyFont="1" applyFill="1" applyBorder="1" applyAlignment="1" applyProtection="1">
      <alignment horizontal="center" vertical="center" wrapText="1"/>
      <protection locked="0"/>
    </xf>
    <xf numFmtId="197" fontId="0" fillId="0" borderId="0" xfId="0" applyNumberFormat="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00" fillId="7" borderId="1" xfId="0" applyFont="1" applyFill="1" applyBorder="1" applyAlignment="1">
      <alignment horizontal="center" vertical="center" wrapText="1" readingOrder="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023;&#21335;&#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清单"/>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04">
          <cell r="E704">
            <v>24350.95</v>
          </cell>
        </row>
        <row r="713">
          <cell r="E713">
            <v>14758.15</v>
          </cell>
        </row>
      </sheetData>
      <sheetData sheetId="13"/>
      <sheetData sheetId="14"/>
      <sheetData sheetId="15"/>
      <sheetData sheetId="16"/>
      <sheetData sheetId="17">
        <row r="14">
          <cell r="B14">
            <v>31364.38000000031</v>
          </cell>
          <cell r="C14">
            <v>14756.35</v>
          </cell>
          <cell r="D14">
            <v>53780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估价对象为出让国有建设用地使用权及在建建筑物房地产，为所有。根据《国有土地使用证》[]，估价对象（分摊）出让国有建设用地使用权面积为16074.03平方米，建筑面积为34338.32平方米。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2019年8月12日（评估专业人员实地查勘之日）</v>
      </c>
    </row>
    <row r="13" spans="1:2" s="1595" customFormat="1">
      <c r="A13" s="1593" t="s">
        <v>1223</v>
      </c>
      <c r="B13" s="1594"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50804</v>
      </c>
    </row>
    <row r="21" spans="1:2" s="1595" customFormat="1">
      <c r="A21" s="1593" t="s">
        <v>1231</v>
      </c>
      <c r="B21" s="1594">
        <f ca="1">'预评函-2'!D7</f>
        <v>14795</v>
      </c>
    </row>
    <row r="22" spans="1:2" s="1595" customFormat="1">
      <c r="A22" s="1593" t="s">
        <v>1232</v>
      </c>
      <c r="B22" s="1594" t="str">
        <f ca="1">'预评函-2'!D6</f>
        <v>伍亿零捌佰零肆万元整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50804</v>
      </c>
    </row>
    <row r="31" spans="1:2" s="1595" customFormat="1">
      <c r="A31" s="1593" t="s">
        <v>1270</v>
      </c>
      <c r="B31" s="1594">
        <f ca="1">'预评函-2'!D15</f>
        <v>14795</v>
      </c>
    </row>
    <row r="32" spans="1:2" s="1595" customFormat="1">
      <c r="A32" s="1593" t="s">
        <v>1237</v>
      </c>
      <c r="B32" s="1594" t="str">
        <f ca="1">'预评函-2'!D14</f>
        <v>伍亿零捌佰零肆万元整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34338.32</v>
      </c>
    </row>
    <row r="44" spans="1:2" s="1595" customFormat="1">
      <c r="A44" s="1593" t="s">
        <v>1269</v>
      </c>
      <c r="B44" s="1594" t="str">
        <f>'预评函-3'!C2</f>
        <v>(分摊)土地面积</v>
      </c>
    </row>
    <row r="45" spans="1:2" s="1595" customFormat="1">
      <c r="A45" s="1593" t="s">
        <v>1241</v>
      </c>
      <c r="B45" s="1594">
        <f>'预评函-3'!C4</f>
        <v>16074.03</v>
      </c>
    </row>
    <row r="46" spans="1:2" s="1595" customFormat="1">
      <c r="A46" s="1593" t="s">
        <v>1267</v>
      </c>
      <c r="B46" s="1594" t="str">
        <f>'预评函-3'!D2</f>
        <v>出让国有建设用地使用权价值</v>
      </c>
    </row>
    <row r="47" spans="1:2" s="1595" customFormat="1">
      <c r="A47" s="1593" t="s">
        <v>1242</v>
      </c>
      <c r="B47" s="1594">
        <f ca="1">'预评函-3'!D4</f>
        <v>27333</v>
      </c>
    </row>
    <row r="48" spans="1:2" s="1595" customFormat="1">
      <c r="A48" s="1593" t="s">
        <v>1243</v>
      </c>
      <c r="B48" s="1594">
        <f ca="1">'预评函-3'!E4</f>
        <v>7960</v>
      </c>
    </row>
    <row r="49" spans="1:2" s="1595" customFormat="1">
      <c r="A49" s="1593" t="s">
        <v>1244</v>
      </c>
      <c r="B49" s="1594" t="str">
        <f ca="1">'预评函-3'!D5</f>
        <v>贰亿柒仟叁佰叁拾叁万元整</v>
      </c>
    </row>
    <row r="50" spans="1:2" s="1595" customFormat="1">
      <c r="A50" s="1593" t="s">
        <v>1268</v>
      </c>
      <c r="B50" s="1594" t="str">
        <f>'预评函-3'!F2</f>
        <v>在建建筑物价值</v>
      </c>
    </row>
    <row r="51" spans="1:2" s="1595" customFormat="1">
      <c r="A51" s="1593" t="s">
        <v>1245</v>
      </c>
      <c r="B51" s="1594">
        <f ca="1">'预评函-3'!F4</f>
        <v>23471</v>
      </c>
    </row>
    <row r="52" spans="1:2" s="1595" customFormat="1">
      <c r="A52" s="1593" t="s">
        <v>1246</v>
      </c>
      <c r="B52" s="1594">
        <f ca="1">'预评函-3'!G4</f>
        <v>6835</v>
      </c>
    </row>
    <row r="53" spans="1:2" s="1595" customFormat="1">
      <c r="A53" s="1593" t="s">
        <v>1274</v>
      </c>
      <c r="B53" s="1594" t="str">
        <f ca="1">'预评函-3'!F5</f>
        <v>贰亿叁仟肆佰柒拾壹万元整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1" sqref="B4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18"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861</v>
      </c>
      <c r="C54" s="2021" t="s">
        <v>1277</v>
      </c>
    </row>
    <row r="55" spans="1:4">
      <c r="A55" s="3018"/>
      <c r="B55" s="2024" t="s">
        <v>862</v>
      </c>
      <c r="C55" s="2021" t="s">
        <v>1278</v>
      </c>
    </row>
    <row r="56" spans="1:4">
      <c r="A56" s="3018"/>
      <c r="B56" s="2024" t="s">
        <v>863</v>
      </c>
      <c r="C56" s="2021" t="s">
        <v>1282</v>
      </c>
    </row>
    <row r="57" spans="1:4">
      <c r="A57" s="3018"/>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19" t="str">
        <f>IF(B10="北京市","北京市",C10)&amp;F10&amp;IF(结果表!G1="在建","出让国有建设用地使用权及在建建筑物",IF(结果表!G1="土地","出让国有建设用地使用权",))&amp;B9&amp;"预评估"</f>
        <v>出让国有建设用地使用权及在建建筑物预评估</v>
      </c>
      <c r="C1" s="3020"/>
      <c r="D1" s="3020"/>
      <c r="E1" s="3020"/>
      <c r="F1" s="3020"/>
      <c r="G1" s="3020"/>
      <c r="H1" s="3020"/>
      <c r="I1" s="302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v>43689</v>
      </c>
      <c r="C3" s="2039" t="s">
        <v>1775</v>
      </c>
      <c r="D3" s="2038">
        <f>B3</f>
        <v>43689</v>
      </c>
      <c r="E3" s="2028"/>
      <c r="F3" s="2028"/>
      <c r="G3" s="2028"/>
      <c r="H3" s="2028"/>
      <c r="I3" s="2028"/>
      <c r="J3" s="2028"/>
      <c r="K3" s="2029"/>
      <c r="L3" s="2030"/>
      <c r="M3" s="2030"/>
      <c r="N3" s="2031"/>
      <c r="O3" s="2032"/>
      <c r="P3" s="2031"/>
      <c r="Q3" s="2031"/>
      <c r="R3" s="2031"/>
      <c r="S3" s="2033"/>
    </row>
    <row r="4" spans="1:19" ht="18" customHeight="1" thickBot="1">
      <c r="A4" s="2040" t="s">
        <v>1776</v>
      </c>
      <c r="B4" s="2041" t="s">
        <v>4014</v>
      </c>
      <c r="C4" s="1040">
        <f ca="1">SUMIF(注册房地产估价师,B4,估价师及机构信息!B3:B24)</f>
        <v>1419970001</v>
      </c>
      <c r="D4" s="2041" t="s">
        <v>4015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22"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23"/>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59849</v>
      </c>
      <c r="E13" s="2082"/>
      <c r="F13" s="2082"/>
      <c r="G13" s="2082"/>
      <c r="H13" s="2082"/>
      <c r="I13" s="1050"/>
      <c r="J13" s="2044"/>
      <c r="K13" s="2056"/>
      <c r="L13" s="2030"/>
      <c r="M13" s="2030"/>
      <c r="N13" s="2031"/>
      <c r="O13" s="2032"/>
      <c r="P13" s="2031"/>
      <c r="Q13" s="2031"/>
      <c r="R13" s="2031"/>
    </row>
    <row r="14" spans="1:19" ht="18" customHeight="1">
      <c r="A14" s="2079"/>
      <c r="B14" s="2080"/>
      <c r="C14" s="2081" t="s">
        <v>1795</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1796</v>
      </c>
      <c r="D15" s="1052">
        <f>IF(B12="出让",IF(D13="","",ROUNDDOWN(MIN((D13-$D$3)/365,D14),2)),D14)</f>
        <v>44.27</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29"/>
      <c r="C16" s="3030"/>
      <c r="D16" s="3031"/>
      <c r="E16" s="2088" t="s">
        <v>1798</v>
      </c>
      <c r="F16" s="3032"/>
      <c r="G16" s="3033"/>
      <c r="H16" s="3033"/>
      <c r="I16" s="3034"/>
      <c r="J16" s="2031"/>
      <c r="K16" s="2085"/>
      <c r="L16" s="2086"/>
      <c r="M16" s="2086"/>
      <c r="N16" s="2087"/>
      <c r="O16" s="2086"/>
      <c r="P16" s="2087"/>
      <c r="Q16" s="2031"/>
      <c r="R16" s="2031"/>
    </row>
    <row r="17" spans="1:22" ht="18" customHeight="1">
      <c r="A17" s="2089" t="s">
        <v>1799</v>
      </c>
      <c r="B17" s="2037" t="s">
        <v>1800</v>
      </c>
      <c r="C17" s="1057">
        <f>'数据-汇总表'!E3</f>
        <v>34338.32</v>
      </c>
      <c r="D17" s="2090" t="s">
        <v>1801</v>
      </c>
      <c r="E17" s="3035" t="s">
        <v>1802</v>
      </c>
      <c r="F17" s="3036"/>
      <c r="G17" s="3036"/>
      <c r="H17" s="3036"/>
      <c r="I17" s="3037"/>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16074.03</v>
      </c>
      <c r="D18" s="2093" t="s">
        <v>1801</v>
      </c>
      <c r="E18" s="3038" t="s">
        <v>1805</v>
      </c>
      <c r="F18" s="3039"/>
      <c r="G18" s="3039"/>
      <c r="H18" s="3039"/>
      <c r="I18" s="3040"/>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25" t="s">
        <v>1810</v>
      </c>
      <c r="C20" s="3026"/>
      <c r="D20" s="3027" t="s">
        <v>1811</v>
      </c>
      <c r="E20" s="3028"/>
      <c r="F20" s="2100" t="s">
        <v>1812</v>
      </c>
      <c r="G20" s="2044"/>
      <c r="H20" s="2044"/>
      <c r="I20" s="2044"/>
      <c r="J20" s="2044"/>
      <c r="K20" s="302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42"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42"/>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42"/>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43"/>
      <c r="B30" s="2037" t="s">
        <v>1829</v>
      </c>
      <c r="C30" s="3044"/>
      <c r="D30" s="3045"/>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46"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47"/>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47"/>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41" t="s">
        <v>1839</v>
      </c>
      <c r="T34" s="2137" t="str">
        <f>NUMBERSTRING(7-K34,1)&amp;"通"</f>
        <v>七通</v>
      </c>
      <c r="U34" s="2031"/>
      <c r="V34" s="2031"/>
    </row>
    <row r="35" spans="1:22" ht="18" customHeight="1">
      <c r="A35" s="2138"/>
      <c r="B35" s="3048" t="s">
        <v>1840</v>
      </c>
      <c r="C35" s="3048"/>
      <c r="D35" s="3048"/>
      <c r="E35" s="3048"/>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9" sqref="A3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26522.15/1.65</f>
        <v>16074.030303030304</v>
      </c>
      <c r="B3" s="14">
        <f>IF(C3="否",G5-AT5,G5)</f>
        <v>34338.32</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34338.32</v>
      </c>
      <c r="H5" s="16">
        <f t="shared" ref="H5:AT5" si="0">SUM(H13:H656)</f>
        <v>34338.32</v>
      </c>
      <c r="I5" s="16">
        <f t="shared" si="0"/>
        <v>34338.32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34338.32</v>
      </c>
      <c r="BA5" s="18">
        <f t="shared" si="1"/>
        <v>34338.32</v>
      </c>
      <c r="BB5" s="18">
        <f t="shared" si="1"/>
        <v>34338.32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16074.03</v>
      </c>
      <c r="F6" s="16" t="s">
        <v>1</v>
      </c>
      <c r="G6" s="16" t="s">
        <v>2</v>
      </c>
      <c r="H6" s="20">
        <f>SUMIF(I$12:AB$12,"总值",I6:AB6)</f>
        <v>16074.03</v>
      </c>
      <c r="I6" s="16">
        <f t="shared" ref="I6:AB6" si="2">ROUND($A$3*I5/$B$3,2)</f>
        <v>16074.03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16074.03</v>
      </c>
      <c r="AZ6" s="16" t="s">
        <v>3</v>
      </c>
      <c r="BA6" s="16">
        <f>ROUND($AY$6*BA5/$AZ$5,2)</f>
        <v>16074.03</v>
      </c>
      <c r="BB6" s="16">
        <f>ROUND($AY$6*BB5/$AZ$5,2)</f>
        <v>16074.03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3111</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t="s">
        <v>3868</v>
      </c>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3112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公寓</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3863</v>
      </c>
      <c r="E13" s="16">
        <f>IF($C$3="是",ROUND($A$3*G13/$B$3,2),ROUND($A$3*(G13-AT13)/$B$3,2))</f>
        <v>16074.03</v>
      </c>
      <c r="F13" s="32"/>
      <c r="G13" s="33">
        <f>H13+AC13+AT13</f>
        <v>34338.32</v>
      </c>
      <c r="H13" s="20">
        <f>SUMIF(I$12:AB$12,"总值",I13:AB13)</f>
        <v>34338.32</v>
      </c>
      <c r="I13" s="2217">
        <f>ROUND(34338.3159617979,2)</f>
        <v>34338.32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16074.03</v>
      </c>
      <c r="AZ13" s="16">
        <f>BA13+BL13</f>
        <v>34338.32</v>
      </c>
      <c r="BA13" s="16">
        <f>SUM(BB13:BK13)</f>
        <v>34338.32</v>
      </c>
      <c r="BB13" s="16">
        <f>IF($D13="是",I13-J13,0)</f>
        <v>34338.32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7"/>
  <sheetViews>
    <sheetView tabSelected="1" topLeftCell="D688" workbookViewId="0">
      <selection activeCell="K713" sqref="K713"/>
    </sheetView>
  </sheetViews>
  <sheetFormatPr defaultColWidth="9" defaultRowHeight="13.5"/>
  <cols>
    <col min="1" max="1" width="7.125" style="2964" bestFit="1" customWidth="1"/>
    <col min="2" max="2" width="5.25" style="2964" bestFit="1" customWidth="1"/>
    <col min="3" max="3" width="7.125" style="2964" bestFit="1" customWidth="1"/>
    <col min="4" max="4" width="16.875" style="2948" bestFit="1" customWidth="1"/>
    <col min="5" max="5" width="9.5" style="2948" bestFit="1" customWidth="1"/>
    <col min="6" max="6" width="9.75" style="2948" customWidth="1"/>
    <col min="7" max="7" width="12.75" style="2948" bestFit="1" customWidth="1"/>
    <col min="8" max="9" width="12.5" style="2948" bestFit="1" customWidth="1"/>
    <col min="10" max="16384" width="9" style="2957"/>
  </cols>
  <sheetData>
    <row r="1" spans="1:9" s="2952" customFormat="1" ht="36.75" customHeight="1">
      <c r="A1" s="2950" t="s">
        <v>3113</v>
      </c>
      <c r="B1" s="2950" t="s">
        <v>3114</v>
      </c>
      <c r="C1" s="2951" t="s">
        <v>3115</v>
      </c>
      <c r="D1" s="2950" t="s">
        <v>3116</v>
      </c>
      <c r="E1" s="2950" t="s">
        <v>3117</v>
      </c>
      <c r="F1" s="2950" t="s">
        <v>3118</v>
      </c>
      <c r="G1" s="2950" t="s">
        <v>3119</v>
      </c>
      <c r="H1" s="2950" t="s">
        <v>3120</v>
      </c>
      <c r="I1" s="2950" t="s">
        <v>3121</v>
      </c>
    </row>
    <row r="2" spans="1:9" s="2956" customFormat="1" ht="18.75" customHeight="1">
      <c r="A2" s="2953">
        <v>1</v>
      </c>
      <c r="B2" s="2954" t="s">
        <v>3122</v>
      </c>
      <c r="C2" s="2954" t="s">
        <v>3123</v>
      </c>
      <c r="D2" s="2954" t="s">
        <v>3124</v>
      </c>
      <c r="E2" s="2954" t="s">
        <v>3125</v>
      </c>
      <c r="F2" s="2955">
        <v>101</v>
      </c>
      <c r="G2" s="2954" t="s">
        <v>3126</v>
      </c>
      <c r="H2" s="2954">
        <v>105.98</v>
      </c>
      <c r="I2" s="2954">
        <v>84.24</v>
      </c>
    </row>
    <row r="3" spans="1:9" s="2956" customFormat="1" ht="18.75" customHeight="1">
      <c r="A3" s="2953">
        <v>2</v>
      </c>
      <c r="B3" s="2954" t="s">
        <v>3122</v>
      </c>
      <c r="C3" s="2954" t="s">
        <v>3123</v>
      </c>
      <c r="D3" s="2954" t="s">
        <v>3124</v>
      </c>
      <c r="E3" s="2954" t="s">
        <v>3125</v>
      </c>
      <c r="F3" s="2955">
        <v>102</v>
      </c>
      <c r="G3" s="2954" t="s">
        <v>3127</v>
      </c>
      <c r="H3" s="2954">
        <v>32.520000000000003</v>
      </c>
      <c r="I3" s="2954">
        <v>25.85</v>
      </c>
    </row>
    <row r="4" spans="1:9" s="2956" customFormat="1" ht="18.75" customHeight="1">
      <c r="A4" s="2953">
        <v>3</v>
      </c>
      <c r="B4" s="2954" t="s">
        <v>3122</v>
      </c>
      <c r="C4" s="2954" t="s">
        <v>3123</v>
      </c>
      <c r="D4" s="2954" t="s">
        <v>3124</v>
      </c>
      <c r="E4" s="2954" t="s">
        <v>3125</v>
      </c>
      <c r="F4" s="2955">
        <v>103</v>
      </c>
      <c r="G4" s="2954" t="s">
        <v>3128</v>
      </c>
      <c r="H4" s="2954">
        <v>35.5</v>
      </c>
      <c r="I4" s="2954">
        <v>28.22</v>
      </c>
    </row>
    <row r="5" spans="1:9" s="2956" customFormat="1" ht="18.75" customHeight="1">
      <c r="A5" s="2953">
        <v>4</v>
      </c>
      <c r="B5" s="2954" t="s">
        <v>3122</v>
      </c>
      <c r="C5" s="2954" t="s">
        <v>3123</v>
      </c>
      <c r="D5" s="2954" t="s">
        <v>3124</v>
      </c>
      <c r="E5" s="2954" t="s">
        <v>3125</v>
      </c>
      <c r="F5" s="2955">
        <v>104</v>
      </c>
      <c r="G5" s="2954" t="s">
        <v>3129</v>
      </c>
      <c r="H5" s="2954">
        <v>122.05</v>
      </c>
      <c r="I5" s="2954">
        <v>97.01</v>
      </c>
    </row>
    <row r="6" spans="1:9" ht="18.75" customHeight="1">
      <c r="A6" s="2953">
        <v>5</v>
      </c>
      <c r="B6" s="2954" t="s">
        <v>3122</v>
      </c>
      <c r="C6" s="2954" t="s">
        <v>3123</v>
      </c>
      <c r="D6" s="2954" t="s">
        <v>3124</v>
      </c>
      <c r="E6" s="2954" t="s">
        <v>3125</v>
      </c>
      <c r="F6" s="2955">
        <v>203</v>
      </c>
      <c r="G6" s="2954" t="s">
        <v>3130</v>
      </c>
      <c r="H6" s="2954">
        <v>123.17</v>
      </c>
      <c r="I6" s="2954">
        <v>97.9</v>
      </c>
    </row>
    <row r="7" spans="1:9" ht="18.75" customHeight="1">
      <c r="A7" s="2953">
        <v>6</v>
      </c>
      <c r="B7" s="2954" t="s">
        <v>3122</v>
      </c>
      <c r="C7" s="2954" t="s">
        <v>3123</v>
      </c>
      <c r="D7" s="2954" t="s">
        <v>3124</v>
      </c>
      <c r="E7" s="2954" t="s">
        <v>3125</v>
      </c>
      <c r="F7" s="2955">
        <v>901</v>
      </c>
      <c r="G7" s="2954" t="s">
        <v>3131</v>
      </c>
      <c r="H7" s="2954">
        <v>108.66</v>
      </c>
      <c r="I7" s="2954">
        <v>86.37</v>
      </c>
    </row>
    <row r="8" spans="1:9" ht="18.75" customHeight="1">
      <c r="A8" s="2953">
        <v>7</v>
      </c>
      <c r="B8" s="2954" t="s">
        <v>3122</v>
      </c>
      <c r="C8" s="2954" t="s">
        <v>3123</v>
      </c>
      <c r="D8" s="2954" t="s">
        <v>3124</v>
      </c>
      <c r="E8" s="2954" t="s">
        <v>3125</v>
      </c>
      <c r="F8" s="2955">
        <v>1302</v>
      </c>
      <c r="G8" s="2954" t="s">
        <v>3132</v>
      </c>
      <c r="H8" s="2954">
        <v>96.87</v>
      </c>
      <c r="I8" s="2954">
        <v>77</v>
      </c>
    </row>
    <row r="9" spans="1:9" ht="18.75" customHeight="1">
      <c r="A9" s="2953">
        <v>8</v>
      </c>
      <c r="B9" s="2954" t="s">
        <v>3122</v>
      </c>
      <c r="C9" s="2954" t="s">
        <v>3123</v>
      </c>
      <c r="D9" s="2954" t="s">
        <v>3124</v>
      </c>
      <c r="E9" s="2954" t="s">
        <v>3125</v>
      </c>
      <c r="F9" s="2955">
        <v>1802</v>
      </c>
      <c r="G9" s="2954" t="s">
        <v>3133</v>
      </c>
      <c r="H9" s="2954">
        <v>96.87</v>
      </c>
      <c r="I9" s="2954">
        <v>77</v>
      </c>
    </row>
    <row r="10" spans="1:9" ht="18.75" customHeight="1">
      <c r="A10" s="2953">
        <v>9</v>
      </c>
      <c r="B10" s="2954" t="s">
        <v>3122</v>
      </c>
      <c r="C10" s="2954" t="s">
        <v>3123</v>
      </c>
      <c r="D10" s="2954" t="s">
        <v>3134</v>
      </c>
      <c r="E10" s="2954" t="s">
        <v>3125</v>
      </c>
      <c r="F10" s="2955">
        <v>502</v>
      </c>
      <c r="G10" s="2954" t="s">
        <v>3135</v>
      </c>
      <c r="H10" s="2954">
        <v>96.87</v>
      </c>
      <c r="I10" s="2954">
        <v>77</v>
      </c>
    </row>
    <row r="11" spans="1:9" ht="18.75" customHeight="1">
      <c r="A11" s="2953">
        <v>10</v>
      </c>
      <c r="B11" s="2954" t="s">
        <v>3122</v>
      </c>
      <c r="C11" s="2954" t="s">
        <v>3123</v>
      </c>
      <c r="D11" s="2954" t="s">
        <v>3134</v>
      </c>
      <c r="E11" s="2954" t="s">
        <v>3125</v>
      </c>
      <c r="F11" s="2955">
        <v>1802</v>
      </c>
      <c r="G11" s="2954" t="s">
        <v>3136</v>
      </c>
      <c r="H11" s="2954">
        <v>96.87</v>
      </c>
      <c r="I11" s="2954">
        <v>77</v>
      </c>
    </row>
    <row r="12" spans="1:9" ht="18.75" customHeight="1">
      <c r="A12" s="2953">
        <v>11</v>
      </c>
      <c r="B12" s="2954" t="s">
        <v>3122</v>
      </c>
      <c r="C12" s="2954" t="s">
        <v>3123</v>
      </c>
      <c r="D12" s="2954" t="s">
        <v>3137</v>
      </c>
      <c r="E12" s="2954" t="s">
        <v>3125</v>
      </c>
      <c r="F12" s="2955">
        <v>1102</v>
      </c>
      <c r="G12" s="2954" t="s">
        <v>3138</v>
      </c>
      <c r="H12" s="2954">
        <v>82.91</v>
      </c>
      <c r="I12" s="2954">
        <v>64.33</v>
      </c>
    </row>
    <row r="13" spans="1:9" s="2956" customFormat="1" ht="18.75" customHeight="1">
      <c r="A13" s="2953">
        <v>12</v>
      </c>
      <c r="B13" s="2954" t="s">
        <v>3122</v>
      </c>
      <c r="C13" s="2954" t="s">
        <v>3123</v>
      </c>
      <c r="D13" s="2954" t="s">
        <v>3139</v>
      </c>
      <c r="E13" s="2954" t="s">
        <v>3125</v>
      </c>
      <c r="F13" s="2955">
        <v>101</v>
      </c>
      <c r="G13" s="2954" t="s">
        <v>3140</v>
      </c>
      <c r="H13" s="2954">
        <v>107.22</v>
      </c>
      <c r="I13" s="2954">
        <v>84.24</v>
      </c>
    </row>
    <row r="14" spans="1:9" s="2956" customFormat="1" ht="18.75" customHeight="1">
      <c r="A14" s="2953">
        <v>13</v>
      </c>
      <c r="B14" s="2954" t="s">
        <v>3122</v>
      </c>
      <c r="C14" s="2954" t="s">
        <v>3123</v>
      </c>
      <c r="D14" s="2954" t="s">
        <v>3139</v>
      </c>
      <c r="E14" s="2954" t="s">
        <v>3125</v>
      </c>
      <c r="F14" s="2955">
        <v>102</v>
      </c>
      <c r="G14" s="2954" t="s">
        <v>3141</v>
      </c>
      <c r="H14" s="2954">
        <v>32.9</v>
      </c>
      <c r="I14" s="2954">
        <v>25.85</v>
      </c>
    </row>
    <row r="15" spans="1:9" s="2956" customFormat="1" ht="18.75" customHeight="1">
      <c r="A15" s="2953">
        <v>14</v>
      </c>
      <c r="B15" s="2954" t="s">
        <v>3122</v>
      </c>
      <c r="C15" s="2954" t="s">
        <v>3123</v>
      </c>
      <c r="D15" s="2954" t="s">
        <v>3139</v>
      </c>
      <c r="E15" s="2954" t="s">
        <v>3125</v>
      </c>
      <c r="F15" s="2955">
        <v>103</v>
      </c>
      <c r="G15" s="2954" t="s">
        <v>3142</v>
      </c>
      <c r="H15" s="2954">
        <v>35.92</v>
      </c>
      <c r="I15" s="2954">
        <v>28.22</v>
      </c>
    </row>
    <row r="16" spans="1:9" s="2956" customFormat="1" ht="18.75" customHeight="1">
      <c r="A16" s="2958">
        <v>15</v>
      </c>
      <c r="B16" s="2959" t="s">
        <v>3122</v>
      </c>
      <c r="C16" s="2959" t="s">
        <v>3123</v>
      </c>
      <c r="D16" s="2959" t="s">
        <v>3139</v>
      </c>
      <c r="E16" s="2959" t="s">
        <v>3125</v>
      </c>
      <c r="F16" s="2960">
        <v>104</v>
      </c>
      <c r="G16" s="2959" t="s">
        <v>3143</v>
      </c>
      <c r="H16" s="2959">
        <v>123.47</v>
      </c>
      <c r="I16" s="2959">
        <v>97.01</v>
      </c>
    </row>
    <row r="17" spans="1:9" ht="18.75" customHeight="1">
      <c r="A17" s="2958">
        <v>16</v>
      </c>
      <c r="B17" s="2959" t="s">
        <v>3122</v>
      </c>
      <c r="C17" s="2959" t="s">
        <v>3123</v>
      </c>
      <c r="D17" s="2959" t="s">
        <v>3139</v>
      </c>
      <c r="E17" s="2959" t="s">
        <v>3125</v>
      </c>
      <c r="F17" s="2960">
        <v>203</v>
      </c>
      <c r="G17" s="2959" t="s">
        <v>3144</v>
      </c>
      <c r="H17" s="2959">
        <v>124.61</v>
      </c>
      <c r="I17" s="2959">
        <v>97.9</v>
      </c>
    </row>
    <row r="18" spans="1:9" ht="18.75" customHeight="1">
      <c r="A18" s="2958">
        <v>17</v>
      </c>
      <c r="B18" s="2959" t="s">
        <v>3122</v>
      </c>
      <c r="C18" s="2959" t="s">
        <v>3123</v>
      </c>
      <c r="D18" s="2959" t="s">
        <v>3139</v>
      </c>
      <c r="E18" s="2959" t="s">
        <v>3125</v>
      </c>
      <c r="F18" s="2960">
        <v>802</v>
      </c>
      <c r="G18" s="2959" t="s">
        <v>3145</v>
      </c>
      <c r="H18" s="2959">
        <v>98.01</v>
      </c>
      <c r="I18" s="2959">
        <v>77</v>
      </c>
    </row>
    <row r="19" spans="1:9" ht="18.75" customHeight="1">
      <c r="A19" s="2958">
        <v>18</v>
      </c>
      <c r="B19" s="2959" t="s">
        <v>3122</v>
      </c>
      <c r="C19" s="2959" t="s">
        <v>3123</v>
      </c>
      <c r="D19" s="2959" t="s">
        <v>3139</v>
      </c>
      <c r="E19" s="2959" t="s">
        <v>3125</v>
      </c>
      <c r="F19" s="2960">
        <v>902</v>
      </c>
      <c r="G19" s="2959" t="s">
        <v>3146</v>
      </c>
      <c r="H19" s="2959">
        <v>98.01</v>
      </c>
      <c r="I19" s="2959">
        <v>77</v>
      </c>
    </row>
    <row r="20" spans="1:9" ht="18.75" customHeight="1">
      <c r="A20" s="2958">
        <v>19</v>
      </c>
      <c r="B20" s="2959" t="s">
        <v>3122</v>
      </c>
      <c r="C20" s="2959" t="s">
        <v>3123</v>
      </c>
      <c r="D20" s="2959" t="s">
        <v>3139</v>
      </c>
      <c r="E20" s="2959" t="s">
        <v>3125</v>
      </c>
      <c r="F20" s="2960">
        <v>1802</v>
      </c>
      <c r="G20" s="2959" t="s">
        <v>3147</v>
      </c>
      <c r="H20" s="2959">
        <v>98.01</v>
      </c>
      <c r="I20" s="2959">
        <v>77</v>
      </c>
    </row>
    <row r="21" spans="1:9" s="2956" customFormat="1" ht="18.75" customHeight="1">
      <c r="A21" s="2958">
        <v>20</v>
      </c>
      <c r="B21" s="2959" t="s">
        <v>3122</v>
      </c>
      <c r="C21" s="2959" t="s">
        <v>3123</v>
      </c>
      <c r="D21" s="2959" t="s">
        <v>3148</v>
      </c>
      <c r="E21" s="2959" t="s">
        <v>3125</v>
      </c>
      <c r="F21" s="2960">
        <v>102</v>
      </c>
      <c r="G21" s="2959" t="s">
        <v>3149</v>
      </c>
      <c r="H21" s="2959">
        <v>35.92</v>
      </c>
      <c r="I21" s="2959">
        <v>28.22</v>
      </c>
    </row>
    <row r="22" spans="1:9" s="2956" customFormat="1" ht="18.75" customHeight="1">
      <c r="A22" s="2958">
        <v>21</v>
      </c>
      <c r="B22" s="2959" t="s">
        <v>3122</v>
      </c>
      <c r="C22" s="2959" t="s">
        <v>3123</v>
      </c>
      <c r="D22" s="2959" t="s">
        <v>3148</v>
      </c>
      <c r="E22" s="2959" t="s">
        <v>3125</v>
      </c>
      <c r="F22" s="2960">
        <v>104</v>
      </c>
      <c r="G22" s="2959" t="s">
        <v>3150</v>
      </c>
      <c r="H22" s="2959">
        <v>107.22</v>
      </c>
      <c r="I22" s="2959">
        <v>84.24</v>
      </c>
    </row>
    <row r="23" spans="1:9" ht="18.75" customHeight="1">
      <c r="A23" s="2958">
        <v>22</v>
      </c>
      <c r="B23" s="2959" t="s">
        <v>3122</v>
      </c>
      <c r="C23" s="2959" t="s">
        <v>3123</v>
      </c>
      <c r="D23" s="2959" t="s">
        <v>3151</v>
      </c>
      <c r="E23" s="2959" t="s">
        <v>3125</v>
      </c>
      <c r="F23" s="2960">
        <v>1601</v>
      </c>
      <c r="G23" s="2959" t="s">
        <v>3152</v>
      </c>
      <c r="H23" s="2959">
        <v>102.15</v>
      </c>
      <c r="I23" s="2959">
        <v>80.959999999999994</v>
      </c>
    </row>
    <row r="24" spans="1:9" ht="18.75" customHeight="1">
      <c r="A24" s="2958">
        <v>23</v>
      </c>
      <c r="B24" s="2959" t="s">
        <v>3122</v>
      </c>
      <c r="C24" s="2959" t="s">
        <v>3123</v>
      </c>
      <c r="D24" s="2959" t="s">
        <v>3151</v>
      </c>
      <c r="E24" s="2959" t="s">
        <v>3125</v>
      </c>
      <c r="F24" s="2960">
        <v>1602</v>
      </c>
      <c r="G24" s="2959" t="s">
        <v>3153</v>
      </c>
      <c r="H24" s="2959">
        <v>77.28</v>
      </c>
      <c r="I24" s="2959">
        <v>61.25</v>
      </c>
    </row>
    <row r="25" spans="1:9" ht="18.75" customHeight="1">
      <c r="A25" s="2958">
        <v>24</v>
      </c>
      <c r="B25" s="2959" t="s">
        <v>3122</v>
      </c>
      <c r="C25" s="2959" t="s">
        <v>3123</v>
      </c>
      <c r="D25" s="2959" t="s">
        <v>3151</v>
      </c>
      <c r="E25" s="2959" t="s">
        <v>3125</v>
      </c>
      <c r="F25" s="2960">
        <v>1603</v>
      </c>
      <c r="G25" s="2959" t="s">
        <v>3154</v>
      </c>
      <c r="H25" s="2959">
        <v>77.28</v>
      </c>
      <c r="I25" s="2959">
        <v>61.25</v>
      </c>
    </row>
    <row r="26" spans="1:9" ht="18.75" customHeight="1">
      <c r="A26" s="2958">
        <v>25</v>
      </c>
      <c r="B26" s="2959" t="s">
        <v>3122</v>
      </c>
      <c r="C26" s="2959" t="s">
        <v>3123</v>
      </c>
      <c r="D26" s="2959" t="s">
        <v>3151</v>
      </c>
      <c r="E26" s="2959" t="s">
        <v>3125</v>
      </c>
      <c r="F26" s="2960">
        <v>1604</v>
      </c>
      <c r="G26" s="2959" t="s">
        <v>3155</v>
      </c>
      <c r="H26" s="2959">
        <v>101.65</v>
      </c>
      <c r="I26" s="2959">
        <v>80.56</v>
      </c>
    </row>
    <row r="27" spans="1:9" ht="18.75" customHeight="1">
      <c r="A27" s="2958">
        <v>26</v>
      </c>
      <c r="B27" s="2959" t="s">
        <v>3122</v>
      </c>
      <c r="C27" s="2959" t="s">
        <v>3123</v>
      </c>
      <c r="D27" s="2959" t="s">
        <v>3151</v>
      </c>
      <c r="E27" s="2959" t="s">
        <v>3125</v>
      </c>
      <c r="F27" s="2960">
        <v>1701</v>
      </c>
      <c r="G27" s="2959" t="s">
        <v>3156</v>
      </c>
      <c r="H27" s="2959">
        <v>102.15</v>
      </c>
      <c r="I27" s="2959">
        <v>80.959999999999994</v>
      </c>
    </row>
    <row r="28" spans="1:9" s="2956" customFormat="1" ht="18.75" customHeight="1">
      <c r="A28" s="2958">
        <v>27</v>
      </c>
      <c r="B28" s="2959" t="s">
        <v>3122</v>
      </c>
      <c r="C28" s="2959" t="s">
        <v>3123</v>
      </c>
      <c r="D28" s="2959" t="s">
        <v>3157</v>
      </c>
      <c r="E28" s="2959" t="s">
        <v>3125</v>
      </c>
      <c r="F28" s="2960">
        <v>101</v>
      </c>
      <c r="G28" s="2959" t="s">
        <v>3158</v>
      </c>
      <c r="H28" s="2959">
        <v>79.09</v>
      </c>
      <c r="I28" s="2959">
        <v>62.15</v>
      </c>
    </row>
    <row r="29" spans="1:9" s="2956" customFormat="1" ht="18.75" customHeight="1">
      <c r="A29" s="2958">
        <v>28</v>
      </c>
      <c r="B29" s="2959" t="s">
        <v>3122</v>
      </c>
      <c r="C29" s="2959" t="s">
        <v>3123</v>
      </c>
      <c r="D29" s="2959" t="s">
        <v>3157</v>
      </c>
      <c r="E29" s="2959" t="s">
        <v>3125</v>
      </c>
      <c r="F29" s="2960">
        <v>102</v>
      </c>
      <c r="G29" s="2959" t="s">
        <v>3159</v>
      </c>
      <c r="H29" s="2959">
        <v>81.27</v>
      </c>
      <c r="I29" s="2959">
        <v>63.86</v>
      </c>
    </row>
    <row r="30" spans="1:9" s="2956" customFormat="1" ht="18.75" customHeight="1">
      <c r="A30" s="2958">
        <v>29</v>
      </c>
      <c r="B30" s="2959" t="s">
        <v>3122</v>
      </c>
      <c r="C30" s="2959" t="s">
        <v>3123</v>
      </c>
      <c r="D30" s="2959" t="s">
        <v>3157</v>
      </c>
      <c r="E30" s="2959" t="s">
        <v>3125</v>
      </c>
      <c r="F30" s="2960">
        <v>103</v>
      </c>
      <c r="G30" s="2959" t="s">
        <v>3160</v>
      </c>
      <c r="H30" s="2959">
        <v>110.24</v>
      </c>
      <c r="I30" s="2959">
        <v>86.62</v>
      </c>
    </row>
    <row r="31" spans="1:9" ht="18.75" customHeight="1">
      <c r="A31" s="2958">
        <v>30</v>
      </c>
      <c r="B31" s="2959" t="s">
        <v>3122</v>
      </c>
      <c r="C31" s="2959" t="s">
        <v>3123</v>
      </c>
      <c r="D31" s="2959" t="s">
        <v>3157</v>
      </c>
      <c r="E31" s="2959" t="s">
        <v>3125</v>
      </c>
      <c r="F31" s="2960">
        <v>502</v>
      </c>
      <c r="G31" s="2959" t="s">
        <v>3161</v>
      </c>
      <c r="H31" s="2959">
        <v>81.87</v>
      </c>
      <c r="I31" s="2959">
        <v>64.33</v>
      </c>
    </row>
    <row r="32" spans="1:9" s="2956" customFormat="1" ht="18.75" customHeight="1">
      <c r="A32" s="2958">
        <v>31</v>
      </c>
      <c r="B32" s="2959" t="s">
        <v>3122</v>
      </c>
      <c r="C32" s="2959" t="s">
        <v>3123</v>
      </c>
      <c r="D32" s="2959" t="s">
        <v>3162</v>
      </c>
      <c r="E32" s="2959" t="s">
        <v>3125</v>
      </c>
      <c r="F32" s="2960">
        <v>101</v>
      </c>
      <c r="G32" s="2959" t="s">
        <v>3163</v>
      </c>
      <c r="H32" s="2959">
        <v>110.24</v>
      </c>
      <c r="I32" s="2959">
        <v>86.62</v>
      </c>
    </row>
    <row r="33" spans="1:9" s="2956" customFormat="1" ht="18.75" customHeight="1">
      <c r="A33" s="2958">
        <v>32</v>
      </c>
      <c r="B33" s="2959" t="s">
        <v>3122</v>
      </c>
      <c r="C33" s="2959" t="s">
        <v>3123</v>
      </c>
      <c r="D33" s="2959" t="s">
        <v>3162</v>
      </c>
      <c r="E33" s="2959" t="s">
        <v>3125</v>
      </c>
      <c r="F33" s="2960">
        <v>102</v>
      </c>
      <c r="G33" s="2959" t="s">
        <v>3164</v>
      </c>
      <c r="H33" s="2959">
        <v>81.27</v>
      </c>
      <c r="I33" s="2959">
        <v>63.86</v>
      </c>
    </row>
    <row r="34" spans="1:9" s="2956" customFormat="1" ht="18.75" customHeight="1">
      <c r="A34" s="2958">
        <v>33</v>
      </c>
      <c r="B34" s="2959" t="s">
        <v>3122</v>
      </c>
      <c r="C34" s="2959" t="s">
        <v>3123</v>
      </c>
      <c r="D34" s="2959" t="s">
        <v>3162</v>
      </c>
      <c r="E34" s="2959" t="s">
        <v>3125</v>
      </c>
      <c r="F34" s="2960">
        <v>103</v>
      </c>
      <c r="G34" s="2959" t="s">
        <v>3165</v>
      </c>
      <c r="H34" s="2959">
        <v>79.09</v>
      </c>
      <c r="I34" s="2959">
        <v>62.15</v>
      </c>
    </row>
    <row r="35" spans="1:9" ht="18.75" customHeight="1">
      <c r="A35" s="2958">
        <v>34</v>
      </c>
      <c r="B35" s="2959" t="s">
        <v>3122</v>
      </c>
      <c r="C35" s="2959" t="s">
        <v>3123</v>
      </c>
      <c r="D35" s="2959" t="s">
        <v>3162</v>
      </c>
      <c r="E35" s="2959" t="s">
        <v>3125</v>
      </c>
      <c r="F35" s="2960">
        <v>602</v>
      </c>
      <c r="G35" s="2959" t="s">
        <v>3166</v>
      </c>
      <c r="H35" s="2959">
        <v>81.87</v>
      </c>
      <c r="I35" s="2959">
        <v>64.33</v>
      </c>
    </row>
    <row r="36" spans="1:9" ht="18.75" customHeight="1">
      <c r="A36" s="2958">
        <v>35</v>
      </c>
      <c r="B36" s="2959" t="s">
        <v>3122</v>
      </c>
      <c r="C36" s="2959" t="s">
        <v>3123</v>
      </c>
      <c r="D36" s="2959" t="s">
        <v>3162</v>
      </c>
      <c r="E36" s="2959" t="s">
        <v>3125</v>
      </c>
      <c r="F36" s="2960">
        <v>1002</v>
      </c>
      <c r="G36" s="2959" t="s">
        <v>3167</v>
      </c>
      <c r="H36" s="2959">
        <v>81.87</v>
      </c>
      <c r="I36" s="2959">
        <v>64.33</v>
      </c>
    </row>
    <row r="37" spans="1:9" ht="18.75" customHeight="1">
      <c r="A37" s="2958">
        <v>36</v>
      </c>
      <c r="B37" s="2959" t="s">
        <v>3122</v>
      </c>
      <c r="C37" s="2959" t="s">
        <v>3123</v>
      </c>
      <c r="D37" s="2959" t="s">
        <v>3162</v>
      </c>
      <c r="E37" s="2959" t="s">
        <v>3125</v>
      </c>
      <c r="F37" s="2960">
        <v>1102</v>
      </c>
      <c r="G37" s="2959" t="s">
        <v>3168</v>
      </c>
      <c r="H37" s="2959">
        <v>81.87</v>
      </c>
      <c r="I37" s="2959">
        <v>64.33</v>
      </c>
    </row>
    <row r="38" spans="1:9" ht="18.75" customHeight="1">
      <c r="A38" s="2958">
        <v>37</v>
      </c>
      <c r="B38" s="2959" t="s">
        <v>3122</v>
      </c>
      <c r="C38" s="2959" t="s">
        <v>3123</v>
      </c>
      <c r="D38" s="2959" t="s">
        <v>3162</v>
      </c>
      <c r="E38" s="2959" t="s">
        <v>3125</v>
      </c>
      <c r="F38" s="2960">
        <v>1202</v>
      </c>
      <c r="G38" s="2959" t="s">
        <v>3169</v>
      </c>
      <c r="H38" s="2959">
        <v>81.87</v>
      </c>
      <c r="I38" s="2959">
        <v>64.33</v>
      </c>
    </row>
    <row r="39" spans="1:9" ht="18.75" customHeight="1">
      <c r="A39" s="2958">
        <v>38</v>
      </c>
      <c r="B39" s="2959" t="s">
        <v>3122</v>
      </c>
      <c r="C39" s="2959" t="s">
        <v>3123</v>
      </c>
      <c r="D39" s="2959" t="s">
        <v>3162</v>
      </c>
      <c r="E39" s="2959" t="s">
        <v>3125</v>
      </c>
      <c r="F39" s="2960">
        <v>1402</v>
      </c>
      <c r="G39" s="2959" t="s">
        <v>3170</v>
      </c>
      <c r="H39" s="2959">
        <v>81.87</v>
      </c>
      <c r="I39" s="2959">
        <v>64.33</v>
      </c>
    </row>
    <row r="40" spans="1:9" ht="18.75" customHeight="1">
      <c r="A40" s="2958">
        <v>39</v>
      </c>
      <c r="B40" s="2959" t="s">
        <v>3122</v>
      </c>
      <c r="C40" s="2959" t="s">
        <v>3123</v>
      </c>
      <c r="D40" s="2959" t="s">
        <v>3162</v>
      </c>
      <c r="E40" s="2959" t="s">
        <v>3125</v>
      </c>
      <c r="F40" s="2960">
        <v>1602</v>
      </c>
      <c r="G40" s="2959" t="s">
        <v>3171</v>
      </c>
      <c r="H40" s="2959">
        <v>81.87</v>
      </c>
      <c r="I40" s="2959">
        <v>64.33</v>
      </c>
    </row>
    <row r="41" spans="1:9" ht="18.75" customHeight="1">
      <c r="A41" s="2958">
        <v>40</v>
      </c>
      <c r="B41" s="2959" t="s">
        <v>3122</v>
      </c>
      <c r="C41" s="2959" t="s">
        <v>3123</v>
      </c>
      <c r="D41" s="2959" t="s">
        <v>3162</v>
      </c>
      <c r="E41" s="2959" t="s">
        <v>3125</v>
      </c>
      <c r="F41" s="2960">
        <v>1801</v>
      </c>
      <c r="G41" s="2959" t="s">
        <v>3172</v>
      </c>
      <c r="H41" s="2959">
        <v>111.27</v>
      </c>
      <c r="I41" s="2959">
        <v>87.43</v>
      </c>
    </row>
    <row r="42" spans="1:9" ht="18.75" customHeight="1">
      <c r="A42" s="2958">
        <v>41</v>
      </c>
      <c r="B42" s="2959" t="s">
        <v>3122</v>
      </c>
      <c r="C42" s="2959" t="s">
        <v>3173</v>
      </c>
      <c r="D42" s="2959" t="s">
        <v>3174</v>
      </c>
      <c r="E42" s="2959" t="s">
        <v>3125</v>
      </c>
      <c r="F42" s="2960">
        <v>101</v>
      </c>
      <c r="G42" s="2959" t="s">
        <v>3175</v>
      </c>
      <c r="H42" s="2959">
        <v>47.58</v>
      </c>
      <c r="I42" s="2959">
        <v>37.130000000000003</v>
      </c>
    </row>
    <row r="43" spans="1:9" ht="18.75" customHeight="1">
      <c r="A43" s="2958">
        <v>42</v>
      </c>
      <c r="B43" s="2959" t="s">
        <v>3122</v>
      </c>
      <c r="C43" s="2959" t="s">
        <v>3173</v>
      </c>
      <c r="D43" s="2959" t="s">
        <v>3174</v>
      </c>
      <c r="E43" s="2959" t="s">
        <v>3125</v>
      </c>
      <c r="F43" s="2960">
        <v>102</v>
      </c>
      <c r="G43" s="2959" t="s">
        <v>3176</v>
      </c>
      <c r="H43" s="2959">
        <v>46.98</v>
      </c>
      <c r="I43" s="2959">
        <v>36.659999999999997</v>
      </c>
    </row>
    <row r="44" spans="1:9" ht="18.75" customHeight="1">
      <c r="A44" s="2958">
        <v>43</v>
      </c>
      <c r="B44" s="2959" t="s">
        <v>3122</v>
      </c>
      <c r="C44" s="2959" t="s">
        <v>3173</v>
      </c>
      <c r="D44" s="2959" t="s">
        <v>3174</v>
      </c>
      <c r="E44" s="2959" t="s">
        <v>3125</v>
      </c>
      <c r="F44" s="2960">
        <v>103</v>
      </c>
      <c r="G44" s="2959" t="s">
        <v>3177</v>
      </c>
      <c r="H44" s="2959">
        <v>46.98</v>
      </c>
      <c r="I44" s="2959">
        <v>36.659999999999997</v>
      </c>
    </row>
    <row r="45" spans="1:9" ht="18.75" customHeight="1">
      <c r="A45" s="2958">
        <v>44</v>
      </c>
      <c r="B45" s="2959" t="s">
        <v>3122</v>
      </c>
      <c r="C45" s="2959" t="s">
        <v>3173</v>
      </c>
      <c r="D45" s="2959" t="s">
        <v>3174</v>
      </c>
      <c r="E45" s="2959" t="s">
        <v>3125</v>
      </c>
      <c r="F45" s="2960">
        <v>104</v>
      </c>
      <c r="G45" s="2959" t="s">
        <v>3178</v>
      </c>
      <c r="H45" s="2959">
        <v>46.98</v>
      </c>
      <c r="I45" s="2959">
        <v>36.659999999999997</v>
      </c>
    </row>
    <row r="46" spans="1:9" ht="18.75" customHeight="1">
      <c r="A46" s="2958">
        <v>45</v>
      </c>
      <c r="B46" s="2959" t="s">
        <v>3122</v>
      </c>
      <c r="C46" s="2959" t="s">
        <v>3173</v>
      </c>
      <c r="D46" s="2959" t="s">
        <v>3174</v>
      </c>
      <c r="E46" s="2959" t="s">
        <v>3125</v>
      </c>
      <c r="F46" s="2960">
        <v>105</v>
      </c>
      <c r="G46" s="2959" t="s">
        <v>3179</v>
      </c>
      <c r="H46" s="2959">
        <v>46.98</v>
      </c>
      <c r="I46" s="2959">
        <v>36.659999999999997</v>
      </c>
    </row>
    <row r="47" spans="1:9" ht="18.75" customHeight="1">
      <c r="A47" s="2958">
        <v>46</v>
      </c>
      <c r="B47" s="2959" t="s">
        <v>3122</v>
      </c>
      <c r="C47" s="2959" t="s">
        <v>3173</v>
      </c>
      <c r="D47" s="2959" t="s">
        <v>3174</v>
      </c>
      <c r="E47" s="2959" t="s">
        <v>3125</v>
      </c>
      <c r="F47" s="2960">
        <v>106</v>
      </c>
      <c r="G47" s="2959" t="s">
        <v>3180</v>
      </c>
      <c r="H47" s="2959">
        <v>46.98</v>
      </c>
      <c r="I47" s="2959">
        <v>36.659999999999997</v>
      </c>
    </row>
    <row r="48" spans="1:9" ht="18.75" customHeight="1">
      <c r="A48" s="2958">
        <v>47</v>
      </c>
      <c r="B48" s="2959" t="s">
        <v>3122</v>
      </c>
      <c r="C48" s="2959" t="s">
        <v>3173</v>
      </c>
      <c r="D48" s="2959" t="s">
        <v>3174</v>
      </c>
      <c r="E48" s="2959" t="s">
        <v>3125</v>
      </c>
      <c r="F48" s="2960">
        <v>107</v>
      </c>
      <c r="G48" s="2959" t="s">
        <v>3181</v>
      </c>
      <c r="H48" s="2959">
        <v>46.98</v>
      </c>
      <c r="I48" s="2959">
        <v>36.659999999999997</v>
      </c>
    </row>
    <row r="49" spans="1:9" ht="18.75" customHeight="1">
      <c r="A49" s="2958">
        <v>48</v>
      </c>
      <c r="B49" s="2959" t="s">
        <v>3122</v>
      </c>
      <c r="C49" s="2959" t="s">
        <v>3173</v>
      </c>
      <c r="D49" s="2959" t="s">
        <v>3174</v>
      </c>
      <c r="E49" s="2959" t="s">
        <v>3125</v>
      </c>
      <c r="F49" s="2960">
        <v>108</v>
      </c>
      <c r="G49" s="2959" t="s">
        <v>3182</v>
      </c>
      <c r="H49" s="2959">
        <v>46.98</v>
      </c>
      <c r="I49" s="2959">
        <v>36.659999999999997</v>
      </c>
    </row>
    <row r="50" spans="1:9" ht="18.75" customHeight="1">
      <c r="A50" s="2958">
        <v>49</v>
      </c>
      <c r="B50" s="2959" t="s">
        <v>3122</v>
      </c>
      <c r="C50" s="2959" t="s">
        <v>3173</v>
      </c>
      <c r="D50" s="2959" t="s">
        <v>3174</v>
      </c>
      <c r="E50" s="2959" t="s">
        <v>3125</v>
      </c>
      <c r="F50" s="2960">
        <v>109</v>
      </c>
      <c r="G50" s="2959" t="s">
        <v>3183</v>
      </c>
      <c r="H50" s="2959">
        <v>46.98</v>
      </c>
      <c r="I50" s="2959">
        <v>36.659999999999997</v>
      </c>
    </row>
    <row r="51" spans="1:9" ht="18.75" customHeight="1">
      <c r="A51" s="2958">
        <v>50</v>
      </c>
      <c r="B51" s="2959" t="s">
        <v>3122</v>
      </c>
      <c r="C51" s="2959" t="s">
        <v>3173</v>
      </c>
      <c r="D51" s="2959" t="s">
        <v>3174</v>
      </c>
      <c r="E51" s="2959" t="s">
        <v>3125</v>
      </c>
      <c r="F51" s="2960">
        <v>110</v>
      </c>
      <c r="G51" s="2959" t="s">
        <v>3184</v>
      </c>
      <c r="H51" s="2959">
        <v>46.98</v>
      </c>
      <c r="I51" s="2959">
        <v>36.659999999999997</v>
      </c>
    </row>
    <row r="52" spans="1:9" ht="18.75" customHeight="1">
      <c r="A52" s="2958">
        <v>51</v>
      </c>
      <c r="B52" s="2959" t="s">
        <v>3122</v>
      </c>
      <c r="C52" s="2959" t="s">
        <v>3173</v>
      </c>
      <c r="D52" s="2959" t="s">
        <v>3174</v>
      </c>
      <c r="E52" s="2959" t="s">
        <v>3125</v>
      </c>
      <c r="F52" s="2960">
        <v>111</v>
      </c>
      <c r="G52" s="2959" t="s">
        <v>3185</v>
      </c>
      <c r="H52" s="2959">
        <v>46.98</v>
      </c>
      <c r="I52" s="2959">
        <v>36.659999999999997</v>
      </c>
    </row>
    <row r="53" spans="1:9" ht="18.75" customHeight="1">
      <c r="A53" s="2958">
        <v>52</v>
      </c>
      <c r="B53" s="2959" t="s">
        <v>3122</v>
      </c>
      <c r="C53" s="2959" t="s">
        <v>3173</v>
      </c>
      <c r="D53" s="2959" t="s">
        <v>3174</v>
      </c>
      <c r="E53" s="2959" t="s">
        <v>3125</v>
      </c>
      <c r="F53" s="2960">
        <v>112</v>
      </c>
      <c r="G53" s="2959" t="s">
        <v>3186</v>
      </c>
      <c r="H53" s="2959">
        <v>47.58</v>
      </c>
      <c r="I53" s="2959">
        <v>37.130000000000003</v>
      </c>
    </row>
    <row r="54" spans="1:9" ht="18.75" customHeight="1">
      <c r="A54" s="2958">
        <v>53</v>
      </c>
      <c r="B54" s="2959" t="s">
        <v>3122</v>
      </c>
      <c r="C54" s="2959" t="s">
        <v>3173</v>
      </c>
      <c r="D54" s="2959" t="s">
        <v>3174</v>
      </c>
      <c r="E54" s="2959" t="s">
        <v>3125</v>
      </c>
      <c r="F54" s="2960">
        <v>113</v>
      </c>
      <c r="G54" s="2959" t="s">
        <v>3187</v>
      </c>
      <c r="H54" s="2959">
        <v>31.2</v>
      </c>
      <c r="I54" s="2959">
        <v>24.35</v>
      </c>
    </row>
    <row r="55" spans="1:9" ht="18.75" customHeight="1">
      <c r="A55" s="2958">
        <v>54</v>
      </c>
      <c r="B55" s="2959" t="s">
        <v>3122</v>
      </c>
      <c r="C55" s="2959" t="s">
        <v>3173</v>
      </c>
      <c r="D55" s="2959" t="s">
        <v>3174</v>
      </c>
      <c r="E55" s="2959" t="s">
        <v>3125</v>
      </c>
      <c r="F55" s="2960">
        <v>114</v>
      </c>
      <c r="G55" s="2959" t="s">
        <v>3188</v>
      </c>
      <c r="H55" s="2959">
        <v>31.61</v>
      </c>
      <c r="I55" s="2959">
        <v>24.67</v>
      </c>
    </row>
    <row r="56" spans="1:9" ht="18.75" customHeight="1">
      <c r="A56" s="2958">
        <v>55</v>
      </c>
      <c r="B56" s="2959" t="s">
        <v>3122</v>
      </c>
      <c r="C56" s="2959" t="s">
        <v>3173</v>
      </c>
      <c r="D56" s="2959" t="s">
        <v>3174</v>
      </c>
      <c r="E56" s="2959" t="s">
        <v>3125</v>
      </c>
      <c r="F56" s="2960">
        <v>115</v>
      </c>
      <c r="G56" s="2959" t="s">
        <v>3189</v>
      </c>
      <c r="H56" s="2959">
        <v>31.61</v>
      </c>
      <c r="I56" s="2959">
        <v>24.67</v>
      </c>
    </row>
    <row r="57" spans="1:9" ht="18.75" customHeight="1">
      <c r="A57" s="2958">
        <v>56</v>
      </c>
      <c r="B57" s="2959" t="s">
        <v>3122</v>
      </c>
      <c r="C57" s="2959" t="s">
        <v>3173</v>
      </c>
      <c r="D57" s="2959" t="s">
        <v>3174</v>
      </c>
      <c r="E57" s="2959" t="s">
        <v>3125</v>
      </c>
      <c r="F57" s="2960">
        <v>116</v>
      </c>
      <c r="G57" s="2959" t="s">
        <v>3190</v>
      </c>
      <c r="H57" s="2959">
        <v>31.82</v>
      </c>
      <c r="I57" s="2959">
        <v>24.83</v>
      </c>
    </row>
    <row r="58" spans="1:9" ht="18.75" customHeight="1">
      <c r="A58" s="2958">
        <v>57</v>
      </c>
      <c r="B58" s="2959" t="s">
        <v>3122</v>
      </c>
      <c r="C58" s="2959" t="s">
        <v>3173</v>
      </c>
      <c r="D58" s="2959" t="s">
        <v>3174</v>
      </c>
      <c r="E58" s="2959" t="s">
        <v>3125</v>
      </c>
      <c r="F58" s="2960">
        <v>117</v>
      </c>
      <c r="G58" s="2959" t="s">
        <v>3191</v>
      </c>
      <c r="H58" s="2959">
        <v>31.41</v>
      </c>
      <c r="I58" s="2959">
        <v>24.51</v>
      </c>
    </row>
    <row r="59" spans="1:9" ht="18.75" customHeight="1">
      <c r="A59" s="2958">
        <v>58</v>
      </c>
      <c r="B59" s="2959" t="s">
        <v>3122</v>
      </c>
      <c r="C59" s="2959" t="s">
        <v>3173</v>
      </c>
      <c r="D59" s="2959" t="s">
        <v>3174</v>
      </c>
      <c r="E59" s="2959" t="s">
        <v>3125</v>
      </c>
      <c r="F59" s="2960">
        <v>118</v>
      </c>
      <c r="G59" s="2959" t="s">
        <v>3192</v>
      </c>
      <c r="H59" s="2959">
        <v>31.61</v>
      </c>
      <c r="I59" s="2959">
        <v>24.67</v>
      </c>
    </row>
    <row r="60" spans="1:9" ht="18.75" customHeight="1">
      <c r="A60" s="2958">
        <v>59</v>
      </c>
      <c r="B60" s="2959" t="s">
        <v>3122</v>
      </c>
      <c r="C60" s="2959" t="s">
        <v>3173</v>
      </c>
      <c r="D60" s="2959" t="s">
        <v>3174</v>
      </c>
      <c r="E60" s="2959" t="s">
        <v>3125</v>
      </c>
      <c r="F60" s="2960">
        <v>119</v>
      </c>
      <c r="G60" s="2959" t="s">
        <v>3193</v>
      </c>
      <c r="H60" s="2959">
        <v>31.61</v>
      </c>
      <c r="I60" s="2959">
        <v>24.67</v>
      </c>
    </row>
    <row r="61" spans="1:9" ht="18.75" customHeight="1">
      <c r="A61" s="2958">
        <v>60</v>
      </c>
      <c r="B61" s="2959" t="s">
        <v>3122</v>
      </c>
      <c r="C61" s="2959" t="s">
        <v>3173</v>
      </c>
      <c r="D61" s="2959" t="s">
        <v>3174</v>
      </c>
      <c r="E61" s="2959" t="s">
        <v>3125</v>
      </c>
      <c r="F61" s="2960">
        <v>120</v>
      </c>
      <c r="G61" s="2959" t="s">
        <v>3194</v>
      </c>
      <c r="H61" s="2959">
        <v>31.82</v>
      </c>
      <c r="I61" s="2959">
        <v>24.83</v>
      </c>
    </row>
    <row r="62" spans="1:9" ht="18.75" customHeight="1">
      <c r="A62" s="2958">
        <v>61</v>
      </c>
      <c r="B62" s="2959" t="s">
        <v>3122</v>
      </c>
      <c r="C62" s="2959" t="s">
        <v>3173</v>
      </c>
      <c r="D62" s="2959" t="s">
        <v>3174</v>
      </c>
      <c r="E62" s="2959" t="s">
        <v>3125</v>
      </c>
      <c r="F62" s="2960">
        <v>121</v>
      </c>
      <c r="G62" s="2959" t="s">
        <v>3195</v>
      </c>
      <c r="H62" s="2959">
        <v>31.41</v>
      </c>
      <c r="I62" s="2959">
        <v>24.51</v>
      </c>
    </row>
    <row r="63" spans="1:9" ht="18.75" customHeight="1">
      <c r="A63" s="2958">
        <v>62</v>
      </c>
      <c r="B63" s="2959" t="s">
        <v>3122</v>
      </c>
      <c r="C63" s="2959" t="s">
        <v>3173</v>
      </c>
      <c r="D63" s="2959" t="s">
        <v>3174</v>
      </c>
      <c r="E63" s="2959" t="s">
        <v>3125</v>
      </c>
      <c r="F63" s="2960">
        <v>218</v>
      </c>
      <c r="G63" s="2959" t="s">
        <v>3196</v>
      </c>
      <c r="H63" s="2959">
        <v>31.61</v>
      </c>
      <c r="I63" s="2959">
        <v>24.67</v>
      </c>
    </row>
    <row r="64" spans="1:9" ht="18.75" customHeight="1">
      <c r="A64" s="2958">
        <v>63</v>
      </c>
      <c r="B64" s="2959" t="s">
        <v>3122</v>
      </c>
      <c r="C64" s="2959" t="s">
        <v>3173</v>
      </c>
      <c r="D64" s="2959" t="s">
        <v>3174</v>
      </c>
      <c r="E64" s="2959" t="s">
        <v>3125</v>
      </c>
      <c r="F64" s="2960">
        <v>913</v>
      </c>
      <c r="G64" s="2959" t="s">
        <v>3197</v>
      </c>
      <c r="H64" s="2959">
        <v>31.41</v>
      </c>
      <c r="I64" s="2959">
        <v>24.51</v>
      </c>
    </row>
    <row r="65" spans="1:9" ht="18.75" customHeight="1">
      <c r="A65" s="2958">
        <v>64</v>
      </c>
      <c r="B65" s="2959" t="s">
        <v>3122</v>
      </c>
      <c r="C65" s="2959" t="s">
        <v>3173</v>
      </c>
      <c r="D65" s="2959" t="s">
        <v>3174</v>
      </c>
      <c r="E65" s="2959" t="s">
        <v>3125</v>
      </c>
      <c r="F65" s="2960">
        <v>1503</v>
      </c>
      <c r="G65" s="2959" t="s">
        <v>3198</v>
      </c>
      <c r="H65" s="2959">
        <v>46.98</v>
      </c>
      <c r="I65" s="2959">
        <v>36.659999999999997</v>
      </c>
    </row>
    <row r="66" spans="1:9" ht="18.75" customHeight="1">
      <c r="A66" s="2958">
        <v>65</v>
      </c>
      <c r="B66" s="2959" t="s">
        <v>3122</v>
      </c>
      <c r="C66" s="2959" t="s">
        <v>3173</v>
      </c>
      <c r="D66" s="2959" t="s">
        <v>3174</v>
      </c>
      <c r="E66" s="2959" t="s">
        <v>3125</v>
      </c>
      <c r="F66" s="2960">
        <v>1518</v>
      </c>
      <c r="G66" s="2959" t="s">
        <v>3199</v>
      </c>
      <c r="H66" s="2959">
        <v>31.61</v>
      </c>
      <c r="I66" s="2959">
        <v>24.67</v>
      </c>
    </row>
    <row r="67" spans="1:9" ht="18.75" customHeight="1">
      <c r="A67" s="2958">
        <v>66</v>
      </c>
      <c r="B67" s="2959" t="s">
        <v>3122</v>
      </c>
      <c r="C67" s="2959" t="s">
        <v>3173</v>
      </c>
      <c r="D67" s="2959" t="s">
        <v>3200</v>
      </c>
      <c r="E67" s="2959" t="s">
        <v>3125</v>
      </c>
      <c r="F67" s="2960">
        <v>103</v>
      </c>
      <c r="G67" s="2959" t="s">
        <v>3201</v>
      </c>
      <c r="H67" s="2959">
        <v>47.25</v>
      </c>
      <c r="I67" s="2959">
        <v>36.659999999999997</v>
      </c>
    </row>
    <row r="68" spans="1:9" ht="18.75" customHeight="1">
      <c r="A68" s="2958">
        <v>67</v>
      </c>
      <c r="B68" s="2959" t="s">
        <v>3122</v>
      </c>
      <c r="C68" s="2959" t="s">
        <v>3173</v>
      </c>
      <c r="D68" s="2959" t="s">
        <v>3200</v>
      </c>
      <c r="E68" s="2959" t="s">
        <v>3125</v>
      </c>
      <c r="F68" s="2960">
        <v>104</v>
      </c>
      <c r="G68" s="2959" t="s">
        <v>3202</v>
      </c>
      <c r="H68" s="2959">
        <v>47.25</v>
      </c>
      <c r="I68" s="2959">
        <v>36.659999999999997</v>
      </c>
    </row>
    <row r="69" spans="1:9" ht="18.75" customHeight="1">
      <c r="A69" s="2958">
        <v>68</v>
      </c>
      <c r="B69" s="2959" t="s">
        <v>3122</v>
      </c>
      <c r="C69" s="2959" t="s">
        <v>3173</v>
      </c>
      <c r="D69" s="2959" t="s">
        <v>3200</v>
      </c>
      <c r="E69" s="2959" t="s">
        <v>3125</v>
      </c>
      <c r="F69" s="2960">
        <v>105</v>
      </c>
      <c r="G69" s="2959" t="s">
        <v>3203</v>
      </c>
      <c r="H69" s="2959">
        <v>47.25</v>
      </c>
      <c r="I69" s="2959">
        <v>36.659999999999997</v>
      </c>
    </row>
    <row r="70" spans="1:9" ht="18.75" customHeight="1">
      <c r="A70" s="2958">
        <v>69</v>
      </c>
      <c r="B70" s="2959" t="s">
        <v>3122</v>
      </c>
      <c r="C70" s="2959" t="s">
        <v>3173</v>
      </c>
      <c r="D70" s="2959" t="s">
        <v>3200</v>
      </c>
      <c r="E70" s="2959" t="s">
        <v>3125</v>
      </c>
      <c r="F70" s="2960">
        <v>106</v>
      </c>
      <c r="G70" s="2959" t="s">
        <v>3204</v>
      </c>
      <c r="H70" s="2959">
        <v>47.25</v>
      </c>
      <c r="I70" s="2959">
        <v>36.659999999999997</v>
      </c>
    </row>
    <row r="71" spans="1:9" ht="18.75" customHeight="1">
      <c r="A71" s="2958">
        <v>70</v>
      </c>
      <c r="B71" s="2959" t="s">
        <v>3122</v>
      </c>
      <c r="C71" s="2959" t="s">
        <v>3173</v>
      </c>
      <c r="D71" s="2959" t="s">
        <v>3200</v>
      </c>
      <c r="E71" s="2959" t="s">
        <v>3125</v>
      </c>
      <c r="F71" s="2960">
        <v>107</v>
      </c>
      <c r="G71" s="2959" t="s">
        <v>3205</v>
      </c>
      <c r="H71" s="2959">
        <v>47.25</v>
      </c>
      <c r="I71" s="2959">
        <v>36.659999999999997</v>
      </c>
    </row>
    <row r="72" spans="1:9" ht="18.75" customHeight="1">
      <c r="A72" s="2958">
        <v>71</v>
      </c>
      <c r="B72" s="2959" t="s">
        <v>3122</v>
      </c>
      <c r="C72" s="2959" t="s">
        <v>3173</v>
      </c>
      <c r="D72" s="2959" t="s">
        <v>3200</v>
      </c>
      <c r="E72" s="2959" t="s">
        <v>3125</v>
      </c>
      <c r="F72" s="2960">
        <v>108</v>
      </c>
      <c r="G72" s="2959" t="s">
        <v>3206</v>
      </c>
      <c r="H72" s="2959">
        <v>47.25</v>
      </c>
      <c r="I72" s="2959">
        <v>36.659999999999997</v>
      </c>
    </row>
    <row r="73" spans="1:9" ht="18.75" customHeight="1">
      <c r="A73" s="2958">
        <v>72</v>
      </c>
      <c r="B73" s="2959" t="s">
        <v>3122</v>
      </c>
      <c r="C73" s="2959" t="s">
        <v>3173</v>
      </c>
      <c r="D73" s="2959" t="s">
        <v>3200</v>
      </c>
      <c r="E73" s="2959" t="s">
        <v>3125</v>
      </c>
      <c r="F73" s="2960">
        <v>109</v>
      </c>
      <c r="G73" s="2959" t="s">
        <v>3207</v>
      </c>
      <c r="H73" s="2959">
        <v>47.85</v>
      </c>
      <c r="I73" s="2959">
        <v>37.130000000000003</v>
      </c>
    </row>
    <row r="74" spans="1:9" ht="18.75" customHeight="1">
      <c r="A74" s="2958">
        <v>73</v>
      </c>
      <c r="B74" s="2959" t="s">
        <v>3122</v>
      </c>
      <c r="C74" s="2959" t="s">
        <v>3173</v>
      </c>
      <c r="D74" s="2959" t="s">
        <v>3200</v>
      </c>
      <c r="E74" s="2959" t="s">
        <v>3125</v>
      </c>
      <c r="F74" s="2960">
        <v>110</v>
      </c>
      <c r="G74" s="2959" t="s">
        <v>3208</v>
      </c>
      <c r="H74" s="2959">
        <v>31.79</v>
      </c>
      <c r="I74" s="2959">
        <v>24.67</v>
      </c>
    </row>
    <row r="75" spans="1:9" ht="18.75" customHeight="1">
      <c r="A75" s="2958">
        <v>74</v>
      </c>
      <c r="B75" s="2959" t="s">
        <v>3122</v>
      </c>
      <c r="C75" s="2959" t="s">
        <v>3173</v>
      </c>
      <c r="D75" s="2959" t="s">
        <v>3200</v>
      </c>
      <c r="E75" s="2959" t="s">
        <v>3125</v>
      </c>
      <c r="F75" s="2960">
        <v>111</v>
      </c>
      <c r="G75" s="2959" t="s">
        <v>3209</v>
      </c>
      <c r="H75" s="2959">
        <v>31.79</v>
      </c>
      <c r="I75" s="2959">
        <v>24.67</v>
      </c>
    </row>
    <row r="76" spans="1:9" ht="18.75" customHeight="1">
      <c r="A76" s="2958">
        <v>75</v>
      </c>
      <c r="B76" s="2959" t="s">
        <v>3122</v>
      </c>
      <c r="C76" s="2959" t="s">
        <v>3173</v>
      </c>
      <c r="D76" s="2959" t="s">
        <v>3200</v>
      </c>
      <c r="E76" s="2959" t="s">
        <v>3125</v>
      </c>
      <c r="F76" s="2960">
        <v>112</v>
      </c>
      <c r="G76" s="2959" t="s">
        <v>3210</v>
      </c>
      <c r="H76" s="2959">
        <v>32.19</v>
      </c>
      <c r="I76" s="2959">
        <v>24.98</v>
      </c>
    </row>
    <row r="77" spans="1:9" ht="18.75" customHeight="1">
      <c r="A77" s="2958">
        <v>76</v>
      </c>
      <c r="B77" s="2959" t="s">
        <v>3122</v>
      </c>
      <c r="C77" s="2959" t="s">
        <v>3173</v>
      </c>
      <c r="D77" s="2959" t="s">
        <v>3200</v>
      </c>
      <c r="E77" s="2959" t="s">
        <v>3125</v>
      </c>
      <c r="F77" s="2960">
        <v>113</v>
      </c>
      <c r="G77" s="2959" t="s">
        <v>3211</v>
      </c>
      <c r="H77" s="2959">
        <v>32</v>
      </c>
      <c r="I77" s="2959">
        <v>24.83</v>
      </c>
    </row>
    <row r="78" spans="1:9" ht="18.75" customHeight="1">
      <c r="A78" s="2958">
        <v>77</v>
      </c>
      <c r="B78" s="2959" t="s">
        <v>3122</v>
      </c>
      <c r="C78" s="2959" t="s">
        <v>3173</v>
      </c>
      <c r="D78" s="2959" t="s">
        <v>3200</v>
      </c>
      <c r="E78" s="2959" t="s">
        <v>3125</v>
      </c>
      <c r="F78" s="2960">
        <v>114</v>
      </c>
      <c r="G78" s="2959" t="s">
        <v>3212</v>
      </c>
      <c r="H78" s="2959">
        <v>32.19</v>
      </c>
      <c r="I78" s="2959">
        <v>24.98</v>
      </c>
    </row>
    <row r="79" spans="1:9" ht="18.75" customHeight="1">
      <c r="A79" s="2958">
        <v>78</v>
      </c>
      <c r="B79" s="2959" t="s">
        <v>3122</v>
      </c>
      <c r="C79" s="2959" t="s">
        <v>3173</v>
      </c>
      <c r="D79" s="2959" t="s">
        <v>3200</v>
      </c>
      <c r="E79" s="2959" t="s">
        <v>3125</v>
      </c>
      <c r="F79" s="2960">
        <v>115</v>
      </c>
      <c r="G79" s="2959" t="s">
        <v>3213</v>
      </c>
      <c r="H79" s="2959">
        <v>47.85</v>
      </c>
      <c r="I79" s="2959">
        <v>37.130000000000003</v>
      </c>
    </row>
    <row r="80" spans="1:9" ht="18.75" customHeight="1">
      <c r="A80" s="2958">
        <v>79</v>
      </c>
      <c r="B80" s="2959" t="s">
        <v>3122</v>
      </c>
      <c r="C80" s="2959" t="s">
        <v>3173</v>
      </c>
      <c r="D80" s="2959" t="s">
        <v>3200</v>
      </c>
      <c r="E80" s="2959" t="s">
        <v>3125</v>
      </c>
      <c r="F80" s="2960">
        <v>116</v>
      </c>
      <c r="G80" s="2959" t="s">
        <v>3214</v>
      </c>
      <c r="H80" s="2959">
        <v>47.25</v>
      </c>
      <c r="I80" s="2959">
        <v>36.659999999999997</v>
      </c>
    </row>
    <row r="81" spans="1:9" ht="18.75" customHeight="1">
      <c r="A81" s="2958">
        <v>80</v>
      </c>
      <c r="B81" s="2959" t="s">
        <v>3122</v>
      </c>
      <c r="C81" s="2959" t="s">
        <v>3173</v>
      </c>
      <c r="D81" s="2959" t="s">
        <v>3200</v>
      </c>
      <c r="E81" s="2959" t="s">
        <v>3125</v>
      </c>
      <c r="F81" s="2960">
        <v>117</v>
      </c>
      <c r="G81" s="2959" t="s">
        <v>3215</v>
      </c>
      <c r="H81" s="2959">
        <v>47.25</v>
      </c>
      <c r="I81" s="2959">
        <v>36.659999999999997</v>
      </c>
    </row>
    <row r="82" spans="1:9" ht="18.75" customHeight="1">
      <c r="A82" s="2958">
        <v>81</v>
      </c>
      <c r="B82" s="2959" t="s">
        <v>3122</v>
      </c>
      <c r="C82" s="2959" t="s">
        <v>3173</v>
      </c>
      <c r="D82" s="2959" t="s">
        <v>3200</v>
      </c>
      <c r="E82" s="2959" t="s">
        <v>3125</v>
      </c>
      <c r="F82" s="2960">
        <v>118</v>
      </c>
      <c r="G82" s="2959" t="s">
        <v>3216</v>
      </c>
      <c r="H82" s="2959">
        <v>47.25</v>
      </c>
      <c r="I82" s="2959">
        <v>36.659999999999997</v>
      </c>
    </row>
    <row r="83" spans="1:9" ht="18.75" customHeight="1">
      <c r="A83" s="2958">
        <v>82</v>
      </c>
      <c r="B83" s="2959" t="s">
        <v>3122</v>
      </c>
      <c r="C83" s="2959" t="s">
        <v>3173</v>
      </c>
      <c r="D83" s="2959" t="s">
        <v>3200</v>
      </c>
      <c r="E83" s="2959" t="s">
        <v>3125</v>
      </c>
      <c r="F83" s="2960">
        <v>119</v>
      </c>
      <c r="G83" s="2959" t="s">
        <v>3217</v>
      </c>
      <c r="H83" s="2959">
        <v>47.25</v>
      </c>
      <c r="I83" s="2959">
        <v>36.659999999999997</v>
      </c>
    </row>
    <row r="84" spans="1:9" ht="18.75" customHeight="1">
      <c r="A84" s="2958">
        <v>83</v>
      </c>
      <c r="B84" s="2959" t="s">
        <v>3122</v>
      </c>
      <c r="C84" s="2959" t="s">
        <v>3173</v>
      </c>
      <c r="D84" s="2959" t="s">
        <v>3200</v>
      </c>
      <c r="E84" s="2959" t="s">
        <v>3125</v>
      </c>
      <c r="F84" s="2960">
        <v>120</v>
      </c>
      <c r="G84" s="2959" t="s">
        <v>3218</v>
      </c>
      <c r="H84" s="2959">
        <v>47.25</v>
      </c>
      <c r="I84" s="2959">
        <v>36.659999999999997</v>
      </c>
    </row>
    <row r="85" spans="1:9" ht="18.75" customHeight="1">
      <c r="A85" s="2958">
        <v>84</v>
      </c>
      <c r="B85" s="2959" t="s">
        <v>3122</v>
      </c>
      <c r="C85" s="2959" t="s">
        <v>3173</v>
      </c>
      <c r="D85" s="2959" t="s">
        <v>3200</v>
      </c>
      <c r="E85" s="2959" t="s">
        <v>3125</v>
      </c>
      <c r="F85" s="2960">
        <v>121</v>
      </c>
      <c r="G85" s="2959" t="s">
        <v>3219</v>
      </c>
      <c r="H85" s="2959">
        <v>47.25</v>
      </c>
      <c r="I85" s="2959">
        <v>36.659999999999997</v>
      </c>
    </row>
    <row r="86" spans="1:9" ht="18.75" customHeight="1">
      <c r="A86" s="2958">
        <v>85</v>
      </c>
      <c r="B86" s="2959" t="s">
        <v>3122</v>
      </c>
      <c r="C86" s="2959" t="s">
        <v>3173</v>
      </c>
      <c r="D86" s="2959" t="s">
        <v>3200</v>
      </c>
      <c r="E86" s="2959" t="s">
        <v>3125</v>
      </c>
      <c r="F86" s="2960">
        <v>122</v>
      </c>
      <c r="G86" s="2959" t="s">
        <v>3220</v>
      </c>
      <c r="H86" s="2959">
        <v>47.25</v>
      </c>
      <c r="I86" s="2959">
        <v>36.659999999999997</v>
      </c>
    </row>
    <row r="87" spans="1:9" ht="18.75" customHeight="1">
      <c r="A87" s="2958">
        <v>86</v>
      </c>
      <c r="B87" s="2959" t="s">
        <v>3122</v>
      </c>
      <c r="C87" s="2959" t="s">
        <v>3173</v>
      </c>
      <c r="D87" s="2959" t="s">
        <v>3200</v>
      </c>
      <c r="E87" s="2959" t="s">
        <v>3125</v>
      </c>
      <c r="F87" s="2960">
        <v>123</v>
      </c>
      <c r="G87" s="2959" t="s">
        <v>3221</v>
      </c>
      <c r="H87" s="2959">
        <v>47.85</v>
      </c>
      <c r="I87" s="2959">
        <v>37.130000000000003</v>
      </c>
    </row>
    <row r="88" spans="1:9" ht="18.75" customHeight="1">
      <c r="A88" s="2958">
        <v>87</v>
      </c>
      <c r="B88" s="2959" t="s">
        <v>3122</v>
      </c>
      <c r="C88" s="2959" t="s">
        <v>3173</v>
      </c>
      <c r="D88" s="2959" t="s">
        <v>3200</v>
      </c>
      <c r="E88" s="2959" t="s">
        <v>3125</v>
      </c>
      <c r="F88" s="2960">
        <v>124</v>
      </c>
      <c r="G88" s="2959" t="s">
        <v>3222</v>
      </c>
      <c r="H88" s="2959">
        <v>31.72</v>
      </c>
      <c r="I88" s="2959">
        <v>24.61</v>
      </c>
    </row>
    <row r="89" spans="1:9" ht="18.75" customHeight="1">
      <c r="A89" s="2958">
        <v>88</v>
      </c>
      <c r="B89" s="2959" t="s">
        <v>3122</v>
      </c>
      <c r="C89" s="2959" t="s">
        <v>3173</v>
      </c>
      <c r="D89" s="2959" t="s">
        <v>3200</v>
      </c>
      <c r="E89" s="2959" t="s">
        <v>3125</v>
      </c>
      <c r="F89" s="2960">
        <v>125</v>
      </c>
      <c r="G89" s="2959" t="s">
        <v>3223</v>
      </c>
      <c r="H89" s="2959">
        <v>31.72</v>
      </c>
      <c r="I89" s="2959">
        <v>24.61</v>
      </c>
    </row>
    <row r="90" spans="1:9" ht="18.75" customHeight="1">
      <c r="A90" s="2958">
        <v>89</v>
      </c>
      <c r="B90" s="2959" t="s">
        <v>3122</v>
      </c>
      <c r="C90" s="2959" t="s">
        <v>3173</v>
      </c>
      <c r="D90" s="2959" t="s">
        <v>3200</v>
      </c>
      <c r="E90" s="2959" t="s">
        <v>3125</v>
      </c>
      <c r="F90" s="2960">
        <v>126</v>
      </c>
      <c r="G90" s="2959" t="s">
        <v>3224</v>
      </c>
      <c r="H90" s="2959">
        <v>31.59</v>
      </c>
      <c r="I90" s="2959">
        <v>24.51</v>
      </c>
    </row>
    <row r="91" spans="1:9" ht="18.75" customHeight="1">
      <c r="A91" s="2958">
        <v>90</v>
      </c>
      <c r="B91" s="2959" t="s">
        <v>3122</v>
      </c>
      <c r="C91" s="2959" t="s">
        <v>3173</v>
      </c>
      <c r="D91" s="2959" t="s">
        <v>3200</v>
      </c>
      <c r="E91" s="2959" t="s">
        <v>3125</v>
      </c>
      <c r="F91" s="2960">
        <v>127</v>
      </c>
      <c r="G91" s="2959" t="s">
        <v>3225</v>
      </c>
      <c r="H91" s="2959">
        <v>31.79</v>
      </c>
      <c r="I91" s="2959">
        <v>24.67</v>
      </c>
    </row>
    <row r="92" spans="1:9" ht="18.75" customHeight="1">
      <c r="A92" s="2958">
        <v>91</v>
      </c>
      <c r="B92" s="2959" t="s">
        <v>3122</v>
      </c>
      <c r="C92" s="2959" t="s">
        <v>3173</v>
      </c>
      <c r="D92" s="2959" t="s">
        <v>3200</v>
      </c>
      <c r="E92" s="2959" t="s">
        <v>3125</v>
      </c>
      <c r="F92" s="2960">
        <v>128</v>
      </c>
      <c r="G92" s="2959" t="s">
        <v>3226</v>
      </c>
      <c r="H92" s="2959">
        <v>31.79</v>
      </c>
      <c r="I92" s="2959">
        <v>24.67</v>
      </c>
    </row>
    <row r="93" spans="1:9" ht="18.75" customHeight="1">
      <c r="A93" s="2958">
        <v>92</v>
      </c>
      <c r="B93" s="2959" t="s">
        <v>3122</v>
      </c>
      <c r="C93" s="2959" t="s">
        <v>3173</v>
      </c>
      <c r="D93" s="2959" t="s">
        <v>3200</v>
      </c>
      <c r="E93" s="2959" t="s">
        <v>3125</v>
      </c>
      <c r="F93" s="2960">
        <v>129</v>
      </c>
      <c r="G93" s="2959" t="s">
        <v>3227</v>
      </c>
      <c r="H93" s="2959">
        <v>31.79</v>
      </c>
      <c r="I93" s="2959">
        <v>24.67</v>
      </c>
    </row>
    <row r="94" spans="1:9" ht="18.75" customHeight="1">
      <c r="A94" s="2958">
        <v>93</v>
      </c>
      <c r="B94" s="2959" t="s">
        <v>3122</v>
      </c>
      <c r="C94" s="2959" t="s">
        <v>3173</v>
      </c>
      <c r="D94" s="2959" t="s">
        <v>3200</v>
      </c>
      <c r="E94" s="2959" t="s">
        <v>3125</v>
      </c>
      <c r="F94" s="2960">
        <v>130</v>
      </c>
      <c r="G94" s="2959" t="s">
        <v>3228</v>
      </c>
      <c r="H94" s="2959">
        <v>32</v>
      </c>
      <c r="I94" s="2959">
        <v>24.83</v>
      </c>
    </row>
    <row r="95" spans="1:9" ht="18.75" customHeight="1">
      <c r="A95" s="2958">
        <v>94</v>
      </c>
      <c r="B95" s="2959" t="s">
        <v>3122</v>
      </c>
      <c r="C95" s="2959" t="s">
        <v>3173</v>
      </c>
      <c r="D95" s="2959" t="s">
        <v>3200</v>
      </c>
      <c r="E95" s="2959" t="s">
        <v>3125</v>
      </c>
      <c r="F95" s="2960">
        <v>131</v>
      </c>
      <c r="G95" s="2959" t="s">
        <v>3229</v>
      </c>
      <c r="H95" s="2959">
        <v>31.59</v>
      </c>
      <c r="I95" s="2959">
        <v>24.51</v>
      </c>
    </row>
    <row r="96" spans="1:9" ht="18.75" customHeight="1">
      <c r="A96" s="2958">
        <v>95</v>
      </c>
      <c r="B96" s="2959" t="s">
        <v>3122</v>
      </c>
      <c r="C96" s="2959" t="s">
        <v>3173</v>
      </c>
      <c r="D96" s="2959" t="s">
        <v>3200</v>
      </c>
      <c r="E96" s="2959" t="s">
        <v>3125</v>
      </c>
      <c r="F96" s="2960">
        <v>132</v>
      </c>
      <c r="G96" s="2959" t="s">
        <v>3230</v>
      </c>
      <c r="H96" s="2959">
        <v>31.38</v>
      </c>
      <c r="I96" s="2959">
        <v>24.35</v>
      </c>
    </row>
    <row r="97" spans="1:9" ht="18.75" customHeight="1">
      <c r="A97" s="2958">
        <v>96</v>
      </c>
      <c r="B97" s="2959" t="s">
        <v>3122</v>
      </c>
      <c r="C97" s="2959" t="s">
        <v>3173</v>
      </c>
      <c r="D97" s="2959" t="s">
        <v>3200</v>
      </c>
      <c r="E97" s="2959" t="s">
        <v>3125</v>
      </c>
      <c r="F97" s="2960">
        <v>202</v>
      </c>
      <c r="G97" s="2959" t="s">
        <v>3231</v>
      </c>
      <c r="H97" s="2959">
        <v>47.25</v>
      </c>
      <c r="I97" s="2959">
        <v>36.659999999999997</v>
      </c>
    </row>
    <row r="98" spans="1:9" ht="18.75" customHeight="1">
      <c r="A98" s="2958">
        <v>97</v>
      </c>
      <c r="B98" s="2959" t="s">
        <v>3122</v>
      </c>
      <c r="C98" s="2959" t="s">
        <v>3173</v>
      </c>
      <c r="D98" s="2959" t="s">
        <v>3200</v>
      </c>
      <c r="E98" s="2959" t="s">
        <v>3125</v>
      </c>
      <c r="F98" s="2960">
        <v>203</v>
      </c>
      <c r="G98" s="2959" t="s">
        <v>3232</v>
      </c>
      <c r="H98" s="2959">
        <v>47.25</v>
      </c>
      <c r="I98" s="2959">
        <v>36.659999999999997</v>
      </c>
    </row>
    <row r="99" spans="1:9" ht="18.75" customHeight="1">
      <c r="A99" s="2958">
        <v>98</v>
      </c>
      <c r="B99" s="2959" t="s">
        <v>3122</v>
      </c>
      <c r="C99" s="2959" t="s">
        <v>3173</v>
      </c>
      <c r="D99" s="2959" t="s">
        <v>3200</v>
      </c>
      <c r="E99" s="2959" t="s">
        <v>3125</v>
      </c>
      <c r="F99" s="2960">
        <v>204</v>
      </c>
      <c r="G99" s="2959" t="s">
        <v>3233</v>
      </c>
      <c r="H99" s="2959">
        <v>47.25</v>
      </c>
      <c r="I99" s="2959">
        <v>36.659999999999997</v>
      </c>
    </row>
    <row r="100" spans="1:9" ht="18.75" customHeight="1">
      <c r="A100" s="2958">
        <v>99</v>
      </c>
      <c r="B100" s="2959" t="s">
        <v>3122</v>
      </c>
      <c r="C100" s="2959" t="s">
        <v>3173</v>
      </c>
      <c r="D100" s="2959" t="s">
        <v>3200</v>
      </c>
      <c r="E100" s="2959" t="s">
        <v>3125</v>
      </c>
      <c r="F100" s="2960">
        <v>205</v>
      </c>
      <c r="G100" s="2959" t="s">
        <v>3234</v>
      </c>
      <c r="H100" s="2959">
        <v>47.25</v>
      </c>
      <c r="I100" s="2959">
        <v>36.659999999999997</v>
      </c>
    </row>
    <row r="101" spans="1:9" ht="18.75" customHeight="1">
      <c r="A101" s="2958">
        <v>100</v>
      </c>
      <c r="B101" s="2959" t="s">
        <v>3122</v>
      </c>
      <c r="C101" s="2959" t="s">
        <v>3173</v>
      </c>
      <c r="D101" s="2959" t="s">
        <v>3200</v>
      </c>
      <c r="E101" s="2959" t="s">
        <v>3125</v>
      </c>
      <c r="F101" s="2960">
        <v>206</v>
      </c>
      <c r="G101" s="2959" t="s">
        <v>3235</v>
      </c>
      <c r="H101" s="2959">
        <v>47.25</v>
      </c>
      <c r="I101" s="2959">
        <v>36.659999999999997</v>
      </c>
    </row>
    <row r="102" spans="1:9" ht="18.75" customHeight="1">
      <c r="A102" s="2958">
        <v>101</v>
      </c>
      <c r="B102" s="2959" t="s">
        <v>3122</v>
      </c>
      <c r="C102" s="2959" t="s">
        <v>3173</v>
      </c>
      <c r="D102" s="2959" t="s">
        <v>3200</v>
      </c>
      <c r="E102" s="2959" t="s">
        <v>3125</v>
      </c>
      <c r="F102" s="2960">
        <v>207</v>
      </c>
      <c r="G102" s="2959" t="s">
        <v>3236</v>
      </c>
      <c r="H102" s="2959">
        <v>47.25</v>
      </c>
      <c r="I102" s="2959">
        <v>36.659999999999997</v>
      </c>
    </row>
    <row r="103" spans="1:9" ht="18.75" customHeight="1">
      <c r="A103" s="2958">
        <v>102</v>
      </c>
      <c r="B103" s="2959" t="s">
        <v>3122</v>
      </c>
      <c r="C103" s="2959" t="s">
        <v>3173</v>
      </c>
      <c r="D103" s="2959" t="s">
        <v>3200</v>
      </c>
      <c r="E103" s="2959" t="s">
        <v>3125</v>
      </c>
      <c r="F103" s="2960">
        <v>208</v>
      </c>
      <c r="G103" s="2959" t="s">
        <v>3237</v>
      </c>
      <c r="H103" s="2959">
        <v>47.25</v>
      </c>
      <c r="I103" s="2959">
        <v>36.659999999999997</v>
      </c>
    </row>
    <row r="104" spans="1:9" ht="18.75" customHeight="1">
      <c r="A104" s="2958">
        <v>103</v>
      </c>
      <c r="B104" s="2959" t="s">
        <v>3122</v>
      </c>
      <c r="C104" s="2959" t="s">
        <v>3173</v>
      </c>
      <c r="D104" s="2959" t="s">
        <v>3200</v>
      </c>
      <c r="E104" s="2959" t="s">
        <v>3125</v>
      </c>
      <c r="F104" s="2960">
        <v>209</v>
      </c>
      <c r="G104" s="2959" t="s">
        <v>3238</v>
      </c>
      <c r="H104" s="2959">
        <v>47.85</v>
      </c>
      <c r="I104" s="2959">
        <v>37.130000000000003</v>
      </c>
    </row>
    <row r="105" spans="1:9" ht="18.75" customHeight="1">
      <c r="A105" s="2958">
        <v>104</v>
      </c>
      <c r="B105" s="2959" t="s">
        <v>3122</v>
      </c>
      <c r="C105" s="2959" t="s">
        <v>3173</v>
      </c>
      <c r="D105" s="2959" t="s">
        <v>3200</v>
      </c>
      <c r="E105" s="2959" t="s">
        <v>3125</v>
      </c>
      <c r="F105" s="2960">
        <v>210</v>
      </c>
      <c r="G105" s="2959" t="s">
        <v>3239</v>
      </c>
      <c r="H105" s="2959">
        <v>31.79</v>
      </c>
      <c r="I105" s="2959">
        <v>24.67</v>
      </c>
    </row>
    <row r="106" spans="1:9" ht="18.75" customHeight="1">
      <c r="A106" s="2958">
        <v>105</v>
      </c>
      <c r="B106" s="2959" t="s">
        <v>3122</v>
      </c>
      <c r="C106" s="2959" t="s">
        <v>3173</v>
      </c>
      <c r="D106" s="2959" t="s">
        <v>3200</v>
      </c>
      <c r="E106" s="2959" t="s">
        <v>3125</v>
      </c>
      <c r="F106" s="2960">
        <v>211</v>
      </c>
      <c r="G106" s="2959" t="s">
        <v>3240</v>
      </c>
      <c r="H106" s="2959">
        <v>31.79</v>
      </c>
      <c r="I106" s="2959">
        <v>24.67</v>
      </c>
    </row>
    <row r="107" spans="1:9" ht="18.75" customHeight="1">
      <c r="A107" s="2958">
        <v>106</v>
      </c>
      <c r="B107" s="2959" t="s">
        <v>3122</v>
      </c>
      <c r="C107" s="2959" t="s">
        <v>3173</v>
      </c>
      <c r="D107" s="2959" t="s">
        <v>3200</v>
      </c>
      <c r="E107" s="2959" t="s">
        <v>3125</v>
      </c>
      <c r="F107" s="2960">
        <v>212</v>
      </c>
      <c r="G107" s="2959" t="s">
        <v>3241</v>
      </c>
      <c r="H107" s="2959">
        <v>32.19</v>
      </c>
      <c r="I107" s="2959">
        <v>24.98</v>
      </c>
    </row>
    <row r="108" spans="1:9" ht="18.75" customHeight="1">
      <c r="A108" s="2958">
        <v>107</v>
      </c>
      <c r="B108" s="2959" t="s">
        <v>3122</v>
      </c>
      <c r="C108" s="2959" t="s">
        <v>3173</v>
      </c>
      <c r="D108" s="2959" t="s">
        <v>3200</v>
      </c>
      <c r="E108" s="2959" t="s">
        <v>3125</v>
      </c>
      <c r="F108" s="2960">
        <v>213</v>
      </c>
      <c r="G108" s="2959" t="s">
        <v>3242</v>
      </c>
      <c r="H108" s="2959">
        <v>32</v>
      </c>
      <c r="I108" s="2959">
        <v>24.83</v>
      </c>
    </row>
    <row r="109" spans="1:9" ht="18.75" customHeight="1">
      <c r="A109" s="2958">
        <v>108</v>
      </c>
      <c r="B109" s="2959" t="s">
        <v>3122</v>
      </c>
      <c r="C109" s="2959" t="s">
        <v>3173</v>
      </c>
      <c r="D109" s="2959" t="s">
        <v>3200</v>
      </c>
      <c r="E109" s="2959" t="s">
        <v>3125</v>
      </c>
      <c r="F109" s="2960">
        <v>214</v>
      </c>
      <c r="G109" s="2959" t="s">
        <v>3243</v>
      </c>
      <c r="H109" s="2959">
        <v>32.19</v>
      </c>
      <c r="I109" s="2959">
        <v>24.98</v>
      </c>
    </row>
    <row r="110" spans="1:9" ht="18.75" customHeight="1">
      <c r="A110" s="2958">
        <v>109</v>
      </c>
      <c r="B110" s="2959" t="s">
        <v>3122</v>
      </c>
      <c r="C110" s="2959" t="s">
        <v>3173</v>
      </c>
      <c r="D110" s="2959" t="s">
        <v>3200</v>
      </c>
      <c r="E110" s="2959" t="s">
        <v>3125</v>
      </c>
      <c r="F110" s="2960">
        <v>215</v>
      </c>
      <c r="G110" s="2959" t="s">
        <v>3244</v>
      </c>
      <c r="H110" s="2959">
        <v>47.85</v>
      </c>
      <c r="I110" s="2959">
        <v>37.130000000000003</v>
      </c>
    </row>
    <row r="111" spans="1:9" ht="18.75" customHeight="1">
      <c r="A111" s="2958">
        <v>110</v>
      </c>
      <c r="B111" s="2959" t="s">
        <v>3122</v>
      </c>
      <c r="C111" s="2959" t="s">
        <v>3173</v>
      </c>
      <c r="D111" s="2959" t="s">
        <v>3200</v>
      </c>
      <c r="E111" s="2959" t="s">
        <v>3125</v>
      </c>
      <c r="F111" s="2960">
        <v>216</v>
      </c>
      <c r="G111" s="2959" t="s">
        <v>3245</v>
      </c>
      <c r="H111" s="2959">
        <v>47.25</v>
      </c>
      <c r="I111" s="2959">
        <v>36.659999999999997</v>
      </c>
    </row>
    <row r="112" spans="1:9" ht="18.75" customHeight="1">
      <c r="A112" s="2958">
        <v>111</v>
      </c>
      <c r="B112" s="2959" t="s">
        <v>3122</v>
      </c>
      <c r="C112" s="2959" t="s">
        <v>3173</v>
      </c>
      <c r="D112" s="2959" t="s">
        <v>3200</v>
      </c>
      <c r="E112" s="2959" t="s">
        <v>3125</v>
      </c>
      <c r="F112" s="2960">
        <v>217</v>
      </c>
      <c r="G112" s="2959" t="s">
        <v>3246</v>
      </c>
      <c r="H112" s="2959">
        <v>47.25</v>
      </c>
      <c r="I112" s="2959">
        <v>36.659999999999997</v>
      </c>
    </row>
    <row r="113" spans="1:9" ht="18.75" customHeight="1">
      <c r="A113" s="2958">
        <v>112</v>
      </c>
      <c r="B113" s="2959" t="s">
        <v>3122</v>
      </c>
      <c r="C113" s="2959" t="s">
        <v>3173</v>
      </c>
      <c r="D113" s="2959" t="s">
        <v>3200</v>
      </c>
      <c r="E113" s="2959" t="s">
        <v>3125</v>
      </c>
      <c r="F113" s="2960">
        <v>218</v>
      </c>
      <c r="G113" s="2959" t="s">
        <v>3247</v>
      </c>
      <c r="H113" s="2959">
        <v>47.25</v>
      </c>
      <c r="I113" s="2959">
        <v>36.659999999999997</v>
      </c>
    </row>
    <row r="114" spans="1:9" ht="18.75" customHeight="1">
      <c r="A114" s="2958">
        <v>113</v>
      </c>
      <c r="B114" s="2959" t="s">
        <v>3122</v>
      </c>
      <c r="C114" s="2959" t="s">
        <v>3173</v>
      </c>
      <c r="D114" s="2959" t="s">
        <v>3200</v>
      </c>
      <c r="E114" s="2959" t="s">
        <v>3125</v>
      </c>
      <c r="F114" s="2960">
        <v>219</v>
      </c>
      <c r="G114" s="2959" t="s">
        <v>3248</v>
      </c>
      <c r="H114" s="2959">
        <v>47.25</v>
      </c>
      <c r="I114" s="2959">
        <v>36.659999999999997</v>
      </c>
    </row>
    <row r="115" spans="1:9" ht="18.75" customHeight="1">
      <c r="A115" s="2958">
        <v>114</v>
      </c>
      <c r="B115" s="2959" t="s">
        <v>3122</v>
      </c>
      <c r="C115" s="2959" t="s">
        <v>3173</v>
      </c>
      <c r="D115" s="2959" t="s">
        <v>3200</v>
      </c>
      <c r="E115" s="2959" t="s">
        <v>3125</v>
      </c>
      <c r="F115" s="2960">
        <v>220</v>
      </c>
      <c r="G115" s="2959" t="s">
        <v>3249</v>
      </c>
      <c r="H115" s="2959">
        <v>47.25</v>
      </c>
      <c r="I115" s="2959">
        <v>36.659999999999997</v>
      </c>
    </row>
    <row r="116" spans="1:9" ht="18.75" customHeight="1">
      <c r="A116" s="2958">
        <v>115</v>
      </c>
      <c r="B116" s="2959" t="s">
        <v>3122</v>
      </c>
      <c r="C116" s="2959" t="s">
        <v>3173</v>
      </c>
      <c r="D116" s="2959" t="s">
        <v>3200</v>
      </c>
      <c r="E116" s="2959" t="s">
        <v>3125</v>
      </c>
      <c r="F116" s="2960">
        <v>221</v>
      </c>
      <c r="G116" s="2959" t="s">
        <v>3250</v>
      </c>
      <c r="H116" s="2959">
        <v>47.25</v>
      </c>
      <c r="I116" s="2959">
        <v>36.659999999999997</v>
      </c>
    </row>
    <row r="117" spans="1:9" ht="18.75" customHeight="1">
      <c r="A117" s="2958">
        <v>116</v>
      </c>
      <c r="B117" s="2959" t="s">
        <v>3122</v>
      </c>
      <c r="C117" s="2959" t="s">
        <v>3173</v>
      </c>
      <c r="D117" s="2959" t="s">
        <v>3200</v>
      </c>
      <c r="E117" s="2959" t="s">
        <v>3125</v>
      </c>
      <c r="F117" s="2960">
        <v>222</v>
      </c>
      <c r="G117" s="2959" t="s">
        <v>3251</v>
      </c>
      <c r="H117" s="2959">
        <v>47.25</v>
      </c>
      <c r="I117" s="2959">
        <v>36.659999999999997</v>
      </c>
    </row>
    <row r="118" spans="1:9" ht="18.75" customHeight="1">
      <c r="A118" s="2958">
        <v>117</v>
      </c>
      <c r="B118" s="2959" t="s">
        <v>3122</v>
      </c>
      <c r="C118" s="2959" t="s">
        <v>3173</v>
      </c>
      <c r="D118" s="2959" t="s">
        <v>3200</v>
      </c>
      <c r="E118" s="2959" t="s">
        <v>3125</v>
      </c>
      <c r="F118" s="2960">
        <v>223</v>
      </c>
      <c r="G118" s="2959" t="s">
        <v>3252</v>
      </c>
      <c r="H118" s="2959">
        <v>47.25</v>
      </c>
      <c r="I118" s="2959">
        <v>36.659999999999997</v>
      </c>
    </row>
    <row r="119" spans="1:9" ht="18.75" customHeight="1">
      <c r="A119" s="2958">
        <v>118</v>
      </c>
      <c r="B119" s="2959" t="s">
        <v>3122</v>
      </c>
      <c r="C119" s="2959" t="s">
        <v>3173</v>
      </c>
      <c r="D119" s="2959" t="s">
        <v>3200</v>
      </c>
      <c r="E119" s="2959" t="s">
        <v>3125</v>
      </c>
      <c r="F119" s="2960">
        <v>224</v>
      </c>
      <c r="G119" s="2959" t="s">
        <v>3253</v>
      </c>
      <c r="H119" s="2959">
        <v>47.85</v>
      </c>
      <c r="I119" s="2959">
        <v>37.130000000000003</v>
      </c>
    </row>
    <row r="120" spans="1:9" ht="18.75" customHeight="1">
      <c r="A120" s="2958">
        <v>119</v>
      </c>
      <c r="B120" s="2959" t="s">
        <v>3122</v>
      </c>
      <c r="C120" s="2959" t="s">
        <v>3173</v>
      </c>
      <c r="D120" s="2959" t="s">
        <v>3200</v>
      </c>
      <c r="E120" s="2959" t="s">
        <v>3125</v>
      </c>
      <c r="F120" s="2960">
        <v>225</v>
      </c>
      <c r="G120" s="2959" t="s">
        <v>3254</v>
      </c>
      <c r="H120" s="2959">
        <v>31.72</v>
      </c>
      <c r="I120" s="2959">
        <v>24.61</v>
      </c>
    </row>
    <row r="121" spans="1:9" ht="18.75" customHeight="1">
      <c r="A121" s="2958">
        <v>120</v>
      </c>
      <c r="B121" s="2959" t="s">
        <v>3122</v>
      </c>
      <c r="C121" s="2959" t="s">
        <v>3173</v>
      </c>
      <c r="D121" s="2959" t="s">
        <v>3200</v>
      </c>
      <c r="E121" s="2959" t="s">
        <v>3125</v>
      </c>
      <c r="F121" s="2960">
        <v>226</v>
      </c>
      <c r="G121" s="2959" t="s">
        <v>3255</v>
      </c>
      <c r="H121" s="2959">
        <v>31.72</v>
      </c>
      <c r="I121" s="2959">
        <v>24.61</v>
      </c>
    </row>
    <row r="122" spans="1:9" ht="18.75" customHeight="1">
      <c r="A122" s="2958">
        <v>121</v>
      </c>
      <c r="B122" s="2959" t="s">
        <v>3122</v>
      </c>
      <c r="C122" s="2959" t="s">
        <v>3173</v>
      </c>
      <c r="D122" s="2959" t="s">
        <v>3200</v>
      </c>
      <c r="E122" s="2959" t="s">
        <v>3125</v>
      </c>
      <c r="F122" s="2960">
        <v>227</v>
      </c>
      <c r="G122" s="2959" t="s">
        <v>3256</v>
      </c>
      <c r="H122" s="2959">
        <v>31.59</v>
      </c>
      <c r="I122" s="2959">
        <v>24.51</v>
      </c>
    </row>
    <row r="123" spans="1:9" ht="18.75" customHeight="1">
      <c r="A123" s="2958">
        <v>122</v>
      </c>
      <c r="B123" s="2959" t="s">
        <v>3122</v>
      </c>
      <c r="C123" s="2959" t="s">
        <v>3173</v>
      </c>
      <c r="D123" s="2959" t="s">
        <v>3200</v>
      </c>
      <c r="E123" s="2959" t="s">
        <v>3125</v>
      </c>
      <c r="F123" s="2960">
        <v>228</v>
      </c>
      <c r="G123" s="2959" t="s">
        <v>3257</v>
      </c>
      <c r="H123" s="2959">
        <v>31.79</v>
      </c>
      <c r="I123" s="2959">
        <v>24.67</v>
      </c>
    </row>
    <row r="124" spans="1:9" ht="18.75" customHeight="1">
      <c r="A124" s="2958">
        <v>123</v>
      </c>
      <c r="B124" s="2959" t="s">
        <v>3122</v>
      </c>
      <c r="C124" s="2959" t="s">
        <v>3173</v>
      </c>
      <c r="D124" s="2959" t="s">
        <v>3200</v>
      </c>
      <c r="E124" s="2959" t="s">
        <v>3125</v>
      </c>
      <c r="F124" s="2960">
        <v>229</v>
      </c>
      <c r="G124" s="2959" t="s">
        <v>3258</v>
      </c>
      <c r="H124" s="2959">
        <v>31.79</v>
      </c>
      <c r="I124" s="2959">
        <v>24.67</v>
      </c>
    </row>
    <row r="125" spans="1:9" ht="18.75" customHeight="1">
      <c r="A125" s="2958">
        <v>124</v>
      </c>
      <c r="B125" s="2959" t="s">
        <v>3122</v>
      </c>
      <c r="C125" s="2959" t="s">
        <v>3173</v>
      </c>
      <c r="D125" s="2959" t="s">
        <v>3200</v>
      </c>
      <c r="E125" s="2959" t="s">
        <v>3125</v>
      </c>
      <c r="F125" s="2960">
        <v>230</v>
      </c>
      <c r="G125" s="2959" t="s">
        <v>3259</v>
      </c>
      <c r="H125" s="2959">
        <v>31.79</v>
      </c>
      <c r="I125" s="2959">
        <v>24.67</v>
      </c>
    </row>
    <row r="126" spans="1:9" ht="18.75" customHeight="1">
      <c r="A126" s="2958">
        <v>125</v>
      </c>
      <c r="B126" s="2959" t="s">
        <v>3122</v>
      </c>
      <c r="C126" s="2959" t="s">
        <v>3173</v>
      </c>
      <c r="D126" s="2959" t="s">
        <v>3200</v>
      </c>
      <c r="E126" s="2959" t="s">
        <v>3125</v>
      </c>
      <c r="F126" s="2960">
        <v>231</v>
      </c>
      <c r="G126" s="2959" t="s">
        <v>3260</v>
      </c>
      <c r="H126" s="2959">
        <v>32</v>
      </c>
      <c r="I126" s="2959">
        <v>24.83</v>
      </c>
    </row>
    <row r="127" spans="1:9" ht="18.75" customHeight="1">
      <c r="A127" s="2958">
        <v>126</v>
      </c>
      <c r="B127" s="2959" t="s">
        <v>3122</v>
      </c>
      <c r="C127" s="2959" t="s">
        <v>3173</v>
      </c>
      <c r="D127" s="2959" t="s">
        <v>3200</v>
      </c>
      <c r="E127" s="2959" t="s">
        <v>3125</v>
      </c>
      <c r="F127" s="2960">
        <v>232</v>
      </c>
      <c r="G127" s="2959" t="s">
        <v>3261</v>
      </c>
      <c r="H127" s="2959">
        <v>31.59</v>
      </c>
      <c r="I127" s="2959">
        <v>24.51</v>
      </c>
    </row>
    <row r="128" spans="1:9" ht="18.75" customHeight="1">
      <c r="A128" s="2958">
        <v>127</v>
      </c>
      <c r="B128" s="2959" t="s">
        <v>3122</v>
      </c>
      <c r="C128" s="2959" t="s">
        <v>3173</v>
      </c>
      <c r="D128" s="2959" t="s">
        <v>3200</v>
      </c>
      <c r="E128" s="2959" t="s">
        <v>3125</v>
      </c>
      <c r="F128" s="2960">
        <v>233</v>
      </c>
      <c r="G128" s="2959" t="s">
        <v>3262</v>
      </c>
      <c r="H128" s="2959">
        <v>31.38</v>
      </c>
      <c r="I128" s="2959">
        <v>24.35</v>
      </c>
    </row>
    <row r="129" spans="1:9" ht="18.75" customHeight="1">
      <c r="A129" s="2958">
        <v>128</v>
      </c>
      <c r="B129" s="2959" t="s">
        <v>3122</v>
      </c>
      <c r="C129" s="2959" t="s">
        <v>3173</v>
      </c>
      <c r="D129" s="2959" t="s">
        <v>3200</v>
      </c>
      <c r="E129" s="2959" t="s">
        <v>3125</v>
      </c>
      <c r="F129" s="2960">
        <v>310</v>
      </c>
      <c r="G129" s="2959" t="s">
        <v>3263</v>
      </c>
      <c r="H129" s="2959">
        <v>31.79</v>
      </c>
      <c r="I129" s="2959">
        <v>24.67</v>
      </c>
    </row>
    <row r="130" spans="1:9" ht="18.75" customHeight="1">
      <c r="A130" s="2958">
        <v>129</v>
      </c>
      <c r="B130" s="2959" t="s">
        <v>3122</v>
      </c>
      <c r="C130" s="2959" t="s">
        <v>3173</v>
      </c>
      <c r="D130" s="2959" t="s">
        <v>3200</v>
      </c>
      <c r="E130" s="2959" t="s">
        <v>3125</v>
      </c>
      <c r="F130" s="2960">
        <v>311</v>
      </c>
      <c r="G130" s="2959" t="s">
        <v>3264</v>
      </c>
      <c r="H130" s="2959">
        <v>31.79</v>
      </c>
      <c r="I130" s="2959">
        <v>24.67</v>
      </c>
    </row>
    <row r="131" spans="1:9" ht="18.75" customHeight="1">
      <c r="A131" s="2958">
        <v>130</v>
      </c>
      <c r="B131" s="2959" t="s">
        <v>3122</v>
      </c>
      <c r="C131" s="2959" t="s">
        <v>3173</v>
      </c>
      <c r="D131" s="2959" t="s">
        <v>3200</v>
      </c>
      <c r="E131" s="2959" t="s">
        <v>3125</v>
      </c>
      <c r="F131" s="2960">
        <v>312</v>
      </c>
      <c r="G131" s="2959" t="s">
        <v>3265</v>
      </c>
      <c r="H131" s="2959">
        <v>32.19</v>
      </c>
      <c r="I131" s="2959">
        <v>24.98</v>
      </c>
    </row>
    <row r="132" spans="1:9" ht="18.75" customHeight="1">
      <c r="A132" s="2958">
        <v>131</v>
      </c>
      <c r="B132" s="2959" t="s">
        <v>3122</v>
      </c>
      <c r="C132" s="2959" t="s">
        <v>3173</v>
      </c>
      <c r="D132" s="2959" t="s">
        <v>3200</v>
      </c>
      <c r="E132" s="2959" t="s">
        <v>3125</v>
      </c>
      <c r="F132" s="2960">
        <v>313</v>
      </c>
      <c r="G132" s="2959" t="s">
        <v>3266</v>
      </c>
      <c r="H132" s="2959">
        <v>32</v>
      </c>
      <c r="I132" s="2959">
        <v>24.83</v>
      </c>
    </row>
    <row r="133" spans="1:9" ht="18.75" customHeight="1">
      <c r="A133" s="2958">
        <v>132</v>
      </c>
      <c r="B133" s="2959" t="s">
        <v>3122</v>
      </c>
      <c r="C133" s="2959" t="s">
        <v>3173</v>
      </c>
      <c r="D133" s="2959" t="s">
        <v>3200</v>
      </c>
      <c r="E133" s="2959" t="s">
        <v>3125</v>
      </c>
      <c r="F133" s="2960">
        <v>314</v>
      </c>
      <c r="G133" s="2959" t="s">
        <v>3267</v>
      </c>
      <c r="H133" s="2959">
        <v>32.19</v>
      </c>
      <c r="I133" s="2959">
        <v>24.98</v>
      </c>
    </row>
    <row r="134" spans="1:9" ht="18.75" customHeight="1">
      <c r="A134" s="2958">
        <v>133</v>
      </c>
      <c r="B134" s="2959" t="s">
        <v>3122</v>
      </c>
      <c r="C134" s="2959" t="s">
        <v>3173</v>
      </c>
      <c r="D134" s="2959" t="s">
        <v>3200</v>
      </c>
      <c r="E134" s="2959" t="s">
        <v>3125</v>
      </c>
      <c r="F134" s="2960">
        <v>315</v>
      </c>
      <c r="G134" s="2959" t="s">
        <v>3268</v>
      </c>
      <c r="H134" s="2959">
        <v>47.85</v>
      </c>
      <c r="I134" s="2959">
        <v>37.130000000000003</v>
      </c>
    </row>
    <row r="135" spans="1:9" ht="18.75" customHeight="1">
      <c r="A135" s="2958">
        <v>134</v>
      </c>
      <c r="B135" s="2959" t="s">
        <v>3122</v>
      </c>
      <c r="C135" s="2959" t="s">
        <v>3173</v>
      </c>
      <c r="D135" s="2959" t="s">
        <v>3200</v>
      </c>
      <c r="E135" s="2959" t="s">
        <v>3125</v>
      </c>
      <c r="F135" s="2960">
        <v>316</v>
      </c>
      <c r="G135" s="2959" t="s">
        <v>3269</v>
      </c>
      <c r="H135" s="2959">
        <v>47.25</v>
      </c>
      <c r="I135" s="2959">
        <v>36.659999999999997</v>
      </c>
    </row>
    <row r="136" spans="1:9" ht="18.75" customHeight="1">
      <c r="A136" s="2958">
        <v>135</v>
      </c>
      <c r="B136" s="2959" t="s">
        <v>3122</v>
      </c>
      <c r="C136" s="2959" t="s">
        <v>3173</v>
      </c>
      <c r="D136" s="2959" t="s">
        <v>3200</v>
      </c>
      <c r="E136" s="2959" t="s">
        <v>3125</v>
      </c>
      <c r="F136" s="2960">
        <v>317</v>
      </c>
      <c r="G136" s="2959" t="s">
        <v>3270</v>
      </c>
      <c r="H136" s="2959">
        <v>47.25</v>
      </c>
      <c r="I136" s="2959">
        <v>36.659999999999997</v>
      </c>
    </row>
    <row r="137" spans="1:9" ht="18.75" customHeight="1">
      <c r="A137" s="2958">
        <v>136</v>
      </c>
      <c r="B137" s="2959" t="s">
        <v>3122</v>
      </c>
      <c r="C137" s="2959" t="s">
        <v>3173</v>
      </c>
      <c r="D137" s="2959" t="s">
        <v>3200</v>
      </c>
      <c r="E137" s="2959" t="s">
        <v>3125</v>
      </c>
      <c r="F137" s="2960">
        <v>318</v>
      </c>
      <c r="G137" s="2959" t="s">
        <v>3271</v>
      </c>
      <c r="H137" s="2959">
        <v>47.25</v>
      </c>
      <c r="I137" s="2959">
        <v>36.659999999999997</v>
      </c>
    </row>
    <row r="138" spans="1:9" ht="18.75" customHeight="1">
      <c r="A138" s="2958">
        <v>137</v>
      </c>
      <c r="B138" s="2959" t="s">
        <v>3122</v>
      </c>
      <c r="C138" s="2959" t="s">
        <v>3173</v>
      </c>
      <c r="D138" s="2959" t="s">
        <v>3200</v>
      </c>
      <c r="E138" s="2959" t="s">
        <v>3125</v>
      </c>
      <c r="F138" s="2960">
        <v>319</v>
      </c>
      <c r="G138" s="2959" t="s">
        <v>3272</v>
      </c>
      <c r="H138" s="2959">
        <v>47.25</v>
      </c>
      <c r="I138" s="2959">
        <v>36.659999999999997</v>
      </c>
    </row>
    <row r="139" spans="1:9" ht="18.75" customHeight="1">
      <c r="A139" s="2958">
        <v>138</v>
      </c>
      <c r="B139" s="2959" t="s">
        <v>3122</v>
      </c>
      <c r="C139" s="2959" t="s">
        <v>3173</v>
      </c>
      <c r="D139" s="2959" t="s">
        <v>3200</v>
      </c>
      <c r="E139" s="2959" t="s">
        <v>3125</v>
      </c>
      <c r="F139" s="2960">
        <v>320</v>
      </c>
      <c r="G139" s="2959" t="s">
        <v>3273</v>
      </c>
      <c r="H139" s="2959">
        <v>47.25</v>
      </c>
      <c r="I139" s="2959">
        <v>36.659999999999997</v>
      </c>
    </row>
    <row r="140" spans="1:9" ht="18.75" customHeight="1">
      <c r="A140" s="2958">
        <v>139</v>
      </c>
      <c r="B140" s="2959" t="s">
        <v>3122</v>
      </c>
      <c r="C140" s="2959" t="s">
        <v>3173</v>
      </c>
      <c r="D140" s="2959" t="s">
        <v>3200</v>
      </c>
      <c r="E140" s="2959" t="s">
        <v>3125</v>
      </c>
      <c r="F140" s="2960">
        <v>321</v>
      </c>
      <c r="G140" s="2959" t="s">
        <v>3274</v>
      </c>
      <c r="H140" s="2959">
        <v>47.25</v>
      </c>
      <c r="I140" s="2959">
        <v>36.659999999999997</v>
      </c>
    </row>
    <row r="141" spans="1:9" ht="18.75" customHeight="1">
      <c r="A141" s="2958">
        <v>140</v>
      </c>
      <c r="B141" s="2959" t="s">
        <v>3122</v>
      </c>
      <c r="C141" s="2959" t="s">
        <v>3173</v>
      </c>
      <c r="D141" s="2959" t="s">
        <v>3200</v>
      </c>
      <c r="E141" s="2959" t="s">
        <v>3125</v>
      </c>
      <c r="F141" s="2960">
        <v>322</v>
      </c>
      <c r="G141" s="2959" t="s">
        <v>3275</v>
      </c>
      <c r="H141" s="2959">
        <v>47.25</v>
      </c>
      <c r="I141" s="2959">
        <v>36.659999999999997</v>
      </c>
    </row>
    <row r="142" spans="1:9" ht="18.75" customHeight="1">
      <c r="A142" s="2958">
        <v>141</v>
      </c>
      <c r="B142" s="2959" t="s">
        <v>3122</v>
      </c>
      <c r="C142" s="2959" t="s">
        <v>3173</v>
      </c>
      <c r="D142" s="2959" t="s">
        <v>3200</v>
      </c>
      <c r="E142" s="2959" t="s">
        <v>3125</v>
      </c>
      <c r="F142" s="2960">
        <v>323</v>
      </c>
      <c r="G142" s="2959" t="s">
        <v>3276</v>
      </c>
      <c r="H142" s="2959">
        <v>47.25</v>
      </c>
      <c r="I142" s="2959">
        <v>36.659999999999997</v>
      </c>
    </row>
    <row r="143" spans="1:9" ht="18.75" customHeight="1">
      <c r="A143" s="2958">
        <v>142</v>
      </c>
      <c r="B143" s="2959" t="s">
        <v>3122</v>
      </c>
      <c r="C143" s="2959" t="s">
        <v>3173</v>
      </c>
      <c r="D143" s="2959" t="s">
        <v>3200</v>
      </c>
      <c r="E143" s="2959" t="s">
        <v>3125</v>
      </c>
      <c r="F143" s="2960">
        <v>324</v>
      </c>
      <c r="G143" s="2959" t="s">
        <v>3277</v>
      </c>
      <c r="H143" s="2959">
        <v>47.85</v>
      </c>
      <c r="I143" s="2959">
        <v>37.130000000000003</v>
      </c>
    </row>
    <row r="144" spans="1:9" ht="18.75" customHeight="1">
      <c r="A144" s="2958">
        <v>143</v>
      </c>
      <c r="B144" s="2959" t="s">
        <v>3122</v>
      </c>
      <c r="C144" s="2959" t="s">
        <v>3173</v>
      </c>
      <c r="D144" s="2959" t="s">
        <v>3200</v>
      </c>
      <c r="E144" s="2959" t="s">
        <v>3125</v>
      </c>
      <c r="F144" s="2960">
        <v>410</v>
      </c>
      <c r="G144" s="2959" t="s">
        <v>3278</v>
      </c>
      <c r="H144" s="2959">
        <v>31.79</v>
      </c>
      <c r="I144" s="2959">
        <v>24.67</v>
      </c>
    </row>
    <row r="145" spans="1:9" ht="18.75" customHeight="1">
      <c r="A145" s="2958">
        <v>144</v>
      </c>
      <c r="B145" s="2959" t="s">
        <v>3122</v>
      </c>
      <c r="C145" s="2959" t="s">
        <v>3173</v>
      </c>
      <c r="D145" s="2959" t="s">
        <v>3200</v>
      </c>
      <c r="E145" s="2959" t="s">
        <v>3125</v>
      </c>
      <c r="F145" s="2960">
        <v>411</v>
      </c>
      <c r="G145" s="2959" t="s">
        <v>3279</v>
      </c>
      <c r="H145" s="2959">
        <v>31.79</v>
      </c>
      <c r="I145" s="2959">
        <v>24.67</v>
      </c>
    </row>
    <row r="146" spans="1:9" ht="18.75" customHeight="1">
      <c r="A146" s="2958">
        <v>145</v>
      </c>
      <c r="B146" s="2959" t="s">
        <v>3122</v>
      </c>
      <c r="C146" s="2959" t="s">
        <v>3173</v>
      </c>
      <c r="D146" s="2959" t="s">
        <v>3200</v>
      </c>
      <c r="E146" s="2959" t="s">
        <v>3125</v>
      </c>
      <c r="F146" s="2960">
        <v>412</v>
      </c>
      <c r="G146" s="2959" t="s">
        <v>3280</v>
      </c>
      <c r="H146" s="2959">
        <v>32.19</v>
      </c>
      <c r="I146" s="2959">
        <v>24.98</v>
      </c>
    </row>
    <row r="147" spans="1:9" ht="18.75" customHeight="1">
      <c r="A147" s="2958">
        <v>146</v>
      </c>
      <c r="B147" s="2959" t="s">
        <v>3122</v>
      </c>
      <c r="C147" s="2959" t="s">
        <v>3173</v>
      </c>
      <c r="D147" s="2959" t="s">
        <v>3200</v>
      </c>
      <c r="E147" s="2959" t="s">
        <v>3125</v>
      </c>
      <c r="F147" s="2960">
        <v>413</v>
      </c>
      <c r="G147" s="2959" t="s">
        <v>3281</v>
      </c>
      <c r="H147" s="2959">
        <v>32</v>
      </c>
      <c r="I147" s="2959">
        <v>24.83</v>
      </c>
    </row>
    <row r="148" spans="1:9" ht="18.75" customHeight="1">
      <c r="A148" s="2958">
        <v>147</v>
      </c>
      <c r="B148" s="2959" t="s">
        <v>3122</v>
      </c>
      <c r="C148" s="2959" t="s">
        <v>3173</v>
      </c>
      <c r="D148" s="2959" t="s">
        <v>3200</v>
      </c>
      <c r="E148" s="2959" t="s">
        <v>3125</v>
      </c>
      <c r="F148" s="2960">
        <v>414</v>
      </c>
      <c r="G148" s="2959" t="s">
        <v>3282</v>
      </c>
      <c r="H148" s="2959">
        <v>32.19</v>
      </c>
      <c r="I148" s="2959">
        <v>24.98</v>
      </c>
    </row>
    <row r="149" spans="1:9" ht="18.75" customHeight="1">
      <c r="A149" s="2958">
        <v>148</v>
      </c>
      <c r="B149" s="2959" t="s">
        <v>3122</v>
      </c>
      <c r="C149" s="2959" t="s">
        <v>3173</v>
      </c>
      <c r="D149" s="2959" t="s">
        <v>3200</v>
      </c>
      <c r="E149" s="2959" t="s">
        <v>3125</v>
      </c>
      <c r="F149" s="2960">
        <v>415</v>
      </c>
      <c r="G149" s="2959" t="s">
        <v>3283</v>
      </c>
      <c r="H149" s="2959">
        <v>47.85</v>
      </c>
      <c r="I149" s="2959">
        <v>37.130000000000003</v>
      </c>
    </row>
    <row r="150" spans="1:9" ht="18.75" customHeight="1">
      <c r="A150" s="2958">
        <v>149</v>
      </c>
      <c r="B150" s="2959" t="s">
        <v>3122</v>
      </c>
      <c r="C150" s="2959" t="s">
        <v>3173</v>
      </c>
      <c r="D150" s="2959" t="s">
        <v>3200</v>
      </c>
      <c r="E150" s="2959" t="s">
        <v>3125</v>
      </c>
      <c r="F150" s="2960">
        <v>416</v>
      </c>
      <c r="G150" s="2959" t="s">
        <v>3284</v>
      </c>
      <c r="H150" s="2959">
        <v>47.25</v>
      </c>
      <c r="I150" s="2959">
        <v>36.659999999999997</v>
      </c>
    </row>
    <row r="151" spans="1:9" ht="18.75" customHeight="1">
      <c r="A151" s="2958">
        <v>150</v>
      </c>
      <c r="B151" s="2959" t="s">
        <v>3122</v>
      </c>
      <c r="C151" s="2959" t="s">
        <v>3173</v>
      </c>
      <c r="D151" s="2959" t="s">
        <v>3200</v>
      </c>
      <c r="E151" s="2959" t="s">
        <v>3125</v>
      </c>
      <c r="F151" s="2960">
        <v>417</v>
      </c>
      <c r="G151" s="2959" t="s">
        <v>3285</v>
      </c>
      <c r="H151" s="2959">
        <v>47.25</v>
      </c>
      <c r="I151" s="2959">
        <v>36.659999999999997</v>
      </c>
    </row>
    <row r="152" spans="1:9" ht="18.75" customHeight="1">
      <c r="A152" s="2958">
        <v>151</v>
      </c>
      <c r="B152" s="2959" t="s">
        <v>3122</v>
      </c>
      <c r="C152" s="2959" t="s">
        <v>3173</v>
      </c>
      <c r="D152" s="2959" t="s">
        <v>3200</v>
      </c>
      <c r="E152" s="2959" t="s">
        <v>3125</v>
      </c>
      <c r="F152" s="2960">
        <v>418</v>
      </c>
      <c r="G152" s="2959" t="s">
        <v>3286</v>
      </c>
      <c r="H152" s="2959">
        <v>47.25</v>
      </c>
      <c r="I152" s="2959">
        <v>36.659999999999997</v>
      </c>
    </row>
    <row r="153" spans="1:9" ht="18.75" customHeight="1">
      <c r="A153" s="2958">
        <v>152</v>
      </c>
      <c r="B153" s="2959" t="s">
        <v>3122</v>
      </c>
      <c r="C153" s="2959" t="s">
        <v>3173</v>
      </c>
      <c r="D153" s="2959" t="s">
        <v>3200</v>
      </c>
      <c r="E153" s="2959" t="s">
        <v>3125</v>
      </c>
      <c r="F153" s="2960">
        <v>419</v>
      </c>
      <c r="G153" s="2959" t="s">
        <v>3287</v>
      </c>
      <c r="H153" s="2959">
        <v>47.25</v>
      </c>
      <c r="I153" s="2959">
        <v>36.659999999999997</v>
      </c>
    </row>
    <row r="154" spans="1:9" ht="18.75" customHeight="1">
      <c r="A154" s="2958">
        <v>153</v>
      </c>
      <c r="B154" s="2959" t="s">
        <v>3122</v>
      </c>
      <c r="C154" s="2959" t="s">
        <v>3173</v>
      </c>
      <c r="D154" s="2959" t="s">
        <v>3200</v>
      </c>
      <c r="E154" s="2959" t="s">
        <v>3125</v>
      </c>
      <c r="F154" s="2960">
        <v>420</v>
      </c>
      <c r="G154" s="2959" t="s">
        <v>3288</v>
      </c>
      <c r="H154" s="2959">
        <v>47.25</v>
      </c>
      <c r="I154" s="2959">
        <v>36.659999999999997</v>
      </c>
    </row>
    <row r="155" spans="1:9" ht="18.75" customHeight="1">
      <c r="A155" s="2958">
        <v>154</v>
      </c>
      <c r="B155" s="2959" t="s">
        <v>3122</v>
      </c>
      <c r="C155" s="2959" t="s">
        <v>3173</v>
      </c>
      <c r="D155" s="2959" t="s">
        <v>3200</v>
      </c>
      <c r="E155" s="2959" t="s">
        <v>3125</v>
      </c>
      <c r="F155" s="2960">
        <v>421</v>
      </c>
      <c r="G155" s="2959" t="s">
        <v>3289</v>
      </c>
      <c r="H155" s="2959">
        <v>47.25</v>
      </c>
      <c r="I155" s="2959">
        <v>36.659999999999997</v>
      </c>
    </row>
    <row r="156" spans="1:9" ht="18.75" customHeight="1">
      <c r="A156" s="2958">
        <v>155</v>
      </c>
      <c r="B156" s="2959" t="s">
        <v>3122</v>
      </c>
      <c r="C156" s="2959" t="s">
        <v>3173</v>
      </c>
      <c r="D156" s="2959" t="s">
        <v>3200</v>
      </c>
      <c r="E156" s="2959" t="s">
        <v>3125</v>
      </c>
      <c r="F156" s="2960">
        <v>422</v>
      </c>
      <c r="G156" s="2959" t="s">
        <v>3290</v>
      </c>
      <c r="H156" s="2959">
        <v>47.25</v>
      </c>
      <c r="I156" s="2959">
        <v>36.659999999999997</v>
      </c>
    </row>
    <row r="157" spans="1:9" ht="18.75" customHeight="1">
      <c r="A157" s="2958">
        <v>156</v>
      </c>
      <c r="B157" s="2959" t="s">
        <v>3122</v>
      </c>
      <c r="C157" s="2959" t="s">
        <v>3173</v>
      </c>
      <c r="D157" s="2959" t="s">
        <v>3200</v>
      </c>
      <c r="E157" s="2959" t="s">
        <v>3125</v>
      </c>
      <c r="F157" s="2960">
        <v>423</v>
      </c>
      <c r="G157" s="2959" t="s">
        <v>3291</v>
      </c>
      <c r="H157" s="2959">
        <v>47.25</v>
      </c>
      <c r="I157" s="2959">
        <v>36.659999999999997</v>
      </c>
    </row>
    <row r="158" spans="1:9" ht="18.75" customHeight="1">
      <c r="A158" s="2958">
        <v>157</v>
      </c>
      <c r="B158" s="2959" t="s">
        <v>3122</v>
      </c>
      <c r="C158" s="2959" t="s">
        <v>3173</v>
      </c>
      <c r="D158" s="2959" t="s">
        <v>3200</v>
      </c>
      <c r="E158" s="2959" t="s">
        <v>3125</v>
      </c>
      <c r="F158" s="2960">
        <v>424</v>
      </c>
      <c r="G158" s="2959" t="s">
        <v>3292</v>
      </c>
      <c r="H158" s="2959">
        <v>47.85</v>
      </c>
      <c r="I158" s="2959">
        <v>37.130000000000003</v>
      </c>
    </row>
    <row r="159" spans="1:9" ht="18.75" customHeight="1">
      <c r="A159" s="2958">
        <v>158</v>
      </c>
      <c r="B159" s="2959" t="s">
        <v>3122</v>
      </c>
      <c r="C159" s="2959" t="s">
        <v>3173</v>
      </c>
      <c r="D159" s="2959" t="s">
        <v>3200</v>
      </c>
      <c r="E159" s="2959" t="s">
        <v>3125</v>
      </c>
      <c r="F159" s="2960">
        <v>510</v>
      </c>
      <c r="G159" s="2959" t="s">
        <v>3293</v>
      </c>
      <c r="H159" s="2959">
        <v>31.79</v>
      </c>
      <c r="I159" s="2959">
        <v>24.67</v>
      </c>
    </row>
    <row r="160" spans="1:9" ht="18.75" customHeight="1">
      <c r="A160" s="2958">
        <v>159</v>
      </c>
      <c r="B160" s="2959" t="s">
        <v>3122</v>
      </c>
      <c r="C160" s="2959" t="s">
        <v>3173</v>
      </c>
      <c r="D160" s="2959" t="s">
        <v>3200</v>
      </c>
      <c r="E160" s="2959" t="s">
        <v>3125</v>
      </c>
      <c r="F160" s="2960">
        <v>511</v>
      </c>
      <c r="G160" s="2959" t="s">
        <v>3294</v>
      </c>
      <c r="H160" s="2959">
        <v>31.79</v>
      </c>
      <c r="I160" s="2959">
        <v>24.67</v>
      </c>
    </row>
    <row r="161" spans="1:9" ht="18.75" customHeight="1">
      <c r="A161" s="2958">
        <v>160</v>
      </c>
      <c r="B161" s="2959" t="s">
        <v>3122</v>
      </c>
      <c r="C161" s="2959" t="s">
        <v>3173</v>
      </c>
      <c r="D161" s="2959" t="s">
        <v>3200</v>
      </c>
      <c r="E161" s="2959" t="s">
        <v>3125</v>
      </c>
      <c r="F161" s="2960">
        <v>512</v>
      </c>
      <c r="G161" s="2959" t="s">
        <v>3295</v>
      </c>
      <c r="H161" s="2959">
        <v>32.19</v>
      </c>
      <c r="I161" s="2959">
        <v>24.98</v>
      </c>
    </row>
    <row r="162" spans="1:9" ht="18.75" customHeight="1">
      <c r="A162" s="2958">
        <v>161</v>
      </c>
      <c r="B162" s="2959" t="s">
        <v>3122</v>
      </c>
      <c r="C162" s="2959" t="s">
        <v>3173</v>
      </c>
      <c r="D162" s="2959" t="s">
        <v>3200</v>
      </c>
      <c r="E162" s="2959" t="s">
        <v>3125</v>
      </c>
      <c r="F162" s="2960">
        <v>513</v>
      </c>
      <c r="G162" s="2959" t="s">
        <v>3296</v>
      </c>
      <c r="H162" s="2959">
        <v>32</v>
      </c>
      <c r="I162" s="2959">
        <v>24.83</v>
      </c>
    </row>
    <row r="163" spans="1:9" ht="18.75" customHeight="1">
      <c r="A163" s="2958">
        <v>162</v>
      </c>
      <c r="B163" s="2959" t="s">
        <v>3122</v>
      </c>
      <c r="C163" s="2959" t="s">
        <v>3173</v>
      </c>
      <c r="D163" s="2959" t="s">
        <v>3200</v>
      </c>
      <c r="E163" s="2959" t="s">
        <v>3125</v>
      </c>
      <c r="F163" s="2960">
        <v>514</v>
      </c>
      <c r="G163" s="2959" t="s">
        <v>3297</v>
      </c>
      <c r="H163" s="2959">
        <v>32.19</v>
      </c>
      <c r="I163" s="2959">
        <v>24.98</v>
      </c>
    </row>
    <row r="164" spans="1:9" ht="18.75" customHeight="1">
      <c r="A164" s="2958">
        <v>163</v>
      </c>
      <c r="B164" s="2959" t="s">
        <v>3122</v>
      </c>
      <c r="C164" s="2959" t="s">
        <v>3173</v>
      </c>
      <c r="D164" s="2959" t="s">
        <v>3200</v>
      </c>
      <c r="E164" s="2959" t="s">
        <v>3125</v>
      </c>
      <c r="F164" s="2960">
        <v>515</v>
      </c>
      <c r="G164" s="2959" t="s">
        <v>3298</v>
      </c>
      <c r="H164" s="2959">
        <v>47.85</v>
      </c>
      <c r="I164" s="2959">
        <v>37.130000000000003</v>
      </c>
    </row>
    <row r="165" spans="1:9" ht="18.75" customHeight="1">
      <c r="A165" s="2958">
        <v>164</v>
      </c>
      <c r="B165" s="2959" t="s">
        <v>3122</v>
      </c>
      <c r="C165" s="2959" t="s">
        <v>3173</v>
      </c>
      <c r="D165" s="2959" t="s">
        <v>3200</v>
      </c>
      <c r="E165" s="2959" t="s">
        <v>3125</v>
      </c>
      <c r="F165" s="2960">
        <v>516</v>
      </c>
      <c r="G165" s="2959" t="s">
        <v>3299</v>
      </c>
      <c r="H165" s="2959">
        <v>47.25</v>
      </c>
      <c r="I165" s="2959">
        <v>36.659999999999997</v>
      </c>
    </row>
    <row r="166" spans="1:9" ht="18.75" customHeight="1">
      <c r="A166" s="2958">
        <v>165</v>
      </c>
      <c r="B166" s="2959" t="s">
        <v>3122</v>
      </c>
      <c r="C166" s="2959" t="s">
        <v>3173</v>
      </c>
      <c r="D166" s="2959" t="s">
        <v>3200</v>
      </c>
      <c r="E166" s="2959" t="s">
        <v>3125</v>
      </c>
      <c r="F166" s="2960">
        <v>517</v>
      </c>
      <c r="G166" s="2959" t="s">
        <v>3300</v>
      </c>
      <c r="H166" s="2959">
        <v>47.25</v>
      </c>
      <c r="I166" s="2959">
        <v>36.659999999999997</v>
      </c>
    </row>
    <row r="167" spans="1:9" ht="18.75" customHeight="1">
      <c r="A167" s="2958">
        <v>166</v>
      </c>
      <c r="B167" s="2959" t="s">
        <v>3122</v>
      </c>
      <c r="C167" s="2959" t="s">
        <v>3173</v>
      </c>
      <c r="D167" s="2959" t="s">
        <v>3200</v>
      </c>
      <c r="E167" s="2959" t="s">
        <v>3125</v>
      </c>
      <c r="F167" s="2960">
        <v>518</v>
      </c>
      <c r="G167" s="2959" t="s">
        <v>3301</v>
      </c>
      <c r="H167" s="2959">
        <v>47.25</v>
      </c>
      <c r="I167" s="2959">
        <v>36.659999999999997</v>
      </c>
    </row>
    <row r="168" spans="1:9" ht="18.75" customHeight="1">
      <c r="A168" s="2958">
        <v>167</v>
      </c>
      <c r="B168" s="2959" t="s">
        <v>3122</v>
      </c>
      <c r="C168" s="2959" t="s">
        <v>3173</v>
      </c>
      <c r="D168" s="2959" t="s">
        <v>3200</v>
      </c>
      <c r="E168" s="2959" t="s">
        <v>3125</v>
      </c>
      <c r="F168" s="2960">
        <v>519</v>
      </c>
      <c r="G168" s="2959" t="s">
        <v>3302</v>
      </c>
      <c r="H168" s="2959">
        <v>47.25</v>
      </c>
      <c r="I168" s="2959">
        <v>36.659999999999997</v>
      </c>
    </row>
    <row r="169" spans="1:9" ht="18.75" customHeight="1">
      <c r="A169" s="2958">
        <v>168</v>
      </c>
      <c r="B169" s="2959" t="s">
        <v>3122</v>
      </c>
      <c r="C169" s="2959" t="s">
        <v>3173</v>
      </c>
      <c r="D169" s="2959" t="s">
        <v>3200</v>
      </c>
      <c r="E169" s="2959" t="s">
        <v>3125</v>
      </c>
      <c r="F169" s="2960">
        <v>520</v>
      </c>
      <c r="G169" s="2959" t="s">
        <v>3303</v>
      </c>
      <c r="H169" s="2959">
        <v>47.25</v>
      </c>
      <c r="I169" s="2959">
        <v>36.659999999999997</v>
      </c>
    </row>
    <row r="170" spans="1:9" ht="18.75" customHeight="1">
      <c r="A170" s="2958">
        <v>169</v>
      </c>
      <c r="B170" s="2959" t="s">
        <v>3122</v>
      </c>
      <c r="C170" s="2959" t="s">
        <v>3173</v>
      </c>
      <c r="D170" s="2959" t="s">
        <v>3200</v>
      </c>
      <c r="E170" s="2959" t="s">
        <v>3125</v>
      </c>
      <c r="F170" s="2960">
        <v>521</v>
      </c>
      <c r="G170" s="2959" t="s">
        <v>3304</v>
      </c>
      <c r="H170" s="2959">
        <v>47.25</v>
      </c>
      <c r="I170" s="2959">
        <v>36.659999999999997</v>
      </c>
    </row>
    <row r="171" spans="1:9" ht="18.75" customHeight="1">
      <c r="A171" s="2958">
        <v>170</v>
      </c>
      <c r="B171" s="2959" t="s">
        <v>3122</v>
      </c>
      <c r="C171" s="2959" t="s">
        <v>3173</v>
      </c>
      <c r="D171" s="2959" t="s">
        <v>3200</v>
      </c>
      <c r="E171" s="2959" t="s">
        <v>3125</v>
      </c>
      <c r="F171" s="2960">
        <v>522</v>
      </c>
      <c r="G171" s="2959" t="s">
        <v>3305</v>
      </c>
      <c r="H171" s="2959">
        <v>47.25</v>
      </c>
      <c r="I171" s="2959">
        <v>36.659999999999997</v>
      </c>
    </row>
    <row r="172" spans="1:9" ht="18.75" customHeight="1">
      <c r="A172" s="2958">
        <v>171</v>
      </c>
      <c r="B172" s="2959" t="s">
        <v>3122</v>
      </c>
      <c r="C172" s="2959" t="s">
        <v>3173</v>
      </c>
      <c r="D172" s="2959" t="s">
        <v>3200</v>
      </c>
      <c r="E172" s="2959" t="s">
        <v>3125</v>
      </c>
      <c r="F172" s="2960">
        <v>523</v>
      </c>
      <c r="G172" s="2959" t="s">
        <v>3306</v>
      </c>
      <c r="H172" s="2959">
        <v>47.25</v>
      </c>
      <c r="I172" s="2959">
        <v>36.659999999999997</v>
      </c>
    </row>
    <row r="173" spans="1:9" ht="18.75" customHeight="1">
      <c r="A173" s="2958">
        <v>172</v>
      </c>
      <c r="B173" s="2959" t="s">
        <v>3122</v>
      </c>
      <c r="C173" s="2959" t="s">
        <v>3173</v>
      </c>
      <c r="D173" s="2959" t="s">
        <v>3200</v>
      </c>
      <c r="E173" s="2959" t="s">
        <v>3125</v>
      </c>
      <c r="F173" s="2960">
        <v>524</v>
      </c>
      <c r="G173" s="2959" t="s">
        <v>3307</v>
      </c>
      <c r="H173" s="2959">
        <v>47.85</v>
      </c>
      <c r="I173" s="2959">
        <v>37.130000000000003</v>
      </c>
    </row>
    <row r="174" spans="1:9" ht="18.75" customHeight="1">
      <c r="A174" s="2958">
        <v>173</v>
      </c>
      <c r="B174" s="2959" t="s">
        <v>3122</v>
      </c>
      <c r="C174" s="2959" t="s">
        <v>3173</v>
      </c>
      <c r="D174" s="2959" t="s">
        <v>3200</v>
      </c>
      <c r="E174" s="2959" t="s">
        <v>3125</v>
      </c>
      <c r="F174" s="2960">
        <v>610</v>
      </c>
      <c r="G174" s="2959" t="s">
        <v>3308</v>
      </c>
      <c r="H174" s="2959">
        <v>32</v>
      </c>
      <c r="I174" s="2959">
        <v>24.83</v>
      </c>
    </row>
    <row r="175" spans="1:9" ht="18.75" customHeight="1">
      <c r="A175" s="2958">
        <v>174</v>
      </c>
      <c r="B175" s="2959" t="s">
        <v>3122</v>
      </c>
      <c r="C175" s="2959" t="s">
        <v>3173</v>
      </c>
      <c r="D175" s="2959" t="s">
        <v>3200</v>
      </c>
      <c r="E175" s="2959" t="s">
        <v>3125</v>
      </c>
      <c r="F175" s="2960">
        <v>611</v>
      </c>
      <c r="G175" s="2959" t="s">
        <v>3309</v>
      </c>
      <c r="H175" s="2959">
        <v>31.79</v>
      </c>
      <c r="I175" s="2959">
        <v>24.67</v>
      </c>
    </row>
    <row r="176" spans="1:9" ht="18.75" customHeight="1">
      <c r="A176" s="2958">
        <v>175</v>
      </c>
      <c r="B176" s="2959" t="s">
        <v>3122</v>
      </c>
      <c r="C176" s="2959" t="s">
        <v>3173</v>
      </c>
      <c r="D176" s="2959" t="s">
        <v>3200</v>
      </c>
      <c r="E176" s="2959" t="s">
        <v>3125</v>
      </c>
      <c r="F176" s="2960">
        <v>612</v>
      </c>
      <c r="G176" s="2959" t="s">
        <v>3310</v>
      </c>
      <c r="H176" s="2959">
        <v>32</v>
      </c>
      <c r="I176" s="2959">
        <v>24.83</v>
      </c>
    </row>
    <row r="177" spans="1:9" ht="18.75" customHeight="1">
      <c r="A177" s="2958">
        <v>176</v>
      </c>
      <c r="B177" s="2959" t="s">
        <v>3122</v>
      </c>
      <c r="C177" s="2959" t="s">
        <v>3173</v>
      </c>
      <c r="D177" s="2959" t="s">
        <v>3200</v>
      </c>
      <c r="E177" s="2959" t="s">
        <v>3125</v>
      </c>
      <c r="F177" s="2960">
        <v>613</v>
      </c>
      <c r="G177" s="2959" t="s">
        <v>3311</v>
      </c>
      <c r="H177" s="2959">
        <v>32</v>
      </c>
      <c r="I177" s="2959">
        <v>24.83</v>
      </c>
    </row>
    <row r="178" spans="1:9" ht="18.75" customHeight="1">
      <c r="A178" s="2958">
        <v>177</v>
      </c>
      <c r="B178" s="2959" t="s">
        <v>3122</v>
      </c>
      <c r="C178" s="2959" t="s">
        <v>3173</v>
      </c>
      <c r="D178" s="2959" t="s">
        <v>3200</v>
      </c>
      <c r="E178" s="2959" t="s">
        <v>3125</v>
      </c>
      <c r="F178" s="2960">
        <v>614</v>
      </c>
      <c r="G178" s="2959" t="s">
        <v>3312</v>
      </c>
      <c r="H178" s="2959">
        <v>32.4</v>
      </c>
      <c r="I178" s="2959">
        <v>25.14</v>
      </c>
    </row>
    <row r="179" spans="1:9" ht="18.75" customHeight="1">
      <c r="A179" s="2958">
        <v>178</v>
      </c>
      <c r="B179" s="2959" t="s">
        <v>3122</v>
      </c>
      <c r="C179" s="2959" t="s">
        <v>3173</v>
      </c>
      <c r="D179" s="2959" t="s">
        <v>3200</v>
      </c>
      <c r="E179" s="2959" t="s">
        <v>3125</v>
      </c>
      <c r="F179" s="2960">
        <v>615</v>
      </c>
      <c r="G179" s="2959" t="s">
        <v>3313</v>
      </c>
      <c r="H179" s="2959">
        <v>48.16</v>
      </c>
      <c r="I179" s="2959">
        <v>37.369999999999997</v>
      </c>
    </row>
    <row r="180" spans="1:9" ht="18.75" customHeight="1">
      <c r="A180" s="2958">
        <v>179</v>
      </c>
      <c r="B180" s="2959" t="s">
        <v>3122</v>
      </c>
      <c r="C180" s="2959" t="s">
        <v>3173</v>
      </c>
      <c r="D180" s="2959" t="s">
        <v>3200</v>
      </c>
      <c r="E180" s="2959" t="s">
        <v>3125</v>
      </c>
      <c r="F180" s="2960">
        <v>616</v>
      </c>
      <c r="G180" s="2959" t="s">
        <v>3314</v>
      </c>
      <c r="H180" s="2959">
        <v>47.25</v>
      </c>
      <c r="I180" s="2959">
        <v>36.659999999999997</v>
      </c>
    </row>
    <row r="181" spans="1:9" ht="18.75" customHeight="1">
      <c r="A181" s="2958">
        <v>180</v>
      </c>
      <c r="B181" s="2959" t="s">
        <v>3122</v>
      </c>
      <c r="C181" s="2959" t="s">
        <v>3173</v>
      </c>
      <c r="D181" s="2959" t="s">
        <v>3200</v>
      </c>
      <c r="E181" s="2959" t="s">
        <v>3125</v>
      </c>
      <c r="F181" s="2960">
        <v>617</v>
      </c>
      <c r="G181" s="2959" t="s">
        <v>3315</v>
      </c>
      <c r="H181" s="2959">
        <v>47.25</v>
      </c>
      <c r="I181" s="2959">
        <v>36.659999999999997</v>
      </c>
    </row>
    <row r="182" spans="1:9" ht="18.75" customHeight="1">
      <c r="A182" s="2958">
        <v>181</v>
      </c>
      <c r="B182" s="2959" t="s">
        <v>3122</v>
      </c>
      <c r="C182" s="2959" t="s">
        <v>3173</v>
      </c>
      <c r="D182" s="2959" t="s">
        <v>3200</v>
      </c>
      <c r="E182" s="2959" t="s">
        <v>3125</v>
      </c>
      <c r="F182" s="2960">
        <v>618</v>
      </c>
      <c r="G182" s="2959" t="s">
        <v>3316</v>
      </c>
      <c r="H182" s="2959">
        <v>47.25</v>
      </c>
      <c r="I182" s="2959">
        <v>36.659999999999997</v>
      </c>
    </row>
    <row r="183" spans="1:9" ht="18.75" customHeight="1">
      <c r="A183" s="2958">
        <v>182</v>
      </c>
      <c r="B183" s="2959" t="s">
        <v>3122</v>
      </c>
      <c r="C183" s="2959" t="s">
        <v>3173</v>
      </c>
      <c r="D183" s="2959" t="s">
        <v>3200</v>
      </c>
      <c r="E183" s="2959" t="s">
        <v>3125</v>
      </c>
      <c r="F183" s="2960">
        <v>619</v>
      </c>
      <c r="G183" s="2959" t="s">
        <v>3317</v>
      </c>
      <c r="H183" s="2959">
        <v>47.25</v>
      </c>
      <c r="I183" s="2959">
        <v>36.659999999999997</v>
      </c>
    </row>
    <row r="184" spans="1:9" ht="18.75" customHeight="1">
      <c r="A184" s="2958">
        <v>183</v>
      </c>
      <c r="B184" s="2959" t="s">
        <v>3122</v>
      </c>
      <c r="C184" s="2959" t="s">
        <v>3173</v>
      </c>
      <c r="D184" s="2959" t="s">
        <v>3200</v>
      </c>
      <c r="E184" s="2959" t="s">
        <v>3125</v>
      </c>
      <c r="F184" s="2960">
        <v>620</v>
      </c>
      <c r="G184" s="2959" t="s">
        <v>3318</v>
      </c>
      <c r="H184" s="2959">
        <v>47.25</v>
      </c>
      <c r="I184" s="2959">
        <v>36.659999999999997</v>
      </c>
    </row>
    <row r="185" spans="1:9" ht="18.75" customHeight="1">
      <c r="A185" s="2958">
        <v>184</v>
      </c>
      <c r="B185" s="2959" t="s">
        <v>3122</v>
      </c>
      <c r="C185" s="2959" t="s">
        <v>3173</v>
      </c>
      <c r="D185" s="2959" t="s">
        <v>3200</v>
      </c>
      <c r="E185" s="2959" t="s">
        <v>3125</v>
      </c>
      <c r="F185" s="2960">
        <v>621</v>
      </c>
      <c r="G185" s="2959" t="s">
        <v>3319</v>
      </c>
      <c r="H185" s="2959">
        <v>47.25</v>
      </c>
      <c r="I185" s="2959">
        <v>36.659999999999997</v>
      </c>
    </row>
    <row r="186" spans="1:9" ht="18.75" customHeight="1">
      <c r="A186" s="2958">
        <v>185</v>
      </c>
      <c r="B186" s="2959" t="s">
        <v>3122</v>
      </c>
      <c r="C186" s="2959" t="s">
        <v>3173</v>
      </c>
      <c r="D186" s="2959" t="s">
        <v>3200</v>
      </c>
      <c r="E186" s="2959" t="s">
        <v>3125</v>
      </c>
      <c r="F186" s="2960">
        <v>622</v>
      </c>
      <c r="G186" s="2959" t="s">
        <v>3320</v>
      </c>
      <c r="H186" s="2959">
        <v>47.25</v>
      </c>
      <c r="I186" s="2959">
        <v>36.659999999999997</v>
      </c>
    </row>
    <row r="187" spans="1:9" ht="18.75" customHeight="1">
      <c r="A187" s="2958">
        <v>186</v>
      </c>
      <c r="B187" s="2959" t="s">
        <v>3122</v>
      </c>
      <c r="C187" s="2959" t="s">
        <v>3173</v>
      </c>
      <c r="D187" s="2959" t="s">
        <v>3200</v>
      </c>
      <c r="E187" s="2959" t="s">
        <v>3125</v>
      </c>
      <c r="F187" s="2960">
        <v>623</v>
      </c>
      <c r="G187" s="2959" t="s">
        <v>3321</v>
      </c>
      <c r="H187" s="2959">
        <v>47.25</v>
      </c>
      <c r="I187" s="2959">
        <v>36.659999999999997</v>
      </c>
    </row>
    <row r="188" spans="1:9" ht="18.75" customHeight="1">
      <c r="A188" s="2958">
        <v>187</v>
      </c>
      <c r="B188" s="2959" t="s">
        <v>3122</v>
      </c>
      <c r="C188" s="2959" t="s">
        <v>3173</v>
      </c>
      <c r="D188" s="2959" t="s">
        <v>3200</v>
      </c>
      <c r="E188" s="2959" t="s">
        <v>3125</v>
      </c>
      <c r="F188" s="2960">
        <v>624</v>
      </c>
      <c r="G188" s="2959" t="s">
        <v>3322</v>
      </c>
      <c r="H188" s="2959">
        <v>47.85</v>
      </c>
      <c r="I188" s="2959">
        <v>37.130000000000003</v>
      </c>
    </row>
    <row r="189" spans="1:9" ht="18.75" customHeight="1">
      <c r="A189" s="2958">
        <v>188</v>
      </c>
      <c r="B189" s="2959" t="s">
        <v>3122</v>
      </c>
      <c r="C189" s="2959" t="s">
        <v>3173</v>
      </c>
      <c r="D189" s="2959" t="s">
        <v>3200</v>
      </c>
      <c r="E189" s="2959" t="s">
        <v>3125</v>
      </c>
      <c r="F189" s="2960">
        <v>711</v>
      </c>
      <c r="G189" s="2959" t="s">
        <v>3323</v>
      </c>
      <c r="H189" s="2959">
        <v>31.79</v>
      </c>
      <c r="I189" s="2959">
        <v>24.67</v>
      </c>
    </row>
    <row r="190" spans="1:9" ht="18.75" customHeight="1">
      <c r="A190" s="2958">
        <v>189</v>
      </c>
      <c r="B190" s="2959" t="s">
        <v>3122</v>
      </c>
      <c r="C190" s="2959" t="s">
        <v>3173</v>
      </c>
      <c r="D190" s="2959" t="s">
        <v>3200</v>
      </c>
      <c r="E190" s="2959" t="s">
        <v>3125</v>
      </c>
      <c r="F190" s="2960">
        <v>712</v>
      </c>
      <c r="G190" s="2959" t="s">
        <v>3324</v>
      </c>
      <c r="H190" s="2959">
        <v>32</v>
      </c>
      <c r="I190" s="2959">
        <v>24.83</v>
      </c>
    </row>
    <row r="191" spans="1:9" ht="18.75" customHeight="1">
      <c r="A191" s="2958">
        <v>190</v>
      </c>
      <c r="B191" s="2959" t="s">
        <v>3122</v>
      </c>
      <c r="C191" s="2959" t="s">
        <v>3173</v>
      </c>
      <c r="D191" s="2959" t="s">
        <v>3200</v>
      </c>
      <c r="E191" s="2959" t="s">
        <v>3125</v>
      </c>
      <c r="F191" s="2960">
        <v>713</v>
      </c>
      <c r="G191" s="2959" t="s">
        <v>3325</v>
      </c>
      <c r="H191" s="2959">
        <v>32</v>
      </c>
      <c r="I191" s="2959">
        <v>24.83</v>
      </c>
    </row>
    <row r="192" spans="1:9" ht="18.75" customHeight="1">
      <c r="A192" s="2958">
        <v>191</v>
      </c>
      <c r="B192" s="2959" t="s">
        <v>3122</v>
      </c>
      <c r="C192" s="2959" t="s">
        <v>3173</v>
      </c>
      <c r="D192" s="2959" t="s">
        <v>3200</v>
      </c>
      <c r="E192" s="2959" t="s">
        <v>3125</v>
      </c>
      <c r="F192" s="2960">
        <v>714</v>
      </c>
      <c r="G192" s="2959" t="s">
        <v>3326</v>
      </c>
      <c r="H192" s="2959">
        <v>32.4</v>
      </c>
      <c r="I192" s="2959">
        <v>25.14</v>
      </c>
    </row>
    <row r="193" spans="1:9" ht="18.75" customHeight="1">
      <c r="A193" s="2958">
        <v>192</v>
      </c>
      <c r="B193" s="2959" t="s">
        <v>3122</v>
      </c>
      <c r="C193" s="2959" t="s">
        <v>3173</v>
      </c>
      <c r="D193" s="2959" t="s">
        <v>3200</v>
      </c>
      <c r="E193" s="2959" t="s">
        <v>3125</v>
      </c>
      <c r="F193" s="2960">
        <v>716</v>
      </c>
      <c r="G193" s="2959" t="s">
        <v>3327</v>
      </c>
      <c r="H193" s="2959">
        <v>47.25</v>
      </c>
      <c r="I193" s="2959">
        <v>36.659999999999997</v>
      </c>
    </row>
    <row r="194" spans="1:9" ht="18.75" customHeight="1">
      <c r="A194" s="2958">
        <v>193</v>
      </c>
      <c r="B194" s="2959" t="s">
        <v>3122</v>
      </c>
      <c r="C194" s="2959" t="s">
        <v>3173</v>
      </c>
      <c r="D194" s="2959" t="s">
        <v>3200</v>
      </c>
      <c r="E194" s="2959" t="s">
        <v>3125</v>
      </c>
      <c r="F194" s="2960">
        <v>717</v>
      </c>
      <c r="G194" s="2959" t="s">
        <v>3328</v>
      </c>
      <c r="H194" s="2959">
        <v>47.25</v>
      </c>
      <c r="I194" s="2959">
        <v>36.659999999999997</v>
      </c>
    </row>
    <row r="195" spans="1:9" ht="18.75" customHeight="1">
      <c r="A195" s="2958">
        <v>194</v>
      </c>
      <c r="B195" s="2959" t="s">
        <v>3122</v>
      </c>
      <c r="C195" s="2959" t="s">
        <v>3173</v>
      </c>
      <c r="D195" s="2959" t="s">
        <v>3200</v>
      </c>
      <c r="E195" s="2959" t="s">
        <v>3125</v>
      </c>
      <c r="F195" s="2960">
        <v>718</v>
      </c>
      <c r="G195" s="2959" t="s">
        <v>3329</v>
      </c>
      <c r="H195" s="2959">
        <v>47.25</v>
      </c>
      <c r="I195" s="2959">
        <v>36.659999999999997</v>
      </c>
    </row>
    <row r="196" spans="1:9" ht="18.75" customHeight="1">
      <c r="A196" s="2958">
        <v>195</v>
      </c>
      <c r="B196" s="2959" t="s">
        <v>3122</v>
      </c>
      <c r="C196" s="2959" t="s">
        <v>3173</v>
      </c>
      <c r="D196" s="2959" t="s">
        <v>3200</v>
      </c>
      <c r="E196" s="2959" t="s">
        <v>3125</v>
      </c>
      <c r="F196" s="2960">
        <v>719</v>
      </c>
      <c r="G196" s="2959" t="s">
        <v>3330</v>
      </c>
      <c r="H196" s="2959">
        <v>47.25</v>
      </c>
      <c r="I196" s="2959">
        <v>36.659999999999997</v>
      </c>
    </row>
    <row r="197" spans="1:9" ht="18.75" customHeight="1">
      <c r="A197" s="2958">
        <v>196</v>
      </c>
      <c r="B197" s="2959" t="s">
        <v>3122</v>
      </c>
      <c r="C197" s="2959" t="s">
        <v>3173</v>
      </c>
      <c r="D197" s="2959" t="s">
        <v>3200</v>
      </c>
      <c r="E197" s="2959" t="s">
        <v>3125</v>
      </c>
      <c r="F197" s="2960">
        <v>720</v>
      </c>
      <c r="G197" s="2959" t="s">
        <v>3331</v>
      </c>
      <c r="H197" s="2959">
        <v>47.25</v>
      </c>
      <c r="I197" s="2959">
        <v>36.659999999999997</v>
      </c>
    </row>
    <row r="198" spans="1:9" ht="18.75" customHeight="1">
      <c r="A198" s="2958">
        <v>197</v>
      </c>
      <c r="B198" s="2959" t="s">
        <v>3122</v>
      </c>
      <c r="C198" s="2959" t="s">
        <v>3173</v>
      </c>
      <c r="D198" s="2959" t="s">
        <v>3200</v>
      </c>
      <c r="E198" s="2959" t="s">
        <v>3125</v>
      </c>
      <c r="F198" s="2960">
        <v>721</v>
      </c>
      <c r="G198" s="2959" t="s">
        <v>3332</v>
      </c>
      <c r="H198" s="2959">
        <v>47.25</v>
      </c>
      <c r="I198" s="2959">
        <v>36.659999999999997</v>
      </c>
    </row>
    <row r="199" spans="1:9" ht="18.75" customHeight="1">
      <c r="A199" s="2958">
        <v>198</v>
      </c>
      <c r="B199" s="2959" t="s">
        <v>3122</v>
      </c>
      <c r="C199" s="2959" t="s">
        <v>3173</v>
      </c>
      <c r="D199" s="2959" t="s">
        <v>3200</v>
      </c>
      <c r="E199" s="2959" t="s">
        <v>3125</v>
      </c>
      <c r="F199" s="2960">
        <v>722</v>
      </c>
      <c r="G199" s="2959" t="s">
        <v>3333</v>
      </c>
      <c r="H199" s="2959">
        <v>47.25</v>
      </c>
      <c r="I199" s="2959">
        <v>36.659999999999997</v>
      </c>
    </row>
    <row r="200" spans="1:9" ht="18.75" customHeight="1">
      <c r="A200" s="2958">
        <v>199</v>
      </c>
      <c r="B200" s="2959" t="s">
        <v>3122</v>
      </c>
      <c r="C200" s="2959" t="s">
        <v>3173</v>
      </c>
      <c r="D200" s="2959" t="s">
        <v>3200</v>
      </c>
      <c r="E200" s="2959" t="s">
        <v>3125</v>
      </c>
      <c r="F200" s="2960">
        <v>723</v>
      </c>
      <c r="G200" s="2959" t="s">
        <v>3334</v>
      </c>
      <c r="H200" s="2959">
        <v>47.25</v>
      </c>
      <c r="I200" s="2959">
        <v>36.659999999999997</v>
      </c>
    </row>
    <row r="201" spans="1:9" ht="18.75" customHeight="1">
      <c r="A201" s="2958">
        <v>200</v>
      </c>
      <c r="B201" s="2959" t="s">
        <v>3122</v>
      </c>
      <c r="C201" s="2959" t="s">
        <v>3173</v>
      </c>
      <c r="D201" s="2959" t="s">
        <v>3200</v>
      </c>
      <c r="E201" s="2959" t="s">
        <v>3125</v>
      </c>
      <c r="F201" s="2960">
        <v>830</v>
      </c>
      <c r="G201" s="2959" t="s">
        <v>3335</v>
      </c>
      <c r="H201" s="2959">
        <v>31.79</v>
      </c>
      <c r="I201" s="2959">
        <v>24.67</v>
      </c>
    </row>
    <row r="202" spans="1:9" ht="18.75" customHeight="1">
      <c r="A202" s="2958">
        <v>201</v>
      </c>
      <c r="B202" s="2959" t="s">
        <v>3122</v>
      </c>
      <c r="C202" s="2959" t="s">
        <v>3173</v>
      </c>
      <c r="D202" s="2959" t="s">
        <v>3200</v>
      </c>
      <c r="E202" s="2959" t="s">
        <v>3125</v>
      </c>
      <c r="F202" s="2960">
        <v>1227</v>
      </c>
      <c r="G202" s="2959" t="s">
        <v>3336</v>
      </c>
      <c r="H202" s="2959">
        <v>31.59</v>
      </c>
      <c r="I202" s="2959">
        <v>24.51</v>
      </c>
    </row>
    <row r="203" spans="1:9" ht="18.75" customHeight="1">
      <c r="A203" s="2958">
        <v>202</v>
      </c>
      <c r="B203" s="2959" t="s">
        <v>3122</v>
      </c>
      <c r="C203" s="2959" t="s">
        <v>3173</v>
      </c>
      <c r="D203" s="2959" t="s">
        <v>3200</v>
      </c>
      <c r="E203" s="2959" t="s">
        <v>3125</v>
      </c>
      <c r="F203" s="2960">
        <v>1416</v>
      </c>
      <c r="G203" s="2959" t="s">
        <v>3337</v>
      </c>
      <c r="H203" s="2959">
        <v>47.25</v>
      </c>
      <c r="I203" s="2959">
        <v>36.659999999999997</v>
      </c>
    </row>
    <row r="204" spans="1:9" ht="18.75" customHeight="1">
      <c r="A204" s="2958">
        <v>203</v>
      </c>
      <c r="B204" s="2959" t="s">
        <v>3122</v>
      </c>
      <c r="C204" s="2959" t="s">
        <v>3173</v>
      </c>
      <c r="D204" s="2959" t="s">
        <v>3200</v>
      </c>
      <c r="E204" s="2959" t="s">
        <v>3125</v>
      </c>
      <c r="F204" s="2960">
        <v>1427</v>
      </c>
      <c r="G204" s="2959" t="s">
        <v>3338</v>
      </c>
      <c r="H204" s="2959">
        <v>31.59</v>
      </c>
      <c r="I204" s="2959">
        <v>24.51</v>
      </c>
    </row>
    <row r="205" spans="1:9" ht="18.75" customHeight="1">
      <c r="A205" s="2958">
        <v>204</v>
      </c>
      <c r="B205" s="2959" t="s">
        <v>3122</v>
      </c>
      <c r="C205" s="2959" t="s">
        <v>3173</v>
      </c>
      <c r="D205" s="2959" t="s">
        <v>3200</v>
      </c>
      <c r="E205" s="2959" t="s">
        <v>3125</v>
      </c>
      <c r="F205" s="2960">
        <v>1630</v>
      </c>
      <c r="G205" s="2959" t="s">
        <v>3339</v>
      </c>
      <c r="H205" s="2959">
        <v>31.79</v>
      </c>
      <c r="I205" s="2959">
        <v>24.67</v>
      </c>
    </row>
    <row r="206" spans="1:9" ht="18.75" customHeight="1">
      <c r="A206" s="2958">
        <v>205</v>
      </c>
      <c r="B206" s="2959" t="s">
        <v>3122</v>
      </c>
      <c r="C206" s="2959" t="s">
        <v>3173</v>
      </c>
      <c r="D206" s="2959" t="s">
        <v>3200</v>
      </c>
      <c r="E206" s="2959" t="s">
        <v>3125</v>
      </c>
      <c r="F206" s="2960">
        <v>1826</v>
      </c>
      <c r="G206" s="2959" t="s">
        <v>3340</v>
      </c>
      <c r="H206" s="2959">
        <v>31.72</v>
      </c>
      <c r="I206" s="2959">
        <v>24.61</v>
      </c>
    </row>
    <row r="207" spans="1:9" ht="18.75" customHeight="1">
      <c r="A207" s="2958">
        <v>206</v>
      </c>
      <c r="B207" s="2959" t="s">
        <v>3122</v>
      </c>
      <c r="C207" s="2959" t="s">
        <v>3173</v>
      </c>
      <c r="D207" s="2959" t="s">
        <v>3200</v>
      </c>
      <c r="E207" s="2959" t="s">
        <v>3125</v>
      </c>
      <c r="F207" s="2960">
        <v>1827</v>
      </c>
      <c r="G207" s="2959" t="s">
        <v>3341</v>
      </c>
      <c r="H207" s="2959">
        <v>31.59</v>
      </c>
      <c r="I207" s="2959">
        <v>24.51</v>
      </c>
    </row>
    <row r="208" spans="1:9" ht="18.75" customHeight="1">
      <c r="A208" s="2958">
        <v>207</v>
      </c>
      <c r="B208" s="2959" t="s">
        <v>3122</v>
      </c>
      <c r="C208" s="2959" t="s">
        <v>3173</v>
      </c>
      <c r="D208" s="2959" t="s">
        <v>3342</v>
      </c>
      <c r="E208" s="2959" t="s">
        <v>3125</v>
      </c>
      <c r="F208" s="2960">
        <v>201</v>
      </c>
      <c r="G208" s="2959" t="s">
        <v>3343</v>
      </c>
      <c r="H208" s="2959">
        <v>48.2</v>
      </c>
      <c r="I208" s="2959">
        <v>37.130000000000003</v>
      </c>
    </row>
    <row r="209" spans="1:9" ht="18.75" customHeight="1">
      <c r="A209" s="2958">
        <v>208</v>
      </c>
      <c r="B209" s="2959" t="s">
        <v>3122</v>
      </c>
      <c r="C209" s="2959" t="s">
        <v>3173</v>
      </c>
      <c r="D209" s="2959" t="s">
        <v>3342</v>
      </c>
      <c r="E209" s="2959" t="s">
        <v>3125</v>
      </c>
      <c r="F209" s="2960">
        <v>202</v>
      </c>
      <c r="G209" s="2959" t="s">
        <v>3344</v>
      </c>
      <c r="H209" s="2959">
        <v>47.59</v>
      </c>
      <c r="I209" s="2959">
        <v>36.659999999999997</v>
      </c>
    </row>
    <row r="210" spans="1:9" ht="18.75" customHeight="1">
      <c r="A210" s="2958">
        <v>209</v>
      </c>
      <c r="B210" s="2959" t="s">
        <v>3122</v>
      </c>
      <c r="C210" s="2959" t="s">
        <v>3173</v>
      </c>
      <c r="D210" s="2959" t="s">
        <v>3342</v>
      </c>
      <c r="E210" s="2959" t="s">
        <v>3125</v>
      </c>
      <c r="F210" s="2960">
        <v>203</v>
      </c>
      <c r="G210" s="2959" t="s">
        <v>3345</v>
      </c>
      <c r="H210" s="2959">
        <v>47.59</v>
      </c>
      <c r="I210" s="2959">
        <v>36.659999999999997</v>
      </c>
    </row>
    <row r="211" spans="1:9" ht="18.75" customHeight="1">
      <c r="A211" s="2958">
        <v>210</v>
      </c>
      <c r="B211" s="2959" t="s">
        <v>3122</v>
      </c>
      <c r="C211" s="2959" t="s">
        <v>3173</v>
      </c>
      <c r="D211" s="2959" t="s">
        <v>3342</v>
      </c>
      <c r="E211" s="2959" t="s">
        <v>3125</v>
      </c>
      <c r="F211" s="2960">
        <v>204</v>
      </c>
      <c r="G211" s="2959" t="s">
        <v>3346</v>
      </c>
      <c r="H211" s="2959">
        <v>47.59</v>
      </c>
      <c r="I211" s="2959">
        <v>36.659999999999997</v>
      </c>
    </row>
    <row r="212" spans="1:9" ht="18.75" customHeight="1">
      <c r="A212" s="2958">
        <v>211</v>
      </c>
      <c r="B212" s="2959" t="s">
        <v>3122</v>
      </c>
      <c r="C212" s="2959" t="s">
        <v>3173</v>
      </c>
      <c r="D212" s="2959" t="s">
        <v>3342</v>
      </c>
      <c r="E212" s="2959" t="s">
        <v>3125</v>
      </c>
      <c r="F212" s="2960">
        <v>205</v>
      </c>
      <c r="G212" s="2959" t="s">
        <v>3347</v>
      </c>
      <c r="H212" s="2959">
        <v>47.59</v>
      </c>
      <c r="I212" s="2959">
        <v>36.659999999999997</v>
      </c>
    </row>
    <row r="213" spans="1:9" ht="18.75" customHeight="1">
      <c r="A213" s="2958">
        <v>212</v>
      </c>
      <c r="B213" s="2959" t="s">
        <v>3122</v>
      </c>
      <c r="C213" s="2959" t="s">
        <v>3173</v>
      </c>
      <c r="D213" s="2959" t="s">
        <v>3342</v>
      </c>
      <c r="E213" s="2959" t="s">
        <v>3125</v>
      </c>
      <c r="F213" s="2960">
        <v>206</v>
      </c>
      <c r="G213" s="2959" t="s">
        <v>3348</v>
      </c>
      <c r="H213" s="2959">
        <v>47.59</v>
      </c>
      <c r="I213" s="2959">
        <v>36.659999999999997</v>
      </c>
    </row>
    <row r="214" spans="1:9" ht="18.75" customHeight="1">
      <c r="A214" s="2958">
        <v>213</v>
      </c>
      <c r="B214" s="2959" t="s">
        <v>3122</v>
      </c>
      <c r="C214" s="2959" t="s">
        <v>3173</v>
      </c>
      <c r="D214" s="2959" t="s">
        <v>3342</v>
      </c>
      <c r="E214" s="2959" t="s">
        <v>3125</v>
      </c>
      <c r="F214" s="2960">
        <v>207</v>
      </c>
      <c r="G214" s="2959" t="s">
        <v>3349</v>
      </c>
      <c r="H214" s="2959">
        <v>47.59</v>
      </c>
      <c r="I214" s="2959">
        <v>36.659999999999997</v>
      </c>
    </row>
    <row r="215" spans="1:9" ht="18.75" customHeight="1">
      <c r="A215" s="2958">
        <v>214</v>
      </c>
      <c r="B215" s="2959" t="s">
        <v>3122</v>
      </c>
      <c r="C215" s="2959" t="s">
        <v>3173</v>
      </c>
      <c r="D215" s="2959" t="s">
        <v>3342</v>
      </c>
      <c r="E215" s="2959" t="s">
        <v>3125</v>
      </c>
      <c r="F215" s="2960">
        <v>208</v>
      </c>
      <c r="G215" s="2959" t="s">
        <v>3350</v>
      </c>
      <c r="H215" s="2959">
        <v>47.59</v>
      </c>
      <c r="I215" s="2959">
        <v>36.659999999999997</v>
      </c>
    </row>
    <row r="216" spans="1:9" ht="18.75" customHeight="1">
      <c r="A216" s="2958">
        <v>215</v>
      </c>
      <c r="B216" s="2959" t="s">
        <v>3122</v>
      </c>
      <c r="C216" s="2959" t="s">
        <v>3173</v>
      </c>
      <c r="D216" s="2959" t="s">
        <v>3342</v>
      </c>
      <c r="E216" s="2959" t="s">
        <v>3125</v>
      </c>
      <c r="F216" s="2960">
        <v>209</v>
      </c>
      <c r="G216" s="2959" t="s">
        <v>3351</v>
      </c>
      <c r="H216" s="2959">
        <v>47.59</v>
      </c>
      <c r="I216" s="2959">
        <v>36.659999999999997</v>
      </c>
    </row>
    <row r="217" spans="1:9" ht="18.75" customHeight="1">
      <c r="A217" s="2958">
        <v>216</v>
      </c>
      <c r="B217" s="2959" t="s">
        <v>3122</v>
      </c>
      <c r="C217" s="2959" t="s">
        <v>3173</v>
      </c>
      <c r="D217" s="2959" t="s">
        <v>3342</v>
      </c>
      <c r="E217" s="2959" t="s">
        <v>3125</v>
      </c>
      <c r="F217" s="2960">
        <v>210</v>
      </c>
      <c r="G217" s="2959" t="s">
        <v>3352</v>
      </c>
      <c r="H217" s="2959">
        <v>47.59</v>
      </c>
      <c r="I217" s="2959">
        <v>36.659999999999997</v>
      </c>
    </row>
    <row r="218" spans="1:9" ht="18.75" customHeight="1">
      <c r="A218" s="2958">
        <v>217</v>
      </c>
      <c r="B218" s="2959" t="s">
        <v>3122</v>
      </c>
      <c r="C218" s="2959" t="s">
        <v>3173</v>
      </c>
      <c r="D218" s="2959" t="s">
        <v>3342</v>
      </c>
      <c r="E218" s="2959" t="s">
        <v>3125</v>
      </c>
      <c r="F218" s="2960">
        <v>211</v>
      </c>
      <c r="G218" s="2959" t="s">
        <v>3353</v>
      </c>
      <c r="H218" s="2959">
        <v>47.59</v>
      </c>
      <c r="I218" s="2959">
        <v>36.659999999999997</v>
      </c>
    </row>
    <row r="219" spans="1:9" ht="18.75" customHeight="1">
      <c r="A219" s="2958">
        <v>218</v>
      </c>
      <c r="B219" s="2959" t="s">
        <v>3122</v>
      </c>
      <c r="C219" s="2959" t="s">
        <v>3173</v>
      </c>
      <c r="D219" s="2959" t="s">
        <v>3342</v>
      </c>
      <c r="E219" s="2959" t="s">
        <v>3125</v>
      </c>
      <c r="F219" s="2960">
        <v>212</v>
      </c>
      <c r="G219" s="2959" t="s">
        <v>3354</v>
      </c>
      <c r="H219" s="2959">
        <v>48.2</v>
      </c>
      <c r="I219" s="2959">
        <v>37.130000000000003</v>
      </c>
    </row>
    <row r="220" spans="1:9" ht="18.75" customHeight="1">
      <c r="A220" s="2958">
        <v>219</v>
      </c>
      <c r="B220" s="2959" t="s">
        <v>3122</v>
      </c>
      <c r="C220" s="2959" t="s">
        <v>3173</v>
      </c>
      <c r="D220" s="2959" t="s">
        <v>3342</v>
      </c>
      <c r="E220" s="2959" t="s">
        <v>3125</v>
      </c>
      <c r="F220" s="2960">
        <v>213</v>
      </c>
      <c r="G220" s="2959" t="s">
        <v>3355</v>
      </c>
      <c r="H220" s="2959">
        <v>31.61</v>
      </c>
      <c r="I220" s="2959">
        <v>24.35</v>
      </c>
    </row>
    <row r="221" spans="1:9" ht="18.75" customHeight="1">
      <c r="A221" s="2958">
        <v>220</v>
      </c>
      <c r="B221" s="2959" t="s">
        <v>3122</v>
      </c>
      <c r="C221" s="2959" t="s">
        <v>3173</v>
      </c>
      <c r="D221" s="2959" t="s">
        <v>3342</v>
      </c>
      <c r="E221" s="2959" t="s">
        <v>3125</v>
      </c>
      <c r="F221" s="2960">
        <v>214</v>
      </c>
      <c r="G221" s="2959" t="s">
        <v>3356</v>
      </c>
      <c r="H221" s="2959">
        <v>32.020000000000003</v>
      </c>
      <c r="I221" s="2959">
        <v>24.67</v>
      </c>
    </row>
    <row r="222" spans="1:9" ht="18.75" customHeight="1">
      <c r="A222" s="2958">
        <v>221</v>
      </c>
      <c r="B222" s="2959" t="s">
        <v>3122</v>
      </c>
      <c r="C222" s="2959" t="s">
        <v>3173</v>
      </c>
      <c r="D222" s="2959" t="s">
        <v>3342</v>
      </c>
      <c r="E222" s="2959" t="s">
        <v>3125</v>
      </c>
      <c r="F222" s="2960">
        <v>215</v>
      </c>
      <c r="G222" s="2959" t="s">
        <v>3357</v>
      </c>
      <c r="H222" s="2959">
        <v>32.020000000000003</v>
      </c>
      <c r="I222" s="2959">
        <v>24.67</v>
      </c>
    </row>
    <row r="223" spans="1:9" ht="18.75" customHeight="1">
      <c r="A223" s="2958">
        <v>222</v>
      </c>
      <c r="B223" s="2959" t="s">
        <v>3122</v>
      </c>
      <c r="C223" s="2959" t="s">
        <v>3173</v>
      </c>
      <c r="D223" s="2959" t="s">
        <v>3342</v>
      </c>
      <c r="E223" s="2959" t="s">
        <v>3125</v>
      </c>
      <c r="F223" s="2960">
        <v>216</v>
      </c>
      <c r="G223" s="2959" t="s">
        <v>3358</v>
      </c>
      <c r="H223" s="2959">
        <v>32.229999999999997</v>
      </c>
      <c r="I223" s="2959">
        <v>24.83</v>
      </c>
    </row>
    <row r="224" spans="1:9" ht="18.75" customHeight="1">
      <c r="A224" s="2958">
        <v>223</v>
      </c>
      <c r="B224" s="2959" t="s">
        <v>3122</v>
      </c>
      <c r="C224" s="2959" t="s">
        <v>3173</v>
      </c>
      <c r="D224" s="2959" t="s">
        <v>3342</v>
      </c>
      <c r="E224" s="2959" t="s">
        <v>3125</v>
      </c>
      <c r="F224" s="2960">
        <v>217</v>
      </c>
      <c r="G224" s="2959" t="s">
        <v>3359</v>
      </c>
      <c r="H224" s="2959">
        <v>31.82</v>
      </c>
      <c r="I224" s="2959">
        <v>24.51</v>
      </c>
    </row>
    <row r="225" spans="1:9" ht="18.75" customHeight="1">
      <c r="A225" s="2958">
        <v>224</v>
      </c>
      <c r="B225" s="2959" t="s">
        <v>3122</v>
      </c>
      <c r="C225" s="2959" t="s">
        <v>3173</v>
      </c>
      <c r="D225" s="2959" t="s">
        <v>3342</v>
      </c>
      <c r="E225" s="2959" t="s">
        <v>3125</v>
      </c>
      <c r="F225" s="2960">
        <v>218</v>
      </c>
      <c r="G225" s="2959" t="s">
        <v>3360</v>
      </c>
      <c r="H225" s="2959">
        <v>32.020000000000003</v>
      </c>
      <c r="I225" s="2959">
        <v>24.67</v>
      </c>
    </row>
    <row r="226" spans="1:9" ht="18.75" customHeight="1">
      <c r="A226" s="2958">
        <v>225</v>
      </c>
      <c r="B226" s="2959" t="s">
        <v>3122</v>
      </c>
      <c r="C226" s="2959" t="s">
        <v>3173</v>
      </c>
      <c r="D226" s="2959" t="s">
        <v>3342</v>
      </c>
      <c r="E226" s="2959" t="s">
        <v>3125</v>
      </c>
      <c r="F226" s="2960">
        <v>219</v>
      </c>
      <c r="G226" s="2959" t="s">
        <v>3361</v>
      </c>
      <c r="H226" s="2959">
        <v>32.020000000000003</v>
      </c>
      <c r="I226" s="2959">
        <v>24.67</v>
      </c>
    </row>
    <row r="227" spans="1:9" ht="18.75" customHeight="1">
      <c r="A227" s="2958">
        <v>226</v>
      </c>
      <c r="B227" s="2959" t="s">
        <v>3122</v>
      </c>
      <c r="C227" s="2959" t="s">
        <v>3173</v>
      </c>
      <c r="D227" s="2959" t="s">
        <v>3342</v>
      </c>
      <c r="E227" s="2959" t="s">
        <v>3125</v>
      </c>
      <c r="F227" s="2960">
        <v>220</v>
      </c>
      <c r="G227" s="2959" t="s">
        <v>3362</v>
      </c>
      <c r="H227" s="2959">
        <v>32.229999999999997</v>
      </c>
      <c r="I227" s="2959">
        <v>24.83</v>
      </c>
    </row>
    <row r="228" spans="1:9" ht="18.75" customHeight="1">
      <c r="A228" s="2958">
        <v>227</v>
      </c>
      <c r="B228" s="2959" t="s">
        <v>3122</v>
      </c>
      <c r="C228" s="2959" t="s">
        <v>3173</v>
      </c>
      <c r="D228" s="2959" t="s">
        <v>3342</v>
      </c>
      <c r="E228" s="2959" t="s">
        <v>3125</v>
      </c>
      <c r="F228" s="2960">
        <v>221</v>
      </c>
      <c r="G228" s="2959" t="s">
        <v>3363</v>
      </c>
      <c r="H228" s="2959">
        <v>31.82</v>
      </c>
      <c r="I228" s="2959">
        <v>24.51</v>
      </c>
    </row>
    <row r="229" spans="1:9" ht="18.75" customHeight="1">
      <c r="A229" s="2958">
        <v>228</v>
      </c>
      <c r="B229" s="2959" t="s">
        <v>3122</v>
      </c>
      <c r="C229" s="2959" t="s">
        <v>3173</v>
      </c>
      <c r="D229" s="2959" t="s">
        <v>3342</v>
      </c>
      <c r="E229" s="2959" t="s">
        <v>3125</v>
      </c>
      <c r="F229" s="2960">
        <v>301</v>
      </c>
      <c r="G229" s="2959" t="s">
        <v>3364</v>
      </c>
      <c r="H229" s="2959">
        <v>48.2</v>
      </c>
      <c r="I229" s="2959">
        <v>37.130000000000003</v>
      </c>
    </row>
    <row r="230" spans="1:9" ht="18.75" customHeight="1">
      <c r="A230" s="2958">
        <v>229</v>
      </c>
      <c r="B230" s="2959" t="s">
        <v>3122</v>
      </c>
      <c r="C230" s="2959" t="s">
        <v>3173</v>
      </c>
      <c r="D230" s="2959" t="s">
        <v>3342</v>
      </c>
      <c r="E230" s="2959" t="s">
        <v>3125</v>
      </c>
      <c r="F230" s="2960">
        <v>304</v>
      </c>
      <c r="G230" s="2959" t="s">
        <v>3365</v>
      </c>
      <c r="H230" s="2959">
        <v>47.59</v>
      </c>
      <c r="I230" s="2959">
        <v>36.659999999999997</v>
      </c>
    </row>
    <row r="231" spans="1:9" ht="18.75" customHeight="1">
      <c r="A231" s="2958">
        <v>230</v>
      </c>
      <c r="B231" s="2959" t="s">
        <v>3122</v>
      </c>
      <c r="C231" s="2959" t="s">
        <v>3173</v>
      </c>
      <c r="D231" s="2959" t="s">
        <v>3342</v>
      </c>
      <c r="E231" s="2959" t="s">
        <v>3125</v>
      </c>
      <c r="F231" s="2960">
        <v>307</v>
      </c>
      <c r="G231" s="2959" t="s">
        <v>3366</v>
      </c>
      <c r="H231" s="2959">
        <v>47.59</v>
      </c>
      <c r="I231" s="2959">
        <v>36.659999999999997</v>
      </c>
    </row>
    <row r="232" spans="1:9" ht="18.75" customHeight="1">
      <c r="A232" s="2958">
        <v>231</v>
      </c>
      <c r="B232" s="2959" t="s">
        <v>3122</v>
      </c>
      <c r="C232" s="2959" t="s">
        <v>3173</v>
      </c>
      <c r="D232" s="2959" t="s">
        <v>3342</v>
      </c>
      <c r="E232" s="2959" t="s">
        <v>3125</v>
      </c>
      <c r="F232" s="2960">
        <v>311</v>
      </c>
      <c r="G232" s="2959" t="s">
        <v>3367</v>
      </c>
      <c r="H232" s="2959">
        <v>47.59</v>
      </c>
      <c r="I232" s="2959">
        <v>36.659999999999997</v>
      </c>
    </row>
    <row r="233" spans="1:9" ht="18.75" customHeight="1">
      <c r="A233" s="2958">
        <v>232</v>
      </c>
      <c r="B233" s="2959" t="s">
        <v>3122</v>
      </c>
      <c r="C233" s="2959" t="s">
        <v>3173</v>
      </c>
      <c r="D233" s="2959" t="s">
        <v>3342</v>
      </c>
      <c r="E233" s="2959" t="s">
        <v>3125</v>
      </c>
      <c r="F233" s="2960">
        <v>313</v>
      </c>
      <c r="G233" s="2959" t="s">
        <v>3368</v>
      </c>
      <c r="H233" s="2959">
        <v>31.61</v>
      </c>
      <c r="I233" s="2959">
        <v>24.35</v>
      </c>
    </row>
    <row r="234" spans="1:9" ht="18.75" customHeight="1">
      <c r="A234" s="2958">
        <v>233</v>
      </c>
      <c r="B234" s="2959" t="s">
        <v>3122</v>
      </c>
      <c r="C234" s="2959" t="s">
        <v>3173</v>
      </c>
      <c r="D234" s="2959" t="s">
        <v>3342</v>
      </c>
      <c r="E234" s="2959" t="s">
        <v>3125</v>
      </c>
      <c r="F234" s="2960">
        <v>314</v>
      </c>
      <c r="G234" s="2959" t="s">
        <v>3369</v>
      </c>
      <c r="H234" s="2959">
        <v>32.020000000000003</v>
      </c>
      <c r="I234" s="2959">
        <v>24.67</v>
      </c>
    </row>
    <row r="235" spans="1:9" ht="18.75" customHeight="1">
      <c r="A235" s="2958">
        <v>234</v>
      </c>
      <c r="B235" s="2959" t="s">
        <v>3122</v>
      </c>
      <c r="C235" s="2959" t="s">
        <v>3173</v>
      </c>
      <c r="D235" s="2959" t="s">
        <v>3342</v>
      </c>
      <c r="E235" s="2959" t="s">
        <v>3125</v>
      </c>
      <c r="F235" s="2960">
        <v>315</v>
      </c>
      <c r="G235" s="2959" t="s">
        <v>3370</v>
      </c>
      <c r="H235" s="2959">
        <v>32.020000000000003</v>
      </c>
      <c r="I235" s="2959">
        <v>24.67</v>
      </c>
    </row>
    <row r="236" spans="1:9" ht="18.75" customHeight="1">
      <c r="A236" s="2958">
        <v>235</v>
      </c>
      <c r="B236" s="2959" t="s">
        <v>3122</v>
      </c>
      <c r="C236" s="2959" t="s">
        <v>3173</v>
      </c>
      <c r="D236" s="2959" t="s">
        <v>3342</v>
      </c>
      <c r="E236" s="2959" t="s">
        <v>3125</v>
      </c>
      <c r="F236" s="2960">
        <v>316</v>
      </c>
      <c r="G236" s="2959" t="s">
        <v>3371</v>
      </c>
      <c r="H236" s="2959">
        <v>32.229999999999997</v>
      </c>
      <c r="I236" s="2959">
        <v>24.83</v>
      </c>
    </row>
    <row r="237" spans="1:9" ht="18.75" customHeight="1">
      <c r="A237" s="2958">
        <v>236</v>
      </c>
      <c r="B237" s="2959" t="s">
        <v>3122</v>
      </c>
      <c r="C237" s="2959" t="s">
        <v>3173</v>
      </c>
      <c r="D237" s="2959" t="s">
        <v>3342</v>
      </c>
      <c r="E237" s="2959" t="s">
        <v>3125</v>
      </c>
      <c r="F237" s="2960">
        <v>317</v>
      </c>
      <c r="G237" s="2959" t="s">
        <v>3372</v>
      </c>
      <c r="H237" s="2959">
        <v>31.82</v>
      </c>
      <c r="I237" s="2959">
        <v>24.51</v>
      </c>
    </row>
    <row r="238" spans="1:9" ht="18.75" customHeight="1">
      <c r="A238" s="2958">
        <v>237</v>
      </c>
      <c r="B238" s="2959" t="s">
        <v>3122</v>
      </c>
      <c r="C238" s="2959" t="s">
        <v>3173</v>
      </c>
      <c r="D238" s="2959" t="s">
        <v>3342</v>
      </c>
      <c r="E238" s="2959" t="s">
        <v>3125</v>
      </c>
      <c r="F238" s="2960">
        <v>319</v>
      </c>
      <c r="G238" s="2959" t="s">
        <v>3373</v>
      </c>
      <c r="H238" s="2959">
        <v>32.020000000000003</v>
      </c>
      <c r="I238" s="2959">
        <v>24.67</v>
      </c>
    </row>
    <row r="239" spans="1:9" ht="18.75" customHeight="1">
      <c r="A239" s="2958">
        <v>238</v>
      </c>
      <c r="B239" s="2959" t="s">
        <v>3122</v>
      </c>
      <c r="C239" s="2959" t="s">
        <v>3173</v>
      </c>
      <c r="D239" s="2959" t="s">
        <v>3342</v>
      </c>
      <c r="E239" s="2959" t="s">
        <v>3125</v>
      </c>
      <c r="F239" s="2960">
        <v>320</v>
      </c>
      <c r="G239" s="2959" t="s">
        <v>3374</v>
      </c>
      <c r="H239" s="2959">
        <v>32.229999999999997</v>
      </c>
      <c r="I239" s="2959">
        <v>24.83</v>
      </c>
    </row>
    <row r="240" spans="1:9" ht="18.75" customHeight="1">
      <c r="A240" s="2958">
        <v>239</v>
      </c>
      <c r="B240" s="2959" t="s">
        <v>3122</v>
      </c>
      <c r="C240" s="2959" t="s">
        <v>3173</v>
      </c>
      <c r="D240" s="2959" t="s">
        <v>3342</v>
      </c>
      <c r="E240" s="2959" t="s">
        <v>3125</v>
      </c>
      <c r="F240" s="2960">
        <v>321</v>
      </c>
      <c r="G240" s="2959" t="s">
        <v>3375</v>
      </c>
      <c r="H240" s="2959">
        <v>31.82</v>
      </c>
      <c r="I240" s="2959">
        <v>24.51</v>
      </c>
    </row>
    <row r="241" spans="1:9" ht="18.75" customHeight="1">
      <c r="A241" s="2958">
        <v>240</v>
      </c>
      <c r="B241" s="2959" t="s">
        <v>3122</v>
      </c>
      <c r="C241" s="2959" t="s">
        <v>3173</v>
      </c>
      <c r="D241" s="2959" t="s">
        <v>3342</v>
      </c>
      <c r="E241" s="2959" t="s">
        <v>3125</v>
      </c>
      <c r="F241" s="2960">
        <v>406</v>
      </c>
      <c r="G241" s="2959" t="s">
        <v>3376</v>
      </c>
      <c r="H241" s="2959">
        <v>47.59</v>
      </c>
      <c r="I241" s="2959">
        <v>36.659999999999997</v>
      </c>
    </row>
    <row r="242" spans="1:9" ht="18.75" customHeight="1">
      <c r="A242" s="2958">
        <v>241</v>
      </c>
      <c r="B242" s="2959" t="s">
        <v>3122</v>
      </c>
      <c r="C242" s="2959" t="s">
        <v>3173</v>
      </c>
      <c r="D242" s="2959" t="s">
        <v>3342</v>
      </c>
      <c r="E242" s="2959" t="s">
        <v>3125</v>
      </c>
      <c r="F242" s="2960">
        <v>410</v>
      </c>
      <c r="G242" s="2959" t="s">
        <v>3377</v>
      </c>
      <c r="H242" s="2959">
        <v>47.59</v>
      </c>
      <c r="I242" s="2959">
        <v>36.659999999999997</v>
      </c>
    </row>
    <row r="243" spans="1:9" ht="18.75" customHeight="1">
      <c r="A243" s="2958">
        <v>242</v>
      </c>
      <c r="B243" s="2959" t="s">
        <v>3122</v>
      </c>
      <c r="C243" s="2959" t="s">
        <v>3173</v>
      </c>
      <c r="D243" s="2959" t="s">
        <v>3342</v>
      </c>
      <c r="E243" s="2959" t="s">
        <v>3125</v>
      </c>
      <c r="F243" s="2960">
        <v>413</v>
      </c>
      <c r="G243" s="2959" t="s">
        <v>3378</v>
      </c>
      <c r="H243" s="2959">
        <v>31.61</v>
      </c>
      <c r="I243" s="2959">
        <v>24.35</v>
      </c>
    </row>
    <row r="244" spans="1:9" ht="18.75" customHeight="1">
      <c r="A244" s="2958">
        <v>243</v>
      </c>
      <c r="B244" s="2959" t="s">
        <v>3122</v>
      </c>
      <c r="C244" s="2959" t="s">
        <v>3173</v>
      </c>
      <c r="D244" s="2959" t="s">
        <v>3342</v>
      </c>
      <c r="E244" s="2959" t="s">
        <v>3125</v>
      </c>
      <c r="F244" s="2960">
        <v>414</v>
      </c>
      <c r="G244" s="2959" t="s">
        <v>3379</v>
      </c>
      <c r="H244" s="2959">
        <v>32.020000000000003</v>
      </c>
      <c r="I244" s="2959">
        <v>24.67</v>
      </c>
    </row>
    <row r="245" spans="1:9" ht="18.75" customHeight="1">
      <c r="A245" s="2958">
        <v>244</v>
      </c>
      <c r="B245" s="2959" t="s">
        <v>3122</v>
      </c>
      <c r="C245" s="2959" t="s">
        <v>3173</v>
      </c>
      <c r="D245" s="2959" t="s">
        <v>3342</v>
      </c>
      <c r="E245" s="2959" t="s">
        <v>3125</v>
      </c>
      <c r="F245" s="2960">
        <v>415</v>
      </c>
      <c r="G245" s="2959" t="s">
        <v>3380</v>
      </c>
      <c r="H245" s="2959">
        <v>32.020000000000003</v>
      </c>
      <c r="I245" s="2959">
        <v>24.67</v>
      </c>
    </row>
    <row r="246" spans="1:9" ht="18.75" customHeight="1">
      <c r="A246" s="2958">
        <v>245</v>
      </c>
      <c r="B246" s="2959" t="s">
        <v>3122</v>
      </c>
      <c r="C246" s="2959" t="s">
        <v>3173</v>
      </c>
      <c r="D246" s="2959" t="s">
        <v>3342</v>
      </c>
      <c r="E246" s="2959" t="s">
        <v>3125</v>
      </c>
      <c r="F246" s="2960">
        <v>416</v>
      </c>
      <c r="G246" s="2959" t="s">
        <v>3381</v>
      </c>
      <c r="H246" s="2959">
        <v>32.229999999999997</v>
      </c>
      <c r="I246" s="2959">
        <v>24.83</v>
      </c>
    </row>
    <row r="247" spans="1:9" ht="18.75" customHeight="1">
      <c r="A247" s="2958">
        <v>246</v>
      </c>
      <c r="B247" s="2959" t="s">
        <v>3122</v>
      </c>
      <c r="C247" s="2959" t="s">
        <v>3173</v>
      </c>
      <c r="D247" s="2959" t="s">
        <v>3342</v>
      </c>
      <c r="E247" s="2959" t="s">
        <v>3125</v>
      </c>
      <c r="F247" s="2960">
        <v>417</v>
      </c>
      <c r="G247" s="2959" t="s">
        <v>3382</v>
      </c>
      <c r="H247" s="2959">
        <v>31.82</v>
      </c>
      <c r="I247" s="2959">
        <v>24.51</v>
      </c>
    </row>
    <row r="248" spans="1:9" ht="18.75" customHeight="1">
      <c r="A248" s="2958">
        <v>247</v>
      </c>
      <c r="B248" s="2959" t="s">
        <v>3122</v>
      </c>
      <c r="C248" s="2959" t="s">
        <v>3173</v>
      </c>
      <c r="D248" s="2959" t="s">
        <v>3342</v>
      </c>
      <c r="E248" s="2959" t="s">
        <v>3125</v>
      </c>
      <c r="F248" s="2960">
        <v>418</v>
      </c>
      <c r="G248" s="2959" t="s">
        <v>3383</v>
      </c>
      <c r="H248" s="2959">
        <v>32.020000000000003</v>
      </c>
      <c r="I248" s="2959">
        <v>24.67</v>
      </c>
    </row>
    <row r="249" spans="1:9" ht="18.75" customHeight="1">
      <c r="A249" s="2958">
        <v>248</v>
      </c>
      <c r="B249" s="2959" t="s">
        <v>3122</v>
      </c>
      <c r="C249" s="2959" t="s">
        <v>3173</v>
      </c>
      <c r="D249" s="2959" t="s">
        <v>3342</v>
      </c>
      <c r="E249" s="2959" t="s">
        <v>3125</v>
      </c>
      <c r="F249" s="2960">
        <v>419</v>
      </c>
      <c r="G249" s="2959" t="s">
        <v>3384</v>
      </c>
      <c r="H249" s="2959">
        <v>32.020000000000003</v>
      </c>
      <c r="I249" s="2959">
        <v>24.67</v>
      </c>
    </row>
    <row r="250" spans="1:9" ht="18.75" customHeight="1">
      <c r="A250" s="2958">
        <v>249</v>
      </c>
      <c r="B250" s="2959" t="s">
        <v>3122</v>
      </c>
      <c r="C250" s="2959" t="s">
        <v>3173</v>
      </c>
      <c r="D250" s="2959" t="s">
        <v>3342</v>
      </c>
      <c r="E250" s="2959" t="s">
        <v>3125</v>
      </c>
      <c r="F250" s="2960">
        <v>420</v>
      </c>
      <c r="G250" s="2959" t="s">
        <v>3385</v>
      </c>
      <c r="H250" s="2959">
        <v>32.229999999999997</v>
      </c>
      <c r="I250" s="2959">
        <v>24.83</v>
      </c>
    </row>
    <row r="251" spans="1:9" ht="18.75" customHeight="1">
      <c r="A251" s="2958">
        <v>250</v>
      </c>
      <c r="B251" s="2959" t="s">
        <v>3122</v>
      </c>
      <c r="C251" s="2959" t="s">
        <v>3173</v>
      </c>
      <c r="D251" s="2959" t="s">
        <v>3342</v>
      </c>
      <c r="E251" s="2959" t="s">
        <v>3125</v>
      </c>
      <c r="F251" s="2960">
        <v>421</v>
      </c>
      <c r="G251" s="2959" t="s">
        <v>3386</v>
      </c>
      <c r="H251" s="2959">
        <v>31.82</v>
      </c>
      <c r="I251" s="2959">
        <v>24.51</v>
      </c>
    </row>
    <row r="252" spans="1:9" ht="18.75" customHeight="1">
      <c r="A252" s="2958">
        <v>251</v>
      </c>
      <c r="B252" s="2959" t="s">
        <v>3122</v>
      </c>
      <c r="C252" s="2959" t="s">
        <v>3173</v>
      </c>
      <c r="D252" s="2959" t="s">
        <v>3342</v>
      </c>
      <c r="E252" s="2959" t="s">
        <v>3125</v>
      </c>
      <c r="F252" s="2960">
        <v>1206</v>
      </c>
      <c r="G252" s="2959" t="s">
        <v>3387</v>
      </c>
      <c r="H252" s="2959">
        <v>47.59</v>
      </c>
      <c r="I252" s="2959">
        <v>36.659999999999997</v>
      </c>
    </row>
    <row r="253" spans="1:9" ht="18.75" customHeight="1">
      <c r="A253" s="2958">
        <v>252</v>
      </c>
      <c r="B253" s="2959" t="s">
        <v>3122</v>
      </c>
      <c r="C253" s="2959" t="s">
        <v>3173</v>
      </c>
      <c r="D253" s="2959" t="s">
        <v>3388</v>
      </c>
      <c r="E253" s="2959" t="s">
        <v>3125</v>
      </c>
      <c r="F253" s="2960">
        <v>306</v>
      </c>
      <c r="G253" s="2959" t="s">
        <v>3389</v>
      </c>
      <c r="H253" s="2959">
        <v>46.98</v>
      </c>
      <c r="I253" s="2959">
        <v>36.659999999999997</v>
      </c>
    </row>
    <row r="254" spans="1:9" ht="18.75" customHeight="1">
      <c r="A254" s="2958">
        <v>253</v>
      </c>
      <c r="B254" s="2959" t="s">
        <v>3122</v>
      </c>
      <c r="C254" s="2959" t="s">
        <v>3173</v>
      </c>
      <c r="D254" s="2959" t="s">
        <v>3388</v>
      </c>
      <c r="E254" s="2959" t="s">
        <v>3125</v>
      </c>
      <c r="F254" s="2960">
        <v>309</v>
      </c>
      <c r="G254" s="2959" t="s">
        <v>3390</v>
      </c>
      <c r="H254" s="2959">
        <v>46.98</v>
      </c>
      <c r="I254" s="2959">
        <v>36.659999999999997</v>
      </c>
    </row>
    <row r="255" spans="1:9" ht="18.75" customHeight="1">
      <c r="A255" s="2958">
        <v>254</v>
      </c>
      <c r="B255" s="2959" t="s">
        <v>3122</v>
      </c>
      <c r="C255" s="2959" t="s">
        <v>3173</v>
      </c>
      <c r="D255" s="2959" t="s">
        <v>3388</v>
      </c>
      <c r="E255" s="2959" t="s">
        <v>3125</v>
      </c>
      <c r="F255" s="2960">
        <v>1003</v>
      </c>
      <c r="G255" s="2959" t="s">
        <v>3391</v>
      </c>
      <c r="H255" s="2959">
        <v>46.98</v>
      </c>
      <c r="I255" s="2959">
        <v>36.659999999999997</v>
      </c>
    </row>
    <row r="256" spans="1:9" ht="18.75" customHeight="1">
      <c r="A256" s="2958">
        <v>255</v>
      </c>
      <c r="B256" s="2959" t="s">
        <v>3122</v>
      </c>
      <c r="C256" s="2959" t="s">
        <v>3173</v>
      </c>
      <c r="D256" s="2959" t="s">
        <v>3388</v>
      </c>
      <c r="E256" s="2959" t="s">
        <v>3125</v>
      </c>
      <c r="F256" s="2960">
        <v>1218</v>
      </c>
      <c r="G256" s="2959" t="s">
        <v>3392</v>
      </c>
      <c r="H256" s="2959">
        <v>31.61</v>
      </c>
      <c r="I256" s="2959">
        <v>24.67</v>
      </c>
    </row>
    <row r="257" spans="1:9" ht="18.75" customHeight="1">
      <c r="A257" s="2958">
        <v>256</v>
      </c>
      <c r="B257" s="2959" t="s">
        <v>3122</v>
      </c>
      <c r="C257" s="2959" t="s">
        <v>3173</v>
      </c>
      <c r="D257" s="2959" t="s">
        <v>3388</v>
      </c>
      <c r="E257" s="2959" t="s">
        <v>3125</v>
      </c>
      <c r="F257" s="2960">
        <v>1404</v>
      </c>
      <c r="G257" s="2959" t="s">
        <v>3393</v>
      </c>
      <c r="H257" s="2959">
        <v>46.98</v>
      </c>
      <c r="I257" s="2959">
        <v>36.659999999999997</v>
      </c>
    </row>
    <row r="258" spans="1:9" ht="18.75" customHeight="1">
      <c r="A258" s="2958">
        <v>257</v>
      </c>
      <c r="B258" s="2959" t="s">
        <v>3122</v>
      </c>
      <c r="C258" s="2959" t="s">
        <v>3173</v>
      </c>
      <c r="D258" s="2959" t="s">
        <v>3388</v>
      </c>
      <c r="E258" s="2959" t="s">
        <v>3125</v>
      </c>
      <c r="F258" s="2960">
        <v>1420</v>
      </c>
      <c r="G258" s="2959" t="s">
        <v>3394</v>
      </c>
      <c r="H258" s="2959">
        <v>31.82</v>
      </c>
      <c r="I258" s="2959">
        <v>24.83</v>
      </c>
    </row>
    <row r="259" spans="1:9" ht="18.75" customHeight="1">
      <c r="A259" s="2958">
        <v>258</v>
      </c>
      <c r="B259" s="2959" t="s">
        <v>3122</v>
      </c>
      <c r="C259" s="2959" t="s">
        <v>3395</v>
      </c>
      <c r="D259" s="2959" t="s">
        <v>3396</v>
      </c>
      <c r="E259" s="2959" t="s">
        <v>3397</v>
      </c>
      <c r="F259" s="2960">
        <v>2104</v>
      </c>
      <c r="G259" s="2959" t="s">
        <v>3398</v>
      </c>
      <c r="H259" s="2959">
        <v>104.12</v>
      </c>
      <c r="I259" s="2959">
        <v>80.349999999999994</v>
      </c>
    </row>
    <row r="260" spans="1:9" ht="18.75" customHeight="1">
      <c r="A260" s="2958">
        <v>259</v>
      </c>
      <c r="B260" s="2959" t="s">
        <v>3122</v>
      </c>
      <c r="C260" s="2959" t="s">
        <v>3395</v>
      </c>
      <c r="D260" s="2959" t="s">
        <v>3399</v>
      </c>
      <c r="E260" s="2959" t="s">
        <v>3397</v>
      </c>
      <c r="F260" s="2960">
        <v>501</v>
      </c>
      <c r="G260" s="2959" t="s">
        <v>3400</v>
      </c>
      <c r="H260" s="2959">
        <v>103.95</v>
      </c>
      <c r="I260" s="2959">
        <v>79.680000000000007</v>
      </c>
    </row>
    <row r="261" spans="1:9" ht="18.75" customHeight="1">
      <c r="A261" s="2958">
        <v>260</v>
      </c>
      <c r="B261" s="2959" t="s">
        <v>3122</v>
      </c>
      <c r="C261" s="2959" t="s">
        <v>3395</v>
      </c>
      <c r="D261" s="2959" t="s">
        <v>3399</v>
      </c>
      <c r="E261" s="2959" t="s">
        <v>3397</v>
      </c>
      <c r="F261" s="2960">
        <v>502</v>
      </c>
      <c r="G261" s="2959" t="s">
        <v>3401</v>
      </c>
      <c r="H261" s="2959">
        <v>120.44</v>
      </c>
      <c r="I261" s="2959">
        <v>92.32</v>
      </c>
    </row>
    <row r="262" spans="1:9" ht="18.75" customHeight="1">
      <c r="A262" s="2958">
        <v>261</v>
      </c>
      <c r="B262" s="2959" t="s">
        <v>3122</v>
      </c>
      <c r="C262" s="2959" t="s">
        <v>3395</v>
      </c>
      <c r="D262" s="2959" t="s">
        <v>3399</v>
      </c>
      <c r="E262" s="2959" t="s">
        <v>3397</v>
      </c>
      <c r="F262" s="2960">
        <v>503</v>
      </c>
      <c r="G262" s="2959" t="s">
        <v>3402</v>
      </c>
      <c r="H262" s="2959">
        <v>104.8</v>
      </c>
      <c r="I262" s="2959">
        <v>80.33</v>
      </c>
    </row>
    <row r="263" spans="1:9" ht="18.75" customHeight="1">
      <c r="A263" s="2958">
        <v>262</v>
      </c>
      <c r="B263" s="2959" t="s">
        <v>3122</v>
      </c>
      <c r="C263" s="2959" t="s">
        <v>3395</v>
      </c>
      <c r="D263" s="2959" t="s">
        <v>3399</v>
      </c>
      <c r="E263" s="2959" t="s">
        <v>3397</v>
      </c>
      <c r="F263" s="2960">
        <v>504</v>
      </c>
      <c r="G263" s="2959" t="s">
        <v>3403</v>
      </c>
      <c r="H263" s="2959">
        <v>104.82</v>
      </c>
      <c r="I263" s="2959">
        <v>80.349999999999994</v>
      </c>
    </row>
    <row r="264" spans="1:9" ht="18.75" customHeight="1">
      <c r="A264" s="2958">
        <v>263</v>
      </c>
      <c r="B264" s="2959" t="s">
        <v>3122</v>
      </c>
      <c r="C264" s="2959" t="s">
        <v>3395</v>
      </c>
      <c r="D264" s="2959" t="s">
        <v>3399</v>
      </c>
      <c r="E264" s="2959" t="s">
        <v>3397</v>
      </c>
      <c r="F264" s="2960">
        <v>505</v>
      </c>
      <c r="G264" s="2959" t="s">
        <v>3404</v>
      </c>
      <c r="H264" s="2959">
        <v>75.72</v>
      </c>
      <c r="I264" s="2959">
        <v>58.04</v>
      </c>
    </row>
    <row r="265" spans="1:9" ht="18.75" customHeight="1">
      <c r="A265" s="2958">
        <v>264</v>
      </c>
      <c r="B265" s="2959" t="s">
        <v>3122</v>
      </c>
      <c r="C265" s="2959" t="s">
        <v>3395</v>
      </c>
      <c r="D265" s="2959" t="s">
        <v>3399</v>
      </c>
      <c r="E265" s="2959" t="s">
        <v>3397</v>
      </c>
      <c r="F265" s="2960">
        <v>506</v>
      </c>
      <c r="G265" s="2959" t="s">
        <v>3405</v>
      </c>
      <c r="H265" s="2959">
        <v>74.78</v>
      </c>
      <c r="I265" s="2959">
        <v>57.32</v>
      </c>
    </row>
    <row r="266" spans="1:9" s="2956" customFormat="1" ht="18.75" customHeight="1">
      <c r="A266" s="2958">
        <v>265</v>
      </c>
      <c r="B266" s="2959" t="s">
        <v>3122</v>
      </c>
      <c r="C266" s="2959" t="s">
        <v>3406</v>
      </c>
      <c r="D266" s="2959" t="s">
        <v>3407</v>
      </c>
      <c r="E266" s="2959" t="s">
        <v>3125</v>
      </c>
      <c r="F266" s="2960">
        <v>101</v>
      </c>
      <c r="G266" s="2959" t="s">
        <v>3408</v>
      </c>
      <c r="H266" s="2959">
        <v>118.31</v>
      </c>
      <c r="I266" s="2959">
        <v>90.66</v>
      </c>
    </row>
    <row r="267" spans="1:9" s="2956" customFormat="1" ht="18.75" customHeight="1">
      <c r="A267" s="2958">
        <v>266</v>
      </c>
      <c r="B267" s="2959" t="s">
        <v>3122</v>
      </c>
      <c r="C267" s="2959" t="s">
        <v>3406</v>
      </c>
      <c r="D267" s="2959" t="s">
        <v>3407</v>
      </c>
      <c r="E267" s="2959" t="s">
        <v>3125</v>
      </c>
      <c r="F267" s="2960">
        <v>102</v>
      </c>
      <c r="G267" s="2959" t="s">
        <v>3409</v>
      </c>
      <c r="H267" s="2959">
        <v>141.46</v>
      </c>
      <c r="I267" s="2959">
        <v>108.4</v>
      </c>
    </row>
    <row r="268" spans="1:9" s="2956" customFormat="1" ht="18.75" customHeight="1">
      <c r="A268" s="2958">
        <v>267</v>
      </c>
      <c r="B268" s="2959" t="s">
        <v>3122</v>
      </c>
      <c r="C268" s="2959" t="s">
        <v>3406</v>
      </c>
      <c r="D268" s="2959" t="s">
        <v>3407</v>
      </c>
      <c r="E268" s="2959" t="s">
        <v>3125</v>
      </c>
      <c r="F268" s="2960">
        <v>103</v>
      </c>
      <c r="G268" s="2959" t="s">
        <v>3410</v>
      </c>
      <c r="H268" s="2959">
        <v>122.19</v>
      </c>
      <c r="I268" s="2959">
        <v>93.64</v>
      </c>
    </row>
    <row r="269" spans="1:9" s="2956" customFormat="1" ht="18.75" customHeight="1">
      <c r="A269" s="2958">
        <v>268</v>
      </c>
      <c r="B269" s="2959" t="s">
        <v>3122</v>
      </c>
      <c r="C269" s="2959" t="s">
        <v>3406</v>
      </c>
      <c r="D269" s="2959" t="s">
        <v>3407</v>
      </c>
      <c r="E269" s="2959" t="s">
        <v>3125</v>
      </c>
      <c r="F269" s="2960">
        <v>104</v>
      </c>
      <c r="G269" s="2959" t="s">
        <v>3411</v>
      </c>
      <c r="H269" s="2959">
        <v>141.34</v>
      </c>
      <c r="I269" s="2959">
        <v>108.31</v>
      </c>
    </row>
    <row r="270" spans="1:9" s="2956" customFormat="1" ht="18.75" customHeight="1">
      <c r="A270" s="2958">
        <v>269</v>
      </c>
      <c r="B270" s="2959" t="s">
        <v>3122</v>
      </c>
      <c r="C270" s="2959" t="s">
        <v>3406</v>
      </c>
      <c r="D270" s="2959" t="s">
        <v>3407</v>
      </c>
      <c r="E270" s="2959" t="s">
        <v>3125</v>
      </c>
      <c r="F270" s="2960">
        <v>105</v>
      </c>
      <c r="G270" s="2959" t="s">
        <v>3412</v>
      </c>
      <c r="H270" s="2959">
        <v>117.98</v>
      </c>
      <c r="I270" s="2959">
        <v>90.41</v>
      </c>
    </row>
    <row r="271" spans="1:9" ht="18.75" customHeight="1">
      <c r="A271" s="2958">
        <v>270</v>
      </c>
      <c r="B271" s="2959" t="s">
        <v>3122</v>
      </c>
      <c r="C271" s="2959" t="s">
        <v>3406</v>
      </c>
      <c r="D271" s="2959" t="s">
        <v>3407</v>
      </c>
      <c r="E271" s="2959" t="s">
        <v>3125</v>
      </c>
      <c r="F271" s="2960">
        <v>205</v>
      </c>
      <c r="G271" s="2959" t="s">
        <v>3413</v>
      </c>
      <c r="H271" s="2959">
        <v>118.5</v>
      </c>
      <c r="I271" s="2959">
        <v>90.81</v>
      </c>
    </row>
    <row r="272" spans="1:9" ht="18.75" customHeight="1">
      <c r="A272" s="2958">
        <v>271</v>
      </c>
      <c r="B272" s="2959" t="s">
        <v>3122</v>
      </c>
      <c r="C272" s="2959" t="s">
        <v>3406</v>
      </c>
      <c r="D272" s="2959" t="s">
        <v>3407</v>
      </c>
      <c r="E272" s="2959" t="s">
        <v>3125</v>
      </c>
      <c r="F272" s="2960">
        <v>2501</v>
      </c>
      <c r="G272" s="2959" t="s">
        <v>3414</v>
      </c>
      <c r="H272" s="2959">
        <v>118.91</v>
      </c>
      <c r="I272" s="2959">
        <v>91.12</v>
      </c>
    </row>
    <row r="273" spans="1:9" ht="18.75" customHeight="1">
      <c r="A273" s="2958">
        <v>272</v>
      </c>
      <c r="B273" s="2959" t="s">
        <v>3122</v>
      </c>
      <c r="C273" s="2959" t="s">
        <v>3406</v>
      </c>
      <c r="D273" s="2959" t="s">
        <v>3407</v>
      </c>
      <c r="E273" s="2959" t="s">
        <v>3125</v>
      </c>
      <c r="F273" s="2960">
        <v>2505</v>
      </c>
      <c r="G273" s="2959" t="s">
        <v>3415</v>
      </c>
      <c r="H273" s="2959">
        <v>118.5</v>
      </c>
      <c r="I273" s="2959">
        <v>90.81</v>
      </c>
    </row>
    <row r="274" spans="1:9" s="2956" customFormat="1" ht="18.75" customHeight="1">
      <c r="A274" s="2958">
        <v>273</v>
      </c>
      <c r="B274" s="2959" t="s">
        <v>3122</v>
      </c>
      <c r="C274" s="2959" t="s">
        <v>3406</v>
      </c>
      <c r="D274" s="2959" t="s">
        <v>3416</v>
      </c>
      <c r="E274" s="2959" t="s">
        <v>3125</v>
      </c>
      <c r="F274" s="2960">
        <v>101</v>
      </c>
      <c r="G274" s="2959" t="s">
        <v>3417</v>
      </c>
      <c r="H274" s="2959">
        <v>117.46</v>
      </c>
      <c r="I274" s="2959">
        <v>90.66</v>
      </c>
    </row>
    <row r="275" spans="1:9" s="2956" customFormat="1" ht="18.75" customHeight="1">
      <c r="A275" s="2958">
        <v>274</v>
      </c>
      <c r="B275" s="2959" t="s">
        <v>3122</v>
      </c>
      <c r="C275" s="2959" t="s">
        <v>3406</v>
      </c>
      <c r="D275" s="2959" t="s">
        <v>3416</v>
      </c>
      <c r="E275" s="2959" t="s">
        <v>3125</v>
      </c>
      <c r="F275" s="2960">
        <v>102</v>
      </c>
      <c r="G275" s="2959" t="s">
        <v>3418</v>
      </c>
      <c r="H275" s="2959">
        <v>140.44999999999999</v>
      </c>
      <c r="I275" s="2959">
        <v>108.4</v>
      </c>
    </row>
    <row r="276" spans="1:9" s="2956" customFormat="1" ht="18.75" customHeight="1">
      <c r="A276" s="2958">
        <v>275</v>
      </c>
      <c r="B276" s="2959" t="s">
        <v>3122</v>
      </c>
      <c r="C276" s="2959" t="s">
        <v>3406</v>
      </c>
      <c r="D276" s="2959" t="s">
        <v>3416</v>
      </c>
      <c r="E276" s="2959" t="s">
        <v>3125</v>
      </c>
      <c r="F276" s="2960">
        <v>103</v>
      </c>
      <c r="G276" s="2959" t="s">
        <v>3419</v>
      </c>
      <c r="H276" s="2959">
        <v>121.33</v>
      </c>
      <c r="I276" s="2959">
        <v>93.64</v>
      </c>
    </row>
    <row r="277" spans="1:9" s="2956" customFormat="1" ht="18.75" customHeight="1">
      <c r="A277" s="2958">
        <v>276</v>
      </c>
      <c r="B277" s="2959" t="s">
        <v>3122</v>
      </c>
      <c r="C277" s="2959" t="s">
        <v>3406</v>
      </c>
      <c r="D277" s="2959" t="s">
        <v>3416</v>
      </c>
      <c r="E277" s="2959" t="s">
        <v>3125</v>
      </c>
      <c r="F277" s="2960">
        <v>104</v>
      </c>
      <c r="G277" s="2959" t="s">
        <v>3420</v>
      </c>
      <c r="H277" s="2959">
        <v>158.43</v>
      </c>
      <c r="I277" s="2959">
        <v>122.28</v>
      </c>
    </row>
    <row r="278" spans="1:9" s="2956" customFormat="1" ht="18.75" customHeight="1">
      <c r="A278" s="2958">
        <v>277</v>
      </c>
      <c r="B278" s="2959" t="s">
        <v>3122</v>
      </c>
      <c r="C278" s="2959" t="s">
        <v>3406</v>
      </c>
      <c r="D278" s="2959" t="s">
        <v>3416</v>
      </c>
      <c r="E278" s="2959" t="s">
        <v>3125</v>
      </c>
      <c r="F278" s="2960">
        <v>105</v>
      </c>
      <c r="G278" s="2959" t="s">
        <v>3421</v>
      </c>
      <c r="H278" s="2959">
        <v>117.14</v>
      </c>
      <c r="I278" s="2959">
        <v>90.41</v>
      </c>
    </row>
    <row r="279" spans="1:9" ht="18.75" customHeight="1">
      <c r="A279" s="2958">
        <v>278</v>
      </c>
      <c r="B279" s="2959" t="s">
        <v>3122</v>
      </c>
      <c r="C279" s="2959" t="s">
        <v>3406</v>
      </c>
      <c r="D279" s="2959" t="s">
        <v>3416</v>
      </c>
      <c r="E279" s="2959" t="s">
        <v>3125</v>
      </c>
      <c r="F279" s="2960">
        <v>201</v>
      </c>
      <c r="G279" s="2959" t="s">
        <v>3422</v>
      </c>
      <c r="H279" s="2959">
        <v>118.06</v>
      </c>
      <c r="I279" s="2959">
        <v>91.12</v>
      </c>
    </row>
    <row r="280" spans="1:9" ht="18.75" customHeight="1">
      <c r="A280" s="2958">
        <v>279</v>
      </c>
      <c r="B280" s="2959" t="s">
        <v>3122</v>
      </c>
      <c r="C280" s="2959" t="s">
        <v>3406</v>
      </c>
      <c r="D280" s="2959" t="s">
        <v>3416</v>
      </c>
      <c r="E280" s="2959" t="s">
        <v>3125</v>
      </c>
      <c r="F280" s="2960">
        <v>301</v>
      </c>
      <c r="G280" s="2959" t="s">
        <v>3423</v>
      </c>
      <c r="H280" s="2959">
        <v>118.06</v>
      </c>
      <c r="I280" s="2959">
        <v>91.12</v>
      </c>
    </row>
    <row r="281" spans="1:9" ht="18.75" customHeight="1">
      <c r="A281" s="2958">
        <v>280</v>
      </c>
      <c r="B281" s="2959" t="s">
        <v>3122</v>
      </c>
      <c r="C281" s="2959" t="s">
        <v>3406</v>
      </c>
      <c r="D281" s="2959" t="s">
        <v>3416</v>
      </c>
      <c r="E281" s="2959" t="s">
        <v>3125</v>
      </c>
      <c r="F281" s="2960">
        <v>1801</v>
      </c>
      <c r="G281" s="2959" t="s">
        <v>3424</v>
      </c>
      <c r="H281" s="2959">
        <v>118.06</v>
      </c>
      <c r="I281" s="2959">
        <v>91.12</v>
      </c>
    </row>
    <row r="282" spans="1:9" ht="18.75" customHeight="1">
      <c r="A282" s="2958">
        <v>281</v>
      </c>
      <c r="B282" s="2959" t="s">
        <v>3122</v>
      </c>
      <c r="C282" s="2959" t="s">
        <v>3406</v>
      </c>
      <c r="D282" s="2959" t="s">
        <v>3416</v>
      </c>
      <c r="E282" s="2959" t="s">
        <v>3125</v>
      </c>
      <c r="F282" s="2960">
        <v>2201</v>
      </c>
      <c r="G282" s="2959" t="s">
        <v>3425</v>
      </c>
      <c r="H282" s="2959">
        <v>118.06</v>
      </c>
      <c r="I282" s="2959">
        <v>91.12</v>
      </c>
    </row>
    <row r="283" spans="1:9" ht="18.75" customHeight="1">
      <c r="A283" s="2958">
        <v>282</v>
      </c>
      <c r="B283" s="2959" t="s">
        <v>3122</v>
      </c>
      <c r="C283" s="2959" t="s">
        <v>3406</v>
      </c>
      <c r="D283" s="2959" t="s">
        <v>3416</v>
      </c>
      <c r="E283" s="2959" t="s">
        <v>3125</v>
      </c>
      <c r="F283" s="2960">
        <v>2501</v>
      </c>
      <c r="G283" s="2959" t="s">
        <v>3426</v>
      </c>
      <c r="H283" s="2959">
        <v>118.06</v>
      </c>
      <c r="I283" s="2959">
        <v>91.12</v>
      </c>
    </row>
    <row r="284" spans="1:9" ht="18.75" customHeight="1">
      <c r="A284" s="2958">
        <v>283</v>
      </c>
      <c r="B284" s="2959" t="s">
        <v>3122</v>
      </c>
      <c r="C284" s="2959" t="s">
        <v>3406</v>
      </c>
      <c r="D284" s="2959" t="s">
        <v>3416</v>
      </c>
      <c r="E284" s="2959" t="s">
        <v>3125</v>
      </c>
      <c r="F284" s="2960">
        <v>2503</v>
      </c>
      <c r="G284" s="2959" t="s">
        <v>3427</v>
      </c>
      <c r="H284" s="2959">
        <v>121.86</v>
      </c>
      <c r="I284" s="2959">
        <v>94.05</v>
      </c>
    </row>
    <row r="285" spans="1:9" ht="18.75" customHeight="1">
      <c r="A285" s="2958">
        <v>284</v>
      </c>
      <c r="B285" s="2959" t="s">
        <v>3122</v>
      </c>
      <c r="C285" s="2959" t="s">
        <v>3406</v>
      </c>
      <c r="D285" s="2959" t="s">
        <v>3416</v>
      </c>
      <c r="E285" s="2959" t="s">
        <v>3125</v>
      </c>
      <c r="F285" s="2960">
        <v>2505</v>
      </c>
      <c r="G285" s="2959" t="s">
        <v>3428</v>
      </c>
      <c r="H285" s="2959">
        <v>117.66</v>
      </c>
      <c r="I285" s="2959">
        <v>90.81</v>
      </c>
    </row>
    <row r="286" spans="1:9" s="2956" customFormat="1" ht="18.75" customHeight="1">
      <c r="A286" s="2958">
        <v>285</v>
      </c>
      <c r="B286" s="2959" t="s">
        <v>3122</v>
      </c>
      <c r="C286" s="2959" t="s">
        <v>3406</v>
      </c>
      <c r="D286" s="2959" t="s">
        <v>3429</v>
      </c>
      <c r="E286" s="2959" t="s">
        <v>3125</v>
      </c>
      <c r="F286" s="2960">
        <v>101</v>
      </c>
      <c r="G286" s="2959" t="s">
        <v>3430</v>
      </c>
      <c r="H286" s="2959">
        <v>117.46</v>
      </c>
      <c r="I286" s="2959">
        <v>90.66</v>
      </c>
    </row>
    <row r="287" spans="1:9" s="2956" customFormat="1" ht="18.75" customHeight="1">
      <c r="A287" s="2958">
        <v>286</v>
      </c>
      <c r="B287" s="2959" t="s">
        <v>3122</v>
      </c>
      <c r="C287" s="2959" t="s">
        <v>3406</v>
      </c>
      <c r="D287" s="2959" t="s">
        <v>3429</v>
      </c>
      <c r="E287" s="2959" t="s">
        <v>3125</v>
      </c>
      <c r="F287" s="2960">
        <v>102</v>
      </c>
      <c r="G287" s="2959" t="s">
        <v>3431</v>
      </c>
      <c r="H287" s="2959">
        <v>140.44999999999999</v>
      </c>
      <c r="I287" s="2959">
        <v>108.4</v>
      </c>
    </row>
    <row r="288" spans="1:9" s="2956" customFormat="1" ht="18.75" customHeight="1">
      <c r="A288" s="2958">
        <v>287</v>
      </c>
      <c r="B288" s="2959" t="s">
        <v>3122</v>
      </c>
      <c r="C288" s="2959" t="s">
        <v>3406</v>
      </c>
      <c r="D288" s="2959" t="s">
        <v>3429</v>
      </c>
      <c r="E288" s="2959" t="s">
        <v>3125</v>
      </c>
      <c r="F288" s="2960">
        <v>103</v>
      </c>
      <c r="G288" s="2959" t="s">
        <v>3432</v>
      </c>
      <c r="H288" s="2959">
        <v>121.33</v>
      </c>
      <c r="I288" s="2959">
        <v>93.64</v>
      </c>
    </row>
    <row r="289" spans="1:9" s="2956" customFormat="1" ht="18.75" customHeight="1">
      <c r="A289" s="2958">
        <v>288</v>
      </c>
      <c r="B289" s="2959" t="s">
        <v>3122</v>
      </c>
      <c r="C289" s="2959" t="s">
        <v>3406</v>
      </c>
      <c r="D289" s="2959" t="s">
        <v>3429</v>
      </c>
      <c r="E289" s="2959" t="s">
        <v>3125</v>
      </c>
      <c r="F289" s="2960">
        <v>104</v>
      </c>
      <c r="G289" s="2959" t="s">
        <v>3433</v>
      </c>
      <c r="H289" s="2959">
        <v>158.43</v>
      </c>
      <c r="I289" s="2959">
        <v>122.28</v>
      </c>
    </row>
    <row r="290" spans="1:9" s="2956" customFormat="1" ht="18.75" customHeight="1">
      <c r="A290" s="2958">
        <v>289</v>
      </c>
      <c r="B290" s="2959" t="s">
        <v>3122</v>
      </c>
      <c r="C290" s="2959" t="s">
        <v>3406</v>
      </c>
      <c r="D290" s="2959" t="s">
        <v>3429</v>
      </c>
      <c r="E290" s="2959" t="s">
        <v>3125</v>
      </c>
      <c r="F290" s="2960">
        <v>105</v>
      </c>
      <c r="G290" s="2959" t="s">
        <v>3434</v>
      </c>
      <c r="H290" s="2959">
        <v>117.14</v>
      </c>
      <c r="I290" s="2959">
        <v>90.41</v>
      </c>
    </row>
    <row r="291" spans="1:9" ht="18.75" customHeight="1">
      <c r="A291" s="2958">
        <v>290</v>
      </c>
      <c r="B291" s="2959" t="s">
        <v>3122</v>
      </c>
      <c r="C291" s="2959" t="s">
        <v>3406</v>
      </c>
      <c r="D291" s="2959" t="s">
        <v>3429</v>
      </c>
      <c r="E291" s="2959" t="s">
        <v>3125</v>
      </c>
      <c r="F291" s="2960">
        <v>201</v>
      </c>
      <c r="G291" s="2959" t="s">
        <v>3435</v>
      </c>
      <c r="H291" s="2959">
        <v>118.06</v>
      </c>
      <c r="I291" s="2959">
        <v>91.12</v>
      </c>
    </row>
    <row r="292" spans="1:9" ht="18.75" customHeight="1">
      <c r="A292" s="2958">
        <v>291</v>
      </c>
      <c r="B292" s="2959" t="s">
        <v>3122</v>
      </c>
      <c r="C292" s="2959" t="s">
        <v>3406</v>
      </c>
      <c r="D292" s="2959" t="s">
        <v>3429</v>
      </c>
      <c r="E292" s="2959" t="s">
        <v>3125</v>
      </c>
      <c r="F292" s="2960">
        <v>1101</v>
      </c>
      <c r="G292" s="2959" t="s">
        <v>3436</v>
      </c>
      <c r="H292" s="2959">
        <v>118.06</v>
      </c>
      <c r="I292" s="2959">
        <v>91.12</v>
      </c>
    </row>
    <row r="293" spans="1:9" ht="18.75" customHeight="1">
      <c r="A293" s="2958">
        <v>292</v>
      </c>
      <c r="B293" s="2959" t="s">
        <v>3122</v>
      </c>
      <c r="C293" s="2959" t="s">
        <v>3406</v>
      </c>
      <c r="D293" s="2959" t="s">
        <v>3429</v>
      </c>
      <c r="E293" s="2959" t="s">
        <v>3125</v>
      </c>
      <c r="F293" s="2960">
        <v>1701</v>
      </c>
      <c r="G293" s="2959" t="s">
        <v>3437</v>
      </c>
      <c r="H293" s="2959">
        <v>118.06</v>
      </c>
      <c r="I293" s="2959">
        <v>91.12</v>
      </c>
    </row>
    <row r="294" spans="1:9" ht="18.75" customHeight="1">
      <c r="A294" s="2958">
        <v>293</v>
      </c>
      <c r="B294" s="2959" t="s">
        <v>3122</v>
      </c>
      <c r="C294" s="2959" t="s">
        <v>3406</v>
      </c>
      <c r="D294" s="2959" t="s">
        <v>3429</v>
      </c>
      <c r="E294" s="2959" t="s">
        <v>3125</v>
      </c>
      <c r="F294" s="2960">
        <v>1801</v>
      </c>
      <c r="G294" s="2959" t="s">
        <v>3438</v>
      </c>
      <c r="H294" s="2959">
        <v>118.06</v>
      </c>
      <c r="I294" s="2959">
        <v>91.12</v>
      </c>
    </row>
    <row r="295" spans="1:9" ht="18.75" customHeight="1">
      <c r="A295" s="2958">
        <v>294</v>
      </c>
      <c r="B295" s="2959" t="s">
        <v>3122</v>
      </c>
      <c r="C295" s="2959" t="s">
        <v>3406</v>
      </c>
      <c r="D295" s="2959" t="s">
        <v>3429</v>
      </c>
      <c r="E295" s="2959" t="s">
        <v>3125</v>
      </c>
      <c r="F295" s="2960">
        <v>2101</v>
      </c>
      <c r="G295" s="2959" t="s">
        <v>3439</v>
      </c>
      <c r="H295" s="2959">
        <v>118.06</v>
      </c>
      <c r="I295" s="2959">
        <v>91.12</v>
      </c>
    </row>
    <row r="296" spans="1:9" ht="18.75" customHeight="1">
      <c r="A296" s="2958">
        <v>295</v>
      </c>
      <c r="B296" s="2959" t="s">
        <v>3122</v>
      </c>
      <c r="C296" s="2959" t="s">
        <v>3406</v>
      </c>
      <c r="D296" s="2959" t="s">
        <v>3429</v>
      </c>
      <c r="E296" s="2959" t="s">
        <v>3125</v>
      </c>
      <c r="F296" s="2960">
        <v>2501</v>
      </c>
      <c r="G296" s="2959" t="s">
        <v>3440</v>
      </c>
      <c r="H296" s="2959">
        <v>118.06</v>
      </c>
      <c r="I296" s="2959">
        <v>91.12</v>
      </c>
    </row>
    <row r="297" spans="1:9" s="2956" customFormat="1" ht="18.75" customHeight="1">
      <c r="A297" s="2958">
        <v>296</v>
      </c>
      <c r="B297" s="2959" t="s">
        <v>3122</v>
      </c>
      <c r="C297" s="2959" t="s">
        <v>3406</v>
      </c>
      <c r="D297" s="2959" t="s">
        <v>3441</v>
      </c>
      <c r="E297" s="2959" t="s">
        <v>3125</v>
      </c>
      <c r="F297" s="2960">
        <v>101</v>
      </c>
      <c r="G297" s="2959" t="s">
        <v>3442</v>
      </c>
      <c r="H297" s="2959">
        <v>118.33</v>
      </c>
      <c r="I297" s="2959">
        <v>90.66</v>
      </c>
    </row>
    <row r="298" spans="1:9" s="2956" customFormat="1" ht="18.75" customHeight="1">
      <c r="A298" s="2958">
        <v>297</v>
      </c>
      <c r="B298" s="2959" t="s">
        <v>3122</v>
      </c>
      <c r="C298" s="2959" t="s">
        <v>3406</v>
      </c>
      <c r="D298" s="2959" t="s">
        <v>3441</v>
      </c>
      <c r="E298" s="2959" t="s">
        <v>3125</v>
      </c>
      <c r="F298" s="2960">
        <v>102</v>
      </c>
      <c r="G298" s="2959" t="s">
        <v>3443</v>
      </c>
      <c r="H298" s="2959">
        <v>141.47999999999999</v>
      </c>
      <c r="I298" s="2959">
        <v>108.4</v>
      </c>
    </row>
    <row r="299" spans="1:9" s="2956" customFormat="1" ht="18.75" customHeight="1">
      <c r="A299" s="2958">
        <v>298</v>
      </c>
      <c r="B299" s="2959" t="s">
        <v>3122</v>
      </c>
      <c r="C299" s="2959" t="s">
        <v>3406</v>
      </c>
      <c r="D299" s="2959" t="s">
        <v>3441</v>
      </c>
      <c r="E299" s="2959" t="s">
        <v>3125</v>
      </c>
      <c r="F299" s="2960">
        <v>103</v>
      </c>
      <c r="G299" s="2959" t="s">
        <v>3444</v>
      </c>
      <c r="H299" s="2959">
        <v>141.36000000000001</v>
      </c>
      <c r="I299" s="2959">
        <v>108.31</v>
      </c>
    </row>
    <row r="300" spans="1:9" s="2956" customFormat="1" ht="18.75" customHeight="1">
      <c r="A300" s="2958">
        <v>299</v>
      </c>
      <c r="B300" s="2959" t="s">
        <v>3122</v>
      </c>
      <c r="C300" s="2959" t="s">
        <v>3406</v>
      </c>
      <c r="D300" s="2959" t="s">
        <v>3441</v>
      </c>
      <c r="E300" s="2959" t="s">
        <v>3125</v>
      </c>
      <c r="F300" s="2960">
        <v>104</v>
      </c>
      <c r="G300" s="2959" t="s">
        <v>3445</v>
      </c>
      <c r="H300" s="2959">
        <v>118</v>
      </c>
      <c r="I300" s="2959">
        <v>90.41</v>
      </c>
    </row>
    <row r="301" spans="1:9" ht="18.75" customHeight="1">
      <c r="A301" s="2958">
        <v>300</v>
      </c>
      <c r="B301" s="2959" t="s">
        <v>3122</v>
      </c>
      <c r="C301" s="2959" t="s">
        <v>3406</v>
      </c>
      <c r="D301" s="2959" t="s">
        <v>3441</v>
      </c>
      <c r="E301" s="2959" t="s">
        <v>3125</v>
      </c>
      <c r="F301" s="2960">
        <v>201</v>
      </c>
      <c r="G301" s="2959" t="s">
        <v>3446</v>
      </c>
      <c r="H301" s="2959">
        <v>118.93</v>
      </c>
      <c r="I301" s="2959">
        <v>91.12</v>
      </c>
    </row>
    <row r="302" spans="1:9" ht="18.75" customHeight="1">
      <c r="A302" s="2958">
        <v>301</v>
      </c>
      <c r="B302" s="2959" t="s">
        <v>3122</v>
      </c>
      <c r="C302" s="2959" t="s">
        <v>3406</v>
      </c>
      <c r="D302" s="2959" t="s">
        <v>3441</v>
      </c>
      <c r="E302" s="2959" t="s">
        <v>3125</v>
      </c>
      <c r="F302" s="2960">
        <v>401</v>
      </c>
      <c r="G302" s="2959" t="s">
        <v>3447</v>
      </c>
      <c r="H302" s="2959">
        <v>118.93</v>
      </c>
      <c r="I302" s="2959">
        <v>91.12</v>
      </c>
    </row>
    <row r="303" spans="1:9" ht="18.75" customHeight="1">
      <c r="A303" s="2958">
        <v>302</v>
      </c>
      <c r="B303" s="2959" t="s">
        <v>3122</v>
      </c>
      <c r="C303" s="2959" t="s">
        <v>3406</v>
      </c>
      <c r="D303" s="2959" t="s">
        <v>3441</v>
      </c>
      <c r="E303" s="2959" t="s">
        <v>3125</v>
      </c>
      <c r="F303" s="2960">
        <v>2401</v>
      </c>
      <c r="G303" s="2959" t="s">
        <v>3448</v>
      </c>
      <c r="H303" s="2959">
        <v>118.93</v>
      </c>
      <c r="I303" s="2959">
        <v>91.12</v>
      </c>
    </row>
    <row r="304" spans="1:9" ht="18.75" customHeight="1">
      <c r="A304" s="2958">
        <v>303</v>
      </c>
      <c r="B304" s="2959" t="s">
        <v>3122</v>
      </c>
      <c r="C304" s="2959" t="s">
        <v>3406</v>
      </c>
      <c r="D304" s="2959" t="s">
        <v>3441</v>
      </c>
      <c r="E304" s="2959" t="s">
        <v>3125</v>
      </c>
      <c r="F304" s="2960">
        <v>2405</v>
      </c>
      <c r="G304" s="2959" t="s">
        <v>3449</v>
      </c>
      <c r="H304" s="2959">
        <v>118.52</v>
      </c>
      <c r="I304" s="2959">
        <v>90.81</v>
      </c>
    </row>
    <row r="305" spans="1:9" ht="18.75" customHeight="1">
      <c r="A305" s="2958">
        <v>304</v>
      </c>
      <c r="B305" s="2959" t="s">
        <v>3122</v>
      </c>
      <c r="C305" s="2959" t="s">
        <v>3406</v>
      </c>
      <c r="D305" s="2959" t="s">
        <v>3441</v>
      </c>
      <c r="E305" s="2959" t="s">
        <v>3125</v>
      </c>
      <c r="F305" s="2960">
        <v>2501</v>
      </c>
      <c r="G305" s="2959" t="s">
        <v>3450</v>
      </c>
      <c r="H305" s="2959">
        <v>118.93</v>
      </c>
      <c r="I305" s="2959">
        <v>91.12</v>
      </c>
    </row>
    <row r="306" spans="1:9" ht="18.75" customHeight="1">
      <c r="A306" s="2958">
        <v>305</v>
      </c>
      <c r="B306" s="2959" t="s">
        <v>3122</v>
      </c>
      <c r="C306" s="2959" t="s">
        <v>3406</v>
      </c>
      <c r="D306" s="2959" t="s">
        <v>3441</v>
      </c>
      <c r="E306" s="2959" t="s">
        <v>3125</v>
      </c>
      <c r="F306" s="2960">
        <v>2505</v>
      </c>
      <c r="G306" s="2959" t="s">
        <v>3451</v>
      </c>
      <c r="H306" s="2959">
        <v>118.52</v>
      </c>
      <c r="I306" s="2959">
        <v>90.81</v>
      </c>
    </row>
    <row r="307" spans="1:9" s="2956" customFormat="1" ht="18.75" customHeight="1">
      <c r="A307" s="2958">
        <v>306</v>
      </c>
      <c r="B307" s="2959" t="s">
        <v>3122</v>
      </c>
      <c r="C307" s="2959" t="s">
        <v>3406</v>
      </c>
      <c r="D307" s="2959" t="s">
        <v>3452</v>
      </c>
      <c r="E307" s="2959" t="s">
        <v>3125</v>
      </c>
      <c r="F307" s="2960">
        <v>101</v>
      </c>
      <c r="G307" s="2959" t="s">
        <v>3453</v>
      </c>
      <c r="H307" s="2959">
        <v>117.46</v>
      </c>
      <c r="I307" s="2959">
        <v>90.66</v>
      </c>
    </row>
    <row r="308" spans="1:9" s="2956" customFormat="1" ht="18.75" customHeight="1">
      <c r="A308" s="2958">
        <v>307</v>
      </c>
      <c r="B308" s="2959" t="s">
        <v>3122</v>
      </c>
      <c r="C308" s="2959" t="s">
        <v>3406</v>
      </c>
      <c r="D308" s="2959" t="s">
        <v>3452</v>
      </c>
      <c r="E308" s="2959" t="s">
        <v>3125</v>
      </c>
      <c r="F308" s="2960">
        <v>102</v>
      </c>
      <c r="G308" s="2959" t="s">
        <v>3454</v>
      </c>
      <c r="H308" s="2959">
        <v>140.44999999999999</v>
      </c>
      <c r="I308" s="2959">
        <v>108.4</v>
      </c>
    </row>
    <row r="309" spans="1:9" s="2956" customFormat="1" ht="18.75" customHeight="1">
      <c r="A309" s="2958">
        <v>308</v>
      </c>
      <c r="B309" s="2959" t="s">
        <v>3122</v>
      </c>
      <c r="C309" s="2959" t="s">
        <v>3406</v>
      </c>
      <c r="D309" s="2959" t="s">
        <v>3452</v>
      </c>
      <c r="E309" s="2959" t="s">
        <v>3125</v>
      </c>
      <c r="F309" s="2960">
        <v>103</v>
      </c>
      <c r="G309" s="2959" t="s">
        <v>3455</v>
      </c>
      <c r="H309" s="2959">
        <v>121.33</v>
      </c>
      <c r="I309" s="2959">
        <v>93.64</v>
      </c>
    </row>
    <row r="310" spans="1:9" s="2956" customFormat="1" ht="18.75" customHeight="1">
      <c r="A310" s="2958">
        <v>309</v>
      </c>
      <c r="B310" s="2959" t="s">
        <v>3122</v>
      </c>
      <c r="C310" s="2959" t="s">
        <v>3406</v>
      </c>
      <c r="D310" s="2959" t="s">
        <v>3452</v>
      </c>
      <c r="E310" s="2959" t="s">
        <v>3125</v>
      </c>
      <c r="F310" s="2960">
        <v>104</v>
      </c>
      <c r="G310" s="2959" t="s">
        <v>3456</v>
      </c>
      <c r="H310" s="2959">
        <v>158.43</v>
      </c>
      <c r="I310" s="2959">
        <v>122.28</v>
      </c>
    </row>
    <row r="311" spans="1:9" s="2956" customFormat="1" ht="18.75" customHeight="1">
      <c r="A311" s="2958">
        <v>310</v>
      </c>
      <c r="B311" s="2959" t="s">
        <v>3122</v>
      </c>
      <c r="C311" s="2959" t="s">
        <v>3406</v>
      </c>
      <c r="D311" s="2959" t="s">
        <v>3452</v>
      </c>
      <c r="E311" s="2959" t="s">
        <v>3125</v>
      </c>
      <c r="F311" s="2960">
        <v>105</v>
      </c>
      <c r="G311" s="2959" t="s">
        <v>3457</v>
      </c>
      <c r="H311" s="2959">
        <v>117.14</v>
      </c>
      <c r="I311" s="2959">
        <v>90.41</v>
      </c>
    </row>
    <row r="312" spans="1:9" ht="18.75" customHeight="1">
      <c r="A312" s="2958">
        <v>311</v>
      </c>
      <c r="B312" s="2959" t="s">
        <v>3122</v>
      </c>
      <c r="C312" s="2959" t="s">
        <v>3406</v>
      </c>
      <c r="D312" s="2959" t="s">
        <v>3452</v>
      </c>
      <c r="E312" s="2959" t="s">
        <v>3125</v>
      </c>
      <c r="F312" s="2960">
        <v>201</v>
      </c>
      <c r="G312" s="2959" t="s">
        <v>3458</v>
      </c>
      <c r="H312" s="2959">
        <v>118.06</v>
      </c>
      <c r="I312" s="2959">
        <v>91.12</v>
      </c>
    </row>
    <row r="313" spans="1:9" ht="18.75" customHeight="1">
      <c r="A313" s="2958">
        <v>312</v>
      </c>
      <c r="B313" s="2959" t="s">
        <v>3122</v>
      </c>
      <c r="C313" s="2959" t="s">
        <v>3406</v>
      </c>
      <c r="D313" s="2959" t="s">
        <v>3452</v>
      </c>
      <c r="E313" s="2959" t="s">
        <v>3125</v>
      </c>
      <c r="F313" s="2960">
        <v>301</v>
      </c>
      <c r="G313" s="2959" t="s">
        <v>3459</v>
      </c>
      <c r="H313" s="2959">
        <v>118.06</v>
      </c>
      <c r="I313" s="2959">
        <v>91.12</v>
      </c>
    </row>
    <row r="314" spans="1:9" ht="18.75" customHeight="1">
      <c r="A314" s="2958">
        <v>313</v>
      </c>
      <c r="B314" s="2959" t="s">
        <v>3122</v>
      </c>
      <c r="C314" s="2959" t="s">
        <v>3406</v>
      </c>
      <c r="D314" s="2959" t="s">
        <v>3452</v>
      </c>
      <c r="E314" s="2959" t="s">
        <v>3125</v>
      </c>
      <c r="F314" s="2960">
        <v>2501</v>
      </c>
      <c r="G314" s="2959" t="s">
        <v>3460</v>
      </c>
      <c r="H314" s="2959">
        <v>118.06</v>
      </c>
      <c r="I314" s="2959">
        <v>91.12</v>
      </c>
    </row>
    <row r="315" spans="1:9" ht="18.75" customHeight="1">
      <c r="A315" s="2958">
        <v>314</v>
      </c>
      <c r="B315" s="2959" t="s">
        <v>3122</v>
      </c>
      <c r="C315" s="2959" t="s">
        <v>3406</v>
      </c>
      <c r="D315" s="2959" t="s">
        <v>3452</v>
      </c>
      <c r="E315" s="2959" t="s">
        <v>3125</v>
      </c>
      <c r="F315" s="2960">
        <v>2503</v>
      </c>
      <c r="G315" s="2959" t="s">
        <v>3461</v>
      </c>
      <c r="H315" s="2959">
        <v>121.86</v>
      </c>
      <c r="I315" s="2959">
        <v>94.05</v>
      </c>
    </row>
    <row r="316" spans="1:9" ht="18.75" customHeight="1">
      <c r="A316" s="2958">
        <v>315</v>
      </c>
      <c r="B316" s="2959" t="s">
        <v>3122</v>
      </c>
      <c r="C316" s="2959" t="s">
        <v>3406</v>
      </c>
      <c r="D316" s="2959" t="s">
        <v>3452</v>
      </c>
      <c r="E316" s="2959" t="s">
        <v>3125</v>
      </c>
      <c r="F316" s="2960">
        <v>2505</v>
      </c>
      <c r="G316" s="2959" t="s">
        <v>3462</v>
      </c>
      <c r="H316" s="2959">
        <v>117.66</v>
      </c>
      <c r="I316" s="2959">
        <v>90.81</v>
      </c>
    </row>
    <row r="317" spans="1:9" s="2956" customFormat="1" ht="18.75" customHeight="1">
      <c r="A317" s="2958">
        <v>316</v>
      </c>
      <c r="B317" s="2959" t="s">
        <v>3122</v>
      </c>
      <c r="C317" s="2959" t="s">
        <v>3463</v>
      </c>
      <c r="D317" s="2959" t="s">
        <v>3464</v>
      </c>
      <c r="E317" s="2959" t="s">
        <v>3125</v>
      </c>
      <c r="F317" s="2960">
        <v>101</v>
      </c>
      <c r="G317" s="2959" t="s">
        <v>3465</v>
      </c>
      <c r="H317" s="2959">
        <v>157.41999999999999</v>
      </c>
      <c r="I317" s="2959">
        <v>121.27</v>
      </c>
    </row>
    <row r="318" spans="1:9" s="2956" customFormat="1" ht="18.75" customHeight="1">
      <c r="A318" s="2958">
        <v>317</v>
      </c>
      <c r="B318" s="2959" t="s">
        <v>3122</v>
      </c>
      <c r="C318" s="2959" t="s">
        <v>3463</v>
      </c>
      <c r="D318" s="2959" t="s">
        <v>3464</v>
      </c>
      <c r="E318" s="2959" t="s">
        <v>3125</v>
      </c>
      <c r="F318" s="2960">
        <v>102</v>
      </c>
      <c r="G318" s="2959" t="s">
        <v>3466</v>
      </c>
      <c r="H318" s="2959">
        <v>157.58000000000001</v>
      </c>
      <c r="I318" s="2959">
        <v>121.39</v>
      </c>
    </row>
    <row r="319" spans="1:9" s="2956" customFormat="1" ht="18.75" customHeight="1">
      <c r="A319" s="2958">
        <v>318</v>
      </c>
      <c r="B319" s="2959" t="s">
        <v>3122</v>
      </c>
      <c r="C319" s="2959" t="s">
        <v>3463</v>
      </c>
      <c r="D319" s="2959" t="s">
        <v>3464</v>
      </c>
      <c r="E319" s="2959" t="s">
        <v>3125</v>
      </c>
      <c r="F319" s="2960">
        <v>103</v>
      </c>
      <c r="G319" s="2959" t="s">
        <v>3467</v>
      </c>
      <c r="H319" s="2959">
        <v>116.71</v>
      </c>
      <c r="I319" s="2959">
        <v>89.91</v>
      </c>
    </row>
    <row r="320" spans="1:9" s="2956" customFormat="1" ht="18.75" customHeight="1">
      <c r="A320" s="2958">
        <v>319</v>
      </c>
      <c r="B320" s="2959" t="s">
        <v>3122</v>
      </c>
      <c r="C320" s="2959" t="s">
        <v>3463</v>
      </c>
      <c r="D320" s="2959" t="s">
        <v>3464</v>
      </c>
      <c r="E320" s="2959" t="s">
        <v>3125</v>
      </c>
      <c r="F320" s="2960">
        <v>104</v>
      </c>
      <c r="G320" s="2959" t="s">
        <v>3468</v>
      </c>
      <c r="H320" s="2959">
        <v>116.29</v>
      </c>
      <c r="I320" s="2959">
        <v>89.58</v>
      </c>
    </row>
    <row r="321" spans="1:9" ht="18.75" customHeight="1">
      <c r="A321" s="2958">
        <v>320</v>
      </c>
      <c r="B321" s="2959" t="s">
        <v>3122</v>
      </c>
      <c r="C321" s="2959" t="s">
        <v>3463</v>
      </c>
      <c r="D321" s="2959" t="s">
        <v>3464</v>
      </c>
      <c r="E321" s="2959" t="s">
        <v>3125</v>
      </c>
      <c r="F321" s="2960">
        <v>201</v>
      </c>
      <c r="G321" s="2959" t="s">
        <v>3469</v>
      </c>
      <c r="H321" s="2959">
        <v>157.41999999999999</v>
      </c>
      <c r="I321" s="2959">
        <v>121.27</v>
      </c>
    </row>
    <row r="322" spans="1:9" ht="18.75" customHeight="1">
      <c r="A322" s="2958">
        <v>321</v>
      </c>
      <c r="B322" s="2959" t="s">
        <v>3122</v>
      </c>
      <c r="C322" s="2959" t="s">
        <v>3463</v>
      </c>
      <c r="D322" s="2959" t="s">
        <v>3464</v>
      </c>
      <c r="E322" s="2959" t="s">
        <v>3125</v>
      </c>
      <c r="F322" s="2960">
        <v>202</v>
      </c>
      <c r="G322" s="2959" t="s">
        <v>3470</v>
      </c>
      <c r="H322" s="2959">
        <v>120.36</v>
      </c>
      <c r="I322" s="2959">
        <v>92.72</v>
      </c>
    </row>
    <row r="323" spans="1:9" ht="18.75" customHeight="1">
      <c r="A323" s="2958">
        <v>322</v>
      </c>
      <c r="B323" s="2959" t="s">
        <v>3122</v>
      </c>
      <c r="C323" s="2959" t="s">
        <v>3463</v>
      </c>
      <c r="D323" s="2959" t="s">
        <v>3464</v>
      </c>
      <c r="E323" s="2959" t="s">
        <v>3125</v>
      </c>
      <c r="F323" s="2960">
        <v>203</v>
      </c>
      <c r="G323" s="2959" t="s">
        <v>3471</v>
      </c>
      <c r="H323" s="2959">
        <v>157.52000000000001</v>
      </c>
      <c r="I323" s="2959">
        <v>121.34</v>
      </c>
    </row>
    <row r="324" spans="1:9" ht="18.75" customHeight="1">
      <c r="A324" s="2958">
        <v>323</v>
      </c>
      <c r="B324" s="2959" t="s">
        <v>3122</v>
      </c>
      <c r="C324" s="2959" t="s">
        <v>3463</v>
      </c>
      <c r="D324" s="2959" t="s">
        <v>3464</v>
      </c>
      <c r="E324" s="2959" t="s">
        <v>3125</v>
      </c>
      <c r="F324" s="2960">
        <v>204</v>
      </c>
      <c r="G324" s="2959" t="s">
        <v>3472</v>
      </c>
      <c r="H324" s="2959">
        <v>116.95</v>
      </c>
      <c r="I324" s="2959">
        <v>90.09</v>
      </c>
    </row>
    <row r="325" spans="1:9" ht="18.75" customHeight="1">
      <c r="A325" s="2958">
        <v>324</v>
      </c>
      <c r="B325" s="2959" t="s">
        <v>3122</v>
      </c>
      <c r="C325" s="2959" t="s">
        <v>3463</v>
      </c>
      <c r="D325" s="2959" t="s">
        <v>3464</v>
      </c>
      <c r="E325" s="2959" t="s">
        <v>3125</v>
      </c>
      <c r="F325" s="2960">
        <v>205</v>
      </c>
      <c r="G325" s="2959" t="s">
        <v>3473</v>
      </c>
      <c r="H325" s="2959">
        <v>116.51</v>
      </c>
      <c r="I325" s="2959">
        <v>89.75</v>
      </c>
    </row>
    <row r="326" spans="1:9" ht="18.75" customHeight="1">
      <c r="A326" s="2958">
        <v>325</v>
      </c>
      <c r="B326" s="2959" t="s">
        <v>3122</v>
      </c>
      <c r="C326" s="2959" t="s">
        <v>3463</v>
      </c>
      <c r="D326" s="2959" t="s">
        <v>3464</v>
      </c>
      <c r="E326" s="2959" t="s">
        <v>3125</v>
      </c>
      <c r="F326" s="2960">
        <v>301</v>
      </c>
      <c r="G326" s="2959" t="s">
        <v>3474</v>
      </c>
      <c r="H326" s="2959">
        <v>157.41999999999999</v>
      </c>
      <c r="I326" s="2959">
        <v>121.27</v>
      </c>
    </row>
    <row r="327" spans="1:9" ht="18.75" customHeight="1">
      <c r="A327" s="2958">
        <v>326</v>
      </c>
      <c r="B327" s="2959" t="s">
        <v>3122</v>
      </c>
      <c r="C327" s="2959" t="s">
        <v>3463</v>
      </c>
      <c r="D327" s="2959" t="s">
        <v>3464</v>
      </c>
      <c r="E327" s="2959" t="s">
        <v>3125</v>
      </c>
      <c r="F327" s="2960">
        <v>302</v>
      </c>
      <c r="G327" s="2959" t="s">
        <v>3475</v>
      </c>
      <c r="H327" s="2959">
        <v>120.36</v>
      </c>
      <c r="I327" s="2959">
        <v>92.72</v>
      </c>
    </row>
    <row r="328" spans="1:9" ht="18.75" customHeight="1">
      <c r="A328" s="2958">
        <v>327</v>
      </c>
      <c r="B328" s="2959" t="s">
        <v>3122</v>
      </c>
      <c r="C328" s="2959" t="s">
        <v>3463</v>
      </c>
      <c r="D328" s="2959" t="s">
        <v>3464</v>
      </c>
      <c r="E328" s="2959" t="s">
        <v>3125</v>
      </c>
      <c r="F328" s="2960">
        <v>403</v>
      </c>
      <c r="G328" s="2959" t="s">
        <v>3476</v>
      </c>
      <c r="H328" s="2959">
        <v>157.52000000000001</v>
      </c>
      <c r="I328" s="2959">
        <v>121.34</v>
      </c>
    </row>
    <row r="329" spans="1:9" ht="18.75" customHeight="1">
      <c r="A329" s="2958">
        <v>328</v>
      </c>
      <c r="B329" s="2959" t="s">
        <v>3122</v>
      </c>
      <c r="C329" s="2959" t="s">
        <v>3463</v>
      </c>
      <c r="D329" s="2959" t="s">
        <v>3464</v>
      </c>
      <c r="E329" s="2959" t="s">
        <v>3125</v>
      </c>
      <c r="F329" s="2960">
        <v>603</v>
      </c>
      <c r="G329" s="2959" t="s">
        <v>3477</v>
      </c>
      <c r="H329" s="2959">
        <v>157.88999999999999</v>
      </c>
      <c r="I329" s="2959">
        <v>121.63</v>
      </c>
    </row>
    <row r="330" spans="1:9" ht="18.75" customHeight="1">
      <c r="A330" s="2958">
        <v>329</v>
      </c>
      <c r="B330" s="2959" t="s">
        <v>3122</v>
      </c>
      <c r="C330" s="2959" t="s">
        <v>3463</v>
      </c>
      <c r="D330" s="2959" t="s">
        <v>3464</v>
      </c>
      <c r="E330" s="2959" t="s">
        <v>3125</v>
      </c>
      <c r="F330" s="2960">
        <v>1403</v>
      </c>
      <c r="G330" s="2959" t="s">
        <v>3478</v>
      </c>
      <c r="H330" s="2959">
        <v>157.88999999999999</v>
      </c>
      <c r="I330" s="2959">
        <v>121.63</v>
      </c>
    </row>
    <row r="331" spans="1:9" ht="18.75" customHeight="1">
      <c r="A331" s="2958">
        <v>330</v>
      </c>
      <c r="B331" s="2959" t="s">
        <v>3122</v>
      </c>
      <c r="C331" s="2959" t="s">
        <v>3463</v>
      </c>
      <c r="D331" s="2959" t="s">
        <v>3464</v>
      </c>
      <c r="E331" s="2959" t="s">
        <v>3125</v>
      </c>
      <c r="F331" s="2960">
        <v>1601</v>
      </c>
      <c r="G331" s="2959" t="s">
        <v>3479</v>
      </c>
      <c r="H331" s="2959">
        <v>157.71</v>
      </c>
      <c r="I331" s="2959">
        <v>121.49</v>
      </c>
    </row>
    <row r="332" spans="1:9" ht="18.75" customHeight="1">
      <c r="A332" s="2958">
        <v>331</v>
      </c>
      <c r="B332" s="2959" t="s">
        <v>3122</v>
      </c>
      <c r="C332" s="2959" t="s">
        <v>3463</v>
      </c>
      <c r="D332" s="2959" t="s">
        <v>3464</v>
      </c>
      <c r="E332" s="2959" t="s">
        <v>3125</v>
      </c>
      <c r="F332" s="2960">
        <v>1703</v>
      </c>
      <c r="G332" s="2959" t="s">
        <v>3480</v>
      </c>
      <c r="H332" s="2959">
        <v>157.88999999999999</v>
      </c>
      <c r="I332" s="2959">
        <v>121.63</v>
      </c>
    </row>
    <row r="333" spans="1:9" ht="18.75" customHeight="1">
      <c r="A333" s="2958">
        <v>332</v>
      </c>
      <c r="B333" s="2959" t="s">
        <v>3122</v>
      </c>
      <c r="C333" s="2959" t="s">
        <v>3463</v>
      </c>
      <c r="D333" s="2959" t="s">
        <v>3464</v>
      </c>
      <c r="E333" s="2959" t="s">
        <v>3125</v>
      </c>
      <c r="F333" s="2960">
        <v>2103</v>
      </c>
      <c r="G333" s="2959" t="s">
        <v>3481</v>
      </c>
      <c r="H333" s="2959">
        <v>159.06</v>
      </c>
      <c r="I333" s="2959">
        <v>122.53</v>
      </c>
    </row>
    <row r="334" spans="1:9" ht="18.75" customHeight="1">
      <c r="A334" s="2958">
        <v>333</v>
      </c>
      <c r="B334" s="2959" t="s">
        <v>3122</v>
      </c>
      <c r="C334" s="2959" t="s">
        <v>3463</v>
      </c>
      <c r="D334" s="2959" t="s">
        <v>3464</v>
      </c>
      <c r="E334" s="2959" t="s">
        <v>3125</v>
      </c>
      <c r="F334" s="2960">
        <v>2203</v>
      </c>
      <c r="G334" s="2959" t="s">
        <v>3482</v>
      </c>
      <c r="H334" s="2959">
        <v>159.06</v>
      </c>
      <c r="I334" s="2959">
        <v>122.53</v>
      </c>
    </row>
    <row r="335" spans="1:9" ht="18.75" customHeight="1">
      <c r="A335" s="2958">
        <v>334</v>
      </c>
      <c r="B335" s="2959" t="s">
        <v>3122</v>
      </c>
      <c r="C335" s="2959" t="s">
        <v>3463</v>
      </c>
      <c r="D335" s="2959" t="s">
        <v>3464</v>
      </c>
      <c r="E335" s="2959" t="s">
        <v>3125</v>
      </c>
      <c r="F335" s="2960">
        <v>2403</v>
      </c>
      <c r="G335" s="2959" t="s">
        <v>3483</v>
      </c>
      <c r="H335" s="2959">
        <v>159.06</v>
      </c>
      <c r="I335" s="2959">
        <v>122.53</v>
      </c>
    </row>
    <row r="336" spans="1:9" ht="18.75" customHeight="1">
      <c r="A336" s="2958">
        <v>335</v>
      </c>
      <c r="B336" s="2959" t="s">
        <v>3122</v>
      </c>
      <c r="C336" s="2959" t="s">
        <v>3463</v>
      </c>
      <c r="D336" s="2959" t="s">
        <v>3464</v>
      </c>
      <c r="E336" s="2959" t="s">
        <v>3125</v>
      </c>
      <c r="F336" s="2960">
        <v>2503</v>
      </c>
      <c r="G336" s="2959" t="s">
        <v>3484</v>
      </c>
      <c r="H336" s="2959">
        <v>159.06</v>
      </c>
      <c r="I336" s="2959">
        <v>122.53</v>
      </c>
    </row>
    <row r="337" spans="1:9" ht="18.75" customHeight="1">
      <c r="A337" s="2958">
        <v>336</v>
      </c>
      <c r="B337" s="2959" t="s">
        <v>3122</v>
      </c>
      <c r="C337" s="2959" t="s">
        <v>3463</v>
      </c>
      <c r="D337" s="2959" t="s">
        <v>3464</v>
      </c>
      <c r="E337" s="2959" t="s">
        <v>3125</v>
      </c>
      <c r="F337" s="2960">
        <v>2603</v>
      </c>
      <c r="G337" s="2959" t="s">
        <v>3485</v>
      </c>
      <c r="H337" s="2959">
        <v>159.06</v>
      </c>
      <c r="I337" s="2959">
        <v>122.53</v>
      </c>
    </row>
    <row r="338" spans="1:9" ht="18.75" customHeight="1">
      <c r="A338" s="2958">
        <v>337</v>
      </c>
      <c r="B338" s="2959" t="s">
        <v>3122</v>
      </c>
      <c r="C338" s="2959" t="s">
        <v>3463</v>
      </c>
      <c r="D338" s="2959" t="s">
        <v>3464</v>
      </c>
      <c r="E338" s="2959" t="s">
        <v>3125</v>
      </c>
      <c r="F338" s="2960">
        <v>2703</v>
      </c>
      <c r="G338" s="2959" t="s">
        <v>3486</v>
      </c>
      <c r="H338" s="2959">
        <v>159.06</v>
      </c>
      <c r="I338" s="2959">
        <v>122.53</v>
      </c>
    </row>
    <row r="339" spans="1:9" ht="18.75" customHeight="1">
      <c r="A339" s="2958">
        <v>338</v>
      </c>
      <c r="B339" s="2959" t="s">
        <v>3122</v>
      </c>
      <c r="C339" s="2959" t="s">
        <v>3463</v>
      </c>
      <c r="D339" s="2959" t="s">
        <v>3464</v>
      </c>
      <c r="E339" s="2959" t="s">
        <v>3125</v>
      </c>
      <c r="F339" s="2960">
        <v>2803</v>
      </c>
      <c r="G339" s="2959" t="s">
        <v>3487</v>
      </c>
      <c r="H339" s="2959">
        <v>159.06</v>
      </c>
      <c r="I339" s="2959">
        <v>122.53</v>
      </c>
    </row>
    <row r="340" spans="1:9" ht="18.75" customHeight="1">
      <c r="A340" s="2958">
        <v>339</v>
      </c>
      <c r="B340" s="2959" t="s">
        <v>3122</v>
      </c>
      <c r="C340" s="2959" t="s">
        <v>3463</v>
      </c>
      <c r="D340" s="2959" t="s">
        <v>3464</v>
      </c>
      <c r="E340" s="2959" t="s">
        <v>3125</v>
      </c>
      <c r="F340" s="2960">
        <v>2903</v>
      </c>
      <c r="G340" s="2959" t="s">
        <v>3488</v>
      </c>
      <c r="H340" s="2959">
        <v>159.06</v>
      </c>
      <c r="I340" s="2959">
        <v>122.53</v>
      </c>
    </row>
    <row r="341" spans="1:9" ht="18.75" customHeight="1">
      <c r="A341" s="2958">
        <v>340</v>
      </c>
      <c r="B341" s="2959" t="s">
        <v>3122</v>
      </c>
      <c r="C341" s="2959" t="s">
        <v>3463</v>
      </c>
      <c r="D341" s="2959" t="s">
        <v>3464</v>
      </c>
      <c r="E341" s="2959" t="s">
        <v>3125</v>
      </c>
      <c r="F341" s="2960">
        <v>3001</v>
      </c>
      <c r="G341" s="2959" t="s">
        <v>3489</v>
      </c>
      <c r="H341" s="2959">
        <v>158.97</v>
      </c>
      <c r="I341" s="2959">
        <v>122.46</v>
      </c>
    </row>
    <row r="342" spans="1:9" ht="18.75" customHeight="1">
      <c r="A342" s="2958">
        <v>341</v>
      </c>
      <c r="B342" s="2959" t="s">
        <v>3122</v>
      </c>
      <c r="C342" s="2959" t="s">
        <v>3463</v>
      </c>
      <c r="D342" s="2959" t="s">
        <v>3464</v>
      </c>
      <c r="E342" s="2959" t="s">
        <v>3125</v>
      </c>
      <c r="F342" s="2960">
        <v>3003</v>
      </c>
      <c r="G342" s="2959" t="s">
        <v>3490</v>
      </c>
      <c r="H342" s="2959">
        <v>159.06</v>
      </c>
      <c r="I342" s="2959">
        <v>122.53</v>
      </c>
    </row>
    <row r="343" spans="1:9" ht="18.75" customHeight="1">
      <c r="A343" s="2958">
        <v>342</v>
      </c>
      <c r="B343" s="2959" t="s">
        <v>3122</v>
      </c>
      <c r="C343" s="2959" t="s">
        <v>3463</v>
      </c>
      <c r="D343" s="2959" t="s">
        <v>3464</v>
      </c>
      <c r="E343" s="2959" t="s">
        <v>3125</v>
      </c>
      <c r="F343" s="2960">
        <v>3101</v>
      </c>
      <c r="G343" s="2959" t="s">
        <v>3491</v>
      </c>
      <c r="H343" s="2959">
        <v>158.97</v>
      </c>
      <c r="I343" s="2959">
        <v>122.46</v>
      </c>
    </row>
    <row r="344" spans="1:9" ht="18.75" customHeight="1">
      <c r="A344" s="2958">
        <v>343</v>
      </c>
      <c r="B344" s="2959" t="s">
        <v>3122</v>
      </c>
      <c r="C344" s="2959" t="s">
        <v>3463</v>
      </c>
      <c r="D344" s="2959" t="s">
        <v>3464</v>
      </c>
      <c r="E344" s="2959" t="s">
        <v>3125</v>
      </c>
      <c r="F344" s="2960">
        <v>3102</v>
      </c>
      <c r="G344" s="2959" t="s">
        <v>3492</v>
      </c>
      <c r="H344" s="2959">
        <v>121.73</v>
      </c>
      <c r="I344" s="2959">
        <v>93.77</v>
      </c>
    </row>
    <row r="345" spans="1:9" ht="18.75" customHeight="1">
      <c r="A345" s="2958">
        <v>344</v>
      </c>
      <c r="B345" s="2959" t="s">
        <v>3122</v>
      </c>
      <c r="C345" s="2959" t="s">
        <v>3463</v>
      </c>
      <c r="D345" s="2959" t="s">
        <v>3464</v>
      </c>
      <c r="E345" s="2959" t="s">
        <v>3125</v>
      </c>
      <c r="F345" s="2960">
        <v>3103</v>
      </c>
      <c r="G345" s="2959" t="s">
        <v>3493</v>
      </c>
      <c r="H345" s="2959">
        <v>159.06</v>
      </c>
      <c r="I345" s="2959">
        <v>122.53</v>
      </c>
    </row>
    <row r="346" spans="1:9" ht="18.75" customHeight="1">
      <c r="A346" s="2958">
        <v>345</v>
      </c>
      <c r="B346" s="2959" t="s">
        <v>3122</v>
      </c>
      <c r="C346" s="2959" t="s">
        <v>3463</v>
      </c>
      <c r="D346" s="2959" t="s">
        <v>3464</v>
      </c>
      <c r="E346" s="2959" t="s">
        <v>3125</v>
      </c>
      <c r="F346" s="2960">
        <v>3104</v>
      </c>
      <c r="G346" s="2959" t="s">
        <v>3494</v>
      </c>
      <c r="H346" s="2959">
        <v>118.17</v>
      </c>
      <c r="I346" s="2959">
        <v>91.03</v>
      </c>
    </row>
    <row r="347" spans="1:9" ht="18.75" customHeight="1">
      <c r="A347" s="2958">
        <v>346</v>
      </c>
      <c r="B347" s="2959" t="s">
        <v>3122</v>
      </c>
      <c r="C347" s="2959" t="s">
        <v>3463</v>
      </c>
      <c r="D347" s="2959" t="s">
        <v>3464</v>
      </c>
      <c r="E347" s="2959" t="s">
        <v>3125</v>
      </c>
      <c r="F347" s="2960">
        <v>3105</v>
      </c>
      <c r="G347" s="2959" t="s">
        <v>3495</v>
      </c>
      <c r="H347" s="2959">
        <v>117.73</v>
      </c>
      <c r="I347" s="2959">
        <v>90.69</v>
      </c>
    </row>
    <row r="348" spans="1:9" s="2956" customFormat="1" ht="18.75" customHeight="1">
      <c r="A348" s="2958">
        <v>347</v>
      </c>
      <c r="B348" s="2959" t="s">
        <v>3122</v>
      </c>
      <c r="C348" s="2959" t="s">
        <v>3463</v>
      </c>
      <c r="D348" s="2959" t="s">
        <v>3496</v>
      </c>
      <c r="E348" s="2959" t="s">
        <v>3125</v>
      </c>
      <c r="F348" s="2960">
        <v>101</v>
      </c>
      <c r="G348" s="2959" t="s">
        <v>3497</v>
      </c>
      <c r="H348" s="2959">
        <v>157.41999999999999</v>
      </c>
      <c r="I348" s="2959">
        <v>121.27</v>
      </c>
    </row>
    <row r="349" spans="1:9" s="2956" customFormat="1" ht="18.75" customHeight="1">
      <c r="A349" s="2958">
        <v>348</v>
      </c>
      <c r="B349" s="2959" t="s">
        <v>3122</v>
      </c>
      <c r="C349" s="2959" t="s">
        <v>3463</v>
      </c>
      <c r="D349" s="2959" t="s">
        <v>3496</v>
      </c>
      <c r="E349" s="2959" t="s">
        <v>3125</v>
      </c>
      <c r="F349" s="2960">
        <v>102</v>
      </c>
      <c r="G349" s="2959" t="s">
        <v>3498</v>
      </c>
      <c r="H349" s="2959">
        <v>157.58000000000001</v>
      </c>
      <c r="I349" s="2959">
        <v>121.39</v>
      </c>
    </row>
    <row r="350" spans="1:9" s="2956" customFormat="1" ht="18.75" customHeight="1">
      <c r="A350" s="2958">
        <v>349</v>
      </c>
      <c r="B350" s="2959" t="s">
        <v>3122</v>
      </c>
      <c r="C350" s="2959" t="s">
        <v>3463</v>
      </c>
      <c r="D350" s="2959" t="s">
        <v>3496</v>
      </c>
      <c r="E350" s="2959" t="s">
        <v>3125</v>
      </c>
      <c r="F350" s="2960">
        <v>103</v>
      </c>
      <c r="G350" s="2959" t="s">
        <v>3499</v>
      </c>
      <c r="H350" s="2959">
        <v>116.71</v>
      </c>
      <c r="I350" s="2959">
        <v>89.91</v>
      </c>
    </row>
    <row r="351" spans="1:9" s="2956" customFormat="1" ht="18.75" customHeight="1">
      <c r="A351" s="2958">
        <v>350</v>
      </c>
      <c r="B351" s="2959" t="s">
        <v>3122</v>
      </c>
      <c r="C351" s="2959" t="s">
        <v>3463</v>
      </c>
      <c r="D351" s="2959" t="s">
        <v>3496</v>
      </c>
      <c r="E351" s="2959" t="s">
        <v>3125</v>
      </c>
      <c r="F351" s="2960">
        <v>104</v>
      </c>
      <c r="G351" s="2959" t="s">
        <v>3500</v>
      </c>
      <c r="H351" s="2959">
        <v>116.29</v>
      </c>
      <c r="I351" s="2959">
        <v>89.58</v>
      </c>
    </row>
    <row r="352" spans="1:9" ht="18.75" customHeight="1">
      <c r="A352" s="2958">
        <v>351</v>
      </c>
      <c r="B352" s="2959" t="s">
        <v>3122</v>
      </c>
      <c r="C352" s="2959" t="s">
        <v>3463</v>
      </c>
      <c r="D352" s="2959" t="s">
        <v>3496</v>
      </c>
      <c r="E352" s="2959" t="s">
        <v>3125</v>
      </c>
      <c r="F352" s="2960">
        <v>201</v>
      </c>
      <c r="G352" s="2959" t="s">
        <v>3501</v>
      </c>
      <c r="H352" s="2959">
        <v>157.41999999999999</v>
      </c>
      <c r="I352" s="2959">
        <v>121.27</v>
      </c>
    </row>
    <row r="353" spans="1:9" ht="18.75" customHeight="1">
      <c r="A353" s="2958">
        <v>352</v>
      </c>
      <c r="B353" s="2959" t="s">
        <v>3122</v>
      </c>
      <c r="C353" s="2959" t="s">
        <v>3463</v>
      </c>
      <c r="D353" s="2959" t="s">
        <v>3496</v>
      </c>
      <c r="E353" s="2959" t="s">
        <v>3125</v>
      </c>
      <c r="F353" s="2960">
        <v>202</v>
      </c>
      <c r="G353" s="2959" t="s">
        <v>3502</v>
      </c>
      <c r="H353" s="2959">
        <v>120.36</v>
      </c>
      <c r="I353" s="2959">
        <v>92.72</v>
      </c>
    </row>
    <row r="354" spans="1:9" ht="18.75" customHeight="1">
      <c r="A354" s="2958">
        <v>353</v>
      </c>
      <c r="B354" s="2959" t="s">
        <v>3122</v>
      </c>
      <c r="C354" s="2959" t="s">
        <v>3463</v>
      </c>
      <c r="D354" s="2959" t="s">
        <v>3496</v>
      </c>
      <c r="E354" s="2959" t="s">
        <v>3125</v>
      </c>
      <c r="F354" s="2960">
        <v>203</v>
      </c>
      <c r="G354" s="2959" t="s">
        <v>3503</v>
      </c>
      <c r="H354" s="2959">
        <v>157.52000000000001</v>
      </c>
      <c r="I354" s="2959">
        <v>121.34</v>
      </c>
    </row>
    <row r="355" spans="1:9" ht="18.75" customHeight="1">
      <c r="A355" s="2958">
        <v>354</v>
      </c>
      <c r="B355" s="2959" t="s">
        <v>3122</v>
      </c>
      <c r="C355" s="2959" t="s">
        <v>3463</v>
      </c>
      <c r="D355" s="2959" t="s">
        <v>3496</v>
      </c>
      <c r="E355" s="2959" t="s">
        <v>3125</v>
      </c>
      <c r="F355" s="2960">
        <v>204</v>
      </c>
      <c r="G355" s="2959" t="s">
        <v>3504</v>
      </c>
      <c r="H355" s="2959">
        <v>116.95</v>
      </c>
      <c r="I355" s="2959">
        <v>90.09</v>
      </c>
    </row>
    <row r="356" spans="1:9" ht="18.75" customHeight="1">
      <c r="A356" s="2958">
        <v>355</v>
      </c>
      <c r="B356" s="2959" t="s">
        <v>3122</v>
      </c>
      <c r="C356" s="2959" t="s">
        <v>3463</v>
      </c>
      <c r="D356" s="2959" t="s">
        <v>3496</v>
      </c>
      <c r="E356" s="2959" t="s">
        <v>3125</v>
      </c>
      <c r="F356" s="2960">
        <v>205</v>
      </c>
      <c r="G356" s="2959" t="s">
        <v>3505</v>
      </c>
      <c r="H356" s="2959">
        <v>116.51</v>
      </c>
      <c r="I356" s="2959">
        <v>89.75</v>
      </c>
    </row>
    <row r="357" spans="1:9" ht="18.75" customHeight="1">
      <c r="A357" s="2958">
        <v>356</v>
      </c>
      <c r="B357" s="2959" t="s">
        <v>3122</v>
      </c>
      <c r="C357" s="2959" t="s">
        <v>3463</v>
      </c>
      <c r="D357" s="2959" t="s">
        <v>3496</v>
      </c>
      <c r="E357" s="2959" t="s">
        <v>3125</v>
      </c>
      <c r="F357" s="2960">
        <v>301</v>
      </c>
      <c r="G357" s="2959" t="s">
        <v>3506</v>
      </c>
      <c r="H357" s="2959">
        <v>157.41999999999999</v>
      </c>
      <c r="I357" s="2959">
        <v>121.27</v>
      </c>
    </row>
    <row r="358" spans="1:9" ht="18.75" customHeight="1">
      <c r="A358" s="2958">
        <v>357</v>
      </c>
      <c r="B358" s="2959" t="s">
        <v>3122</v>
      </c>
      <c r="C358" s="2959" t="s">
        <v>3463</v>
      </c>
      <c r="D358" s="2959" t="s">
        <v>3496</v>
      </c>
      <c r="E358" s="2959" t="s">
        <v>3125</v>
      </c>
      <c r="F358" s="2960">
        <v>302</v>
      </c>
      <c r="G358" s="2959" t="s">
        <v>3507</v>
      </c>
      <c r="H358" s="2959">
        <v>120.36</v>
      </c>
      <c r="I358" s="2959">
        <v>92.72</v>
      </c>
    </row>
    <row r="359" spans="1:9" ht="18.75" customHeight="1">
      <c r="A359" s="2958">
        <v>358</v>
      </c>
      <c r="B359" s="2959" t="s">
        <v>3122</v>
      </c>
      <c r="C359" s="2959" t="s">
        <v>3463</v>
      </c>
      <c r="D359" s="2959" t="s">
        <v>3496</v>
      </c>
      <c r="E359" s="2959" t="s">
        <v>3125</v>
      </c>
      <c r="F359" s="2960">
        <v>1403</v>
      </c>
      <c r="G359" s="2959" t="s">
        <v>3508</v>
      </c>
      <c r="H359" s="2959">
        <v>157.88999999999999</v>
      </c>
      <c r="I359" s="2959">
        <v>121.63</v>
      </c>
    </row>
    <row r="360" spans="1:9" ht="18.75" customHeight="1">
      <c r="A360" s="2958">
        <v>359</v>
      </c>
      <c r="B360" s="2959" t="s">
        <v>3122</v>
      </c>
      <c r="C360" s="2959" t="s">
        <v>3463</v>
      </c>
      <c r="D360" s="2959" t="s">
        <v>3496</v>
      </c>
      <c r="E360" s="2959" t="s">
        <v>3125</v>
      </c>
      <c r="F360" s="2960">
        <v>2403</v>
      </c>
      <c r="G360" s="2959" t="s">
        <v>3509</v>
      </c>
      <c r="H360" s="2959">
        <v>159.06</v>
      </c>
      <c r="I360" s="2959">
        <v>122.53</v>
      </c>
    </row>
    <row r="361" spans="1:9" ht="18.75" customHeight="1">
      <c r="A361" s="2958">
        <v>360</v>
      </c>
      <c r="B361" s="2959" t="s">
        <v>3122</v>
      </c>
      <c r="C361" s="2959" t="s">
        <v>3463</v>
      </c>
      <c r="D361" s="2959" t="s">
        <v>3496</v>
      </c>
      <c r="E361" s="2959" t="s">
        <v>3125</v>
      </c>
      <c r="F361" s="2960">
        <v>2703</v>
      </c>
      <c r="G361" s="2959" t="s">
        <v>3510</v>
      </c>
      <c r="H361" s="2959">
        <v>159.06</v>
      </c>
      <c r="I361" s="2959">
        <v>122.53</v>
      </c>
    </row>
    <row r="362" spans="1:9" ht="18.75" customHeight="1">
      <c r="A362" s="2958">
        <v>361</v>
      </c>
      <c r="B362" s="2959" t="s">
        <v>3122</v>
      </c>
      <c r="C362" s="2959" t="s">
        <v>3463</v>
      </c>
      <c r="D362" s="2959" t="s">
        <v>3496</v>
      </c>
      <c r="E362" s="2959" t="s">
        <v>3125</v>
      </c>
      <c r="F362" s="2960">
        <v>3101</v>
      </c>
      <c r="G362" s="2959" t="s">
        <v>3511</v>
      </c>
      <c r="H362" s="2959">
        <v>158.97</v>
      </c>
      <c r="I362" s="2959">
        <v>122.46</v>
      </c>
    </row>
    <row r="363" spans="1:9" ht="18.75" customHeight="1">
      <c r="A363" s="2958">
        <v>362</v>
      </c>
      <c r="B363" s="2959" t="s">
        <v>3122</v>
      </c>
      <c r="C363" s="2959" t="s">
        <v>3463</v>
      </c>
      <c r="D363" s="2959" t="s">
        <v>3496</v>
      </c>
      <c r="E363" s="2959" t="s">
        <v>3125</v>
      </c>
      <c r="F363" s="2960">
        <v>3102</v>
      </c>
      <c r="G363" s="2959" t="s">
        <v>3512</v>
      </c>
      <c r="H363" s="2959">
        <v>121.73</v>
      </c>
      <c r="I363" s="2959">
        <v>93.77</v>
      </c>
    </row>
    <row r="364" spans="1:9" ht="18.75" customHeight="1">
      <c r="A364" s="2958">
        <v>363</v>
      </c>
      <c r="B364" s="2959" t="s">
        <v>3122</v>
      </c>
      <c r="C364" s="2959" t="s">
        <v>3463</v>
      </c>
      <c r="D364" s="2959" t="s">
        <v>3496</v>
      </c>
      <c r="E364" s="2959" t="s">
        <v>3125</v>
      </c>
      <c r="F364" s="2960">
        <v>3103</v>
      </c>
      <c r="G364" s="2959" t="s">
        <v>3513</v>
      </c>
      <c r="H364" s="2959">
        <v>159.06</v>
      </c>
      <c r="I364" s="2959">
        <v>122.53</v>
      </c>
    </row>
    <row r="365" spans="1:9" ht="18.75" customHeight="1">
      <c r="A365" s="2958">
        <v>364</v>
      </c>
      <c r="B365" s="2959" t="s">
        <v>3122</v>
      </c>
      <c r="C365" s="2959" t="s">
        <v>3463</v>
      </c>
      <c r="D365" s="2959" t="s">
        <v>3496</v>
      </c>
      <c r="E365" s="2959" t="s">
        <v>3125</v>
      </c>
      <c r="F365" s="2960">
        <v>3104</v>
      </c>
      <c r="G365" s="2959" t="s">
        <v>3514</v>
      </c>
      <c r="H365" s="2959">
        <v>118.17</v>
      </c>
      <c r="I365" s="2959">
        <v>91.03</v>
      </c>
    </row>
    <row r="366" spans="1:9" ht="18.75" customHeight="1">
      <c r="A366" s="2958">
        <v>365</v>
      </c>
      <c r="B366" s="2959" t="s">
        <v>3122</v>
      </c>
      <c r="C366" s="2959" t="s">
        <v>3463</v>
      </c>
      <c r="D366" s="2959" t="s">
        <v>3496</v>
      </c>
      <c r="E366" s="2959" t="s">
        <v>3125</v>
      </c>
      <c r="F366" s="2960">
        <v>3105</v>
      </c>
      <c r="G366" s="2959" t="s">
        <v>3515</v>
      </c>
      <c r="H366" s="2959">
        <v>117.73</v>
      </c>
      <c r="I366" s="2959">
        <v>90.69</v>
      </c>
    </row>
    <row r="367" spans="1:9" s="2956" customFormat="1" ht="18.75" customHeight="1">
      <c r="A367" s="2958">
        <v>366</v>
      </c>
      <c r="B367" s="2959" t="s">
        <v>3122</v>
      </c>
      <c r="C367" s="2959" t="s">
        <v>3463</v>
      </c>
      <c r="D367" s="2959" t="s">
        <v>3516</v>
      </c>
      <c r="E367" s="2959" t="s">
        <v>3125</v>
      </c>
      <c r="F367" s="2960">
        <v>101</v>
      </c>
      <c r="G367" s="2959" t="s">
        <v>3517</v>
      </c>
      <c r="H367" s="2959">
        <v>157.66</v>
      </c>
      <c r="I367" s="2959">
        <v>121.45</v>
      </c>
    </row>
    <row r="368" spans="1:9" s="2956" customFormat="1" ht="18.75" customHeight="1">
      <c r="A368" s="2958">
        <v>367</v>
      </c>
      <c r="B368" s="2959" t="s">
        <v>3122</v>
      </c>
      <c r="C368" s="2959" t="s">
        <v>3463</v>
      </c>
      <c r="D368" s="2959" t="s">
        <v>3516</v>
      </c>
      <c r="E368" s="2959" t="s">
        <v>3125</v>
      </c>
      <c r="F368" s="2960">
        <v>102</v>
      </c>
      <c r="G368" s="2959" t="s">
        <v>3518</v>
      </c>
      <c r="H368" s="2959">
        <v>120.37</v>
      </c>
      <c r="I368" s="2959">
        <v>92.72</v>
      </c>
    </row>
    <row r="369" spans="1:9" s="2956" customFormat="1" ht="18.75" customHeight="1">
      <c r="A369" s="2958">
        <v>368</v>
      </c>
      <c r="B369" s="2959" t="s">
        <v>3122</v>
      </c>
      <c r="C369" s="2959" t="s">
        <v>3463</v>
      </c>
      <c r="D369" s="2959" t="s">
        <v>3516</v>
      </c>
      <c r="E369" s="2959" t="s">
        <v>3125</v>
      </c>
      <c r="F369" s="2960">
        <v>103</v>
      </c>
      <c r="G369" s="2959" t="s">
        <v>3519</v>
      </c>
      <c r="H369" s="2959">
        <v>157.52000000000001</v>
      </c>
      <c r="I369" s="2959">
        <v>121.34</v>
      </c>
    </row>
    <row r="370" spans="1:9" s="2956" customFormat="1" ht="18.75" customHeight="1">
      <c r="A370" s="2958">
        <v>369</v>
      </c>
      <c r="B370" s="2959" t="s">
        <v>3122</v>
      </c>
      <c r="C370" s="2959" t="s">
        <v>3463</v>
      </c>
      <c r="D370" s="2959" t="s">
        <v>3516</v>
      </c>
      <c r="E370" s="2959" t="s">
        <v>3125</v>
      </c>
      <c r="F370" s="2960">
        <v>104</v>
      </c>
      <c r="G370" s="2959" t="s">
        <v>3520</v>
      </c>
      <c r="H370" s="2959">
        <v>116.65</v>
      </c>
      <c r="I370" s="2959">
        <v>89.86</v>
      </c>
    </row>
    <row r="371" spans="1:9" s="2956" customFormat="1" ht="18.75" customHeight="1">
      <c r="A371" s="2958">
        <v>370</v>
      </c>
      <c r="B371" s="2959" t="s">
        <v>3122</v>
      </c>
      <c r="C371" s="2959" t="s">
        <v>3463</v>
      </c>
      <c r="D371" s="2959" t="s">
        <v>3516</v>
      </c>
      <c r="E371" s="2959" t="s">
        <v>3125</v>
      </c>
      <c r="F371" s="2960">
        <v>105</v>
      </c>
      <c r="G371" s="2959" t="s">
        <v>3521</v>
      </c>
      <c r="H371" s="2959">
        <v>116.29</v>
      </c>
      <c r="I371" s="2959">
        <v>89.58</v>
      </c>
    </row>
    <row r="372" spans="1:9" ht="18.75" customHeight="1">
      <c r="A372" s="2958">
        <v>371</v>
      </c>
      <c r="B372" s="2959" t="s">
        <v>3122</v>
      </c>
      <c r="C372" s="2959" t="s">
        <v>3463</v>
      </c>
      <c r="D372" s="2959" t="s">
        <v>3516</v>
      </c>
      <c r="E372" s="2959" t="s">
        <v>3125</v>
      </c>
      <c r="F372" s="2960">
        <v>201</v>
      </c>
      <c r="G372" s="2959" t="s">
        <v>3522</v>
      </c>
      <c r="H372" s="2959">
        <v>157.43</v>
      </c>
      <c r="I372" s="2959">
        <v>121.27</v>
      </c>
    </row>
    <row r="373" spans="1:9" ht="18.75" customHeight="1">
      <c r="A373" s="2958">
        <v>372</v>
      </c>
      <c r="B373" s="2959" t="s">
        <v>3122</v>
      </c>
      <c r="C373" s="2959" t="s">
        <v>3463</v>
      </c>
      <c r="D373" s="2959" t="s">
        <v>3516</v>
      </c>
      <c r="E373" s="2959" t="s">
        <v>3125</v>
      </c>
      <c r="F373" s="2960">
        <v>202</v>
      </c>
      <c r="G373" s="2959" t="s">
        <v>3523</v>
      </c>
      <c r="H373" s="2959">
        <v>120.37</v>
      </c>
      <c r="I373" s="2959">
        <v>92.72</v>
      </c>
    </row>
    <row r="374" spans="1:9" ht="18.75" customHeight="1">
      <c r="A374" s="2958">
        <v>373</v>
      </c>
      <c r="B374" s="2959" t="s">
        <v>3122</v>
      </c>
      <c r="C374" s="2959" t="s">
        <v>3463</v>
      </c>
      <c r="D374" s="2959" t="s">
        <v>3516</v>
      </c>
      <c r="E374" s="2959" t="s">
        <v>3125</v>
      </c>
      <c r="F374" s="2960">
        <v>203</v>
      </c>
      <c r="G374" s="2959" t="s">
        <v>3524</v>
      </c>
      <c r="H374" s="2959">
        <v>157.52000000000001</v>
      </c>
      <c r="I374" s="2959">
        <v>121.34</v>
      </c>
    </row>
    <row r="375" spans="1:9" ht="18.75" customHeight="1">
      <c r="A375" s="2958">
        <v>374</v>
      </c>
      <c r="B375" s="2959" t="s">
        <v>3122</v>
      </c>
      <c r="C375" s="2959" t="s">
        <v>3463</v>
      </c>
      <c r="D375" s="2959" t="s">
        <v>3516</v>
      </c>
      <c r="E375" s="2959" t="s">
        <v>3125</v>
      </c>
      <c r="F375" s="2960">
        <v>204</v>
      </c>
      <c r="G375" s="2959" t="s">
        <v>3525</v>
      </c>
      <c r="H375" s="2959">
        <v>116.95</v>
      </c>
      <c r="I375" s="2959">
        <v>90.09</v>
      </c>
    </row>
    <row r="376" spans="1:9" ht="18.75" customHeight="1">
      <c r="A376" s="2958">
        <v>375</v>
      </c>
      <c r="B376" s="2959" t="s">
        <v>3122</v>
      </c>
      <c r="C376" s="2959" t="s">
        <v>3463</v>
      </c>
      <c r="D376" s="2959" t="s">
        <v>3516</v>
      </c>
      <c r="E376" s="2959" t="s">
        <v>3125</v>
      </c>
      <c r="F376" s="2960">
        <v>205</v>
      </c>
      <c r="G376" s="2959" t="s">
        <v>3526</v>
      </c>
      <c r="H376" s="2959">
        <v>116.51</v>
      </c>
      <c r="I376" s="2959">
        <v>89.75</v>
      </c>
    </row>
    <row r="377" spans="1:9" ht="18.75" customHeight="1">
      <c r="A377" s="2958">
        <v>376</v>
      </c>
      <c r="B377" s="2959" t="s">
        <v>3122</v>
      </c>
      <c r="C377" s="2959" t="s">
        <v>3463</v>
      </c>
      <c r="D377" s="2959" t="s">
        <v>3516</v>
      </c>
      <c r="E377" s="2959" t="s">
        <v>3125</v>
      </c>
      <c r="F377" s="2960">
        <v>301</v>
      </c>
      <c r="G377" s="2959" t="s">
        <v>3527</v>
      </c>
      <c r="H377" s="2959">
        <v>157.43</v>
      </c>
      <c r="I377" s="2959">
        <v>121.27</v>
      </c>
    </row>
    <row r="378" spans="1:9" ht="18.75" customHeight="1">
      <c r="A378" s="2958">
        <v>377</v>
      </c>
      <c r="B378" s="2959" t="s">
        <v>3122</v>
      </c>
      <c r="C378" s="2959" t="s">
        <v>3463</v>
      </c>
      <c r="D378" s="2959" t="s">
        <v>3516</v>
      </c>
      <c r="E378" s="2959" t="s">
        <v>3125</v>
      </c>
      <c r="F378" s="2960">
        <v>303</v>
      </c>
      <c r="G378" s="2959" t="s">
        <v>3528</v>
      </c>
      <c r="H378" s="2959">
        <v>157.52000000000001</v>
      </c>
      <c r="I378" s="2959">
        <v>121.34</v>
      </c>
    </row>
    <row r="379" spans="1:9" ht="18.75" customHeight="1">
      <c r="A379" s="2958">
        <v>378</v>
      </c>
      <c r="B379" s="2959" t="s">
        <v>3122</v>
      </c>
      <c r="C379" s="2959" t="s">
        <v>3463</v>
      </c>
      <c r="D379" s="2959" t="s">
        <v>3516</v>
      </c>
      <c r="E379" s="2959" t="s">
        <v>3125</v>
      </c>
      <c r="F379" s="2960">
        <v>401</v>
      </c>
      <c r="G379" s="2959" t="s">
        <v>3529</v>
      </c>
      <c r="H379" s="2959">
        <v>157.43</v>
      </c>
      <c r="I379" s="2959">
        <v>121.27</v>
      </c>
    </row>
    <row r="380" spans="1:9" ht="18.75" customHeight="1">
      <c r="A380" s="2958">
        <v>379</v>
      </c>
      <c r="B380" s="2959" t="s">
        <v>3122</v>
      </c>
      <c r="C380" s="2959" t="s">
        <v>3463</v>
      </c>
      <c r="D380" s="2959" t="s">
        <v>3516</v>
      </c>
      <c r="E380" s="2959" t="s">
        <v>3125</v>
      </c>
      <c r="F380" s="2960">
        <v>503</v>
      </c>
      <c r="G380" s="2959" t="s">
        <v>3530</v>
      </c>
      <c r="H380" s="2959">
        <v>157.9</v>
      </c>
      <c r="I380" s="2959">
        <v>121.63</v>
      </c>
    </row>
    <row r="381" spans="1:9" ht="18.75" customHeight="1">
      <c r="A381" s="2958">
        <v>380</v>
      </c>
      <c r="B381" s="2959" t="s">
        <v>3122</v>
      </c>
      <c r="C381" s="2959" t="s">
        <v>3463</v>
      </c>
      <c r="D381" s="2959" t="s">
        <v>3516</v>
      </c>
      <c r="E381" s="2959" t="s">
        <v>3125</v>
      </c>
      <c r="F381" s="2960">
        <v>1103</v>
      </c>
      <c r="G381" s="2959" t="s">
        <v>3531</v>
      </c>
      <c r="H381" s="2959">
        <v>157.9</v>
      </c>
      <c r="I381" s="2959">
        <v>121.63</v>
      </c>
    </row>
    <row r="382" spans="1:9" ht="18.75" customHeight="1">
      <c r="A382" s="2958">
        <v>381</v>
      </c>
      <c r="B382" s="2959" t="s">
        <v>3122</v>
      </c>
      <c r="C382" s="2959" t="s">
        <v>3463</v>
      </c>
      <c r="D382" s="2959" t="s">
        <v>3516</v>
      </c>
      <c r="E382" s="2959" t="s">
        <v>3125</v>
      </c>
      <c r="F382" s="2960">
        <v>1201</v>
      </c>
      <c r="G382" s="2959" t="s">
        <v>3532</v>
      </c>
      <c r="H382" s="2959">
        <v>157.71</v>
      </c>
      <c r="I382" s="2959">
        <v>121.49</v>
      </c>
    </row>
    <row r="383" spans="1:9" ht="18.75" customHeight="1">
      <c r="A383" s="2958">
        <v>382</v>
      </c>
      <c r="B383" s="2959" t="s">
        <v>3122</v>
      </c>
      <c r="C383" s="2959" t="s">
        <v>3463</v>
      </c>
      <c r="D383" s="2959" t="s">
        <v>3516</v>
      </c>
      <c r="E383" s="2959" t="s">
        <v>3125</v>
      </c>
      <c r="F383" s="2960">
        <v>1302</v>
      </c>
      <c r="G383" s="2959" t="s">
        <v>3533</v>
      </c>
      <c r="H383" s="2959">
        <v>120.57</v>
      </c>
      <c r="I383" s="2959">
        <v>92.88</v>
      </c>
    </row>
    <row r="384" spans="1:9" ht="18.75" customHeight="1">
      <c r="A384" s="2958">
        <v>383</v>
      </c>
      <c r="B384" s="2959" t="s">
        <v>3122</v>
      </c>
      <c r="C384" s="2959" t="s">
        <v>3463</v>
      </c>
      <c r="D384" s="2959" t="s">
        <v>3516</v>
      </c>
      <c r="E384" s="2959" t="s">
        <v>3125</v>
      </c>
      <c r="F384" s="2960">
        <v>2105</v>
      </c>
      <c r="G384" s="2959" t="s">
        <v>3534</v>
      </c>
      <c r="H384" s="2959">
        <v>117.73</v>
      </c>
      <c r="I384" s="2959">
        <v>90.69</v>
      </c>
    </row>
    <row r="385" spans="1:9" ht="18.75" customHeight="1">
      <c r="A385" s="2958">
        <v>384</v>
      </c>
      <c r="B385" s="2959" t="s">
        <v>3122</v>
      </c>
      <c r="C385" s="2959" t="s">
        <v>3463</v>
      </c>
      <c r="D385" s="2959" t="s">
        <v>3516</v>
      </c>
      <c r="E385" s="2959" t="s">
        <v>3125</v>
      </c>
      <c r="F385" s="2960">
        <v>3101</v>
      </c>
      <c r="G385" s="2959" t="s">
        <v>3535</v>
      </c>
      <c r="H385" s="2959">
        <v>158.97</v>
      </c>
      <c r="I385" s="2959">
        <v>122.46</v>
      </c>
    </row>
    <row r="386" spans="1:9" ht="18.75" customHeight="1">
      <c r="A386" s="2958">
        <v>385</v>
      </c>
      <c r="B386" s="2959" t="s">
        <v>3122</v>
      </c>
      <c r="C386" s="2959" t="s">
        <v>3463</v>
      </c>
      <c r="D386" s="2959" t="s">
        <v>3516</v>
      </c>
      <c r="E386" s="2959" t="s">
        <v>3125</v>
      </c>
      <c r="F386" s="2960">
        <v>3102</v>
      </c>
      <c r="G386" s="2959" t="s">
        <v>3536</v>
      </c>
      <c r="H386" s="2959">
        <v>121.73</v>
      </c>
      <c r="I386" s="2959">
        <v>93.77</v>
      </c>
    </row>
    <row r="387" spans="1:9" ht="18.75" customHeight="1">
      <c r="A387" s="2958">
        <v>386</v>
      </c>
      <c r="B387" s="2959" t="s">
        <v>3122</v>
      </c>
      <c r="C387" s="2959" t="s">
        <v>3463</v>
      </c>
      <c r="D387" s="2959" t="s">
        <v>3516</v>
      </c>
      <c r="E387" s="2959" t="s">
        <v>3125</v>
      </c>
      <c r="F387" s="2960">
        <v>3103</v>
      </c>
      <c r="G387" s="2959" t="s">
        <v>3537</v>
      </c>
      <c r="H387" s="2959">
        <v>159.06</v>
      </c>
      <c r="I387" s="2959">
        <v>122.53</v>
      </c>
    </row>
    <row r="388" spans="1:9" ht="18.75" customHeight="1">
      <c r="A388" s="2958">
        <v>387</v>
      </c>
      <c r="B388" s="2959" t="s">
        <v>3122</v>
      </c>
      <c r="C388" s="2959" t="s">
        <v>3463</v>
      </c>
      <c r="D388" s="2959" t="s">
        <v>3516</v>
      </c>
      <c r="E388" s="2959" t="s">
        <v>3125</v>
      </c>
      <c r="F388" s="2960">
        <v>3104</v>
      </c>
      <c r="G388" s="2959" t="s">
        <v>3538</v>
      </c>
      <c r="H388" s="2959">
        <v>118.17</v>
      </c>
      <c r="I388" s="2959">
        <v>91.03</v>
      </c>
    </row>
    <row r="389" spans="1:9" ht="18.75" customHeight="1">
      <c r="A389" s="2958">
        <v>388</v>
      </c>
      <c r="B389" s="2959" t="s">
        <v>3122</v>
      </c>
      <c r="C389" s="2959" t="s">
        <v>3463</v>
      </c>
      <c r="D389" s="2959" t="s">
        <v>3516</v>
      </c>
      <c r="E389" s="2959" t="s">
        <v>3125</v>
      </c>
      <c r="F389" s="2960">
        <v>3105</v>
      </c>
      <c r="G389" s="2959" t="s">
        <v>3539</v>
      </c>
      <c r="H389" s="2959">
        <v>117.73</v>
      </c>
      <c r="I389" s="2959">
        <v>90.69</v>
      </c>
    </row>
    <row r="390" spans="1:9" s="2956" customFormat="1" ht="18.75" customHeight="1">
      <c r="A390" s="2958">
        <v>389</v>
      </c>
      <c r="B390" s="2959" t="s">
        <v>3122</v>
      </c>
      <c r="C390" s="2959" t="s">
        <v>3463</v>
      </c>
      <c r="D390" s="2959" t="s">
        <v>3540</v>
      </c>
      <c r="E390" s="2959" t="s">
        <v>3125</v>
      </c>
      <c r="F390" s="2960">
        <v>101</v>
      </c>
      <c r="G390" s="2959" t="s">
        <v>3541</v>
      </c>
      <c r="H390" s="2959">
        <v>157.72</v>
      </c>
      <c r="I390" s="2959">
        <v>122.59</v>
      </c>
    </row>
    <row r="391" spans="1:9" s="2956" customFormat="1" ht="18.75" customHeight="1">
      <c r="A391" s="2958">
        <v>390</v>
      </c>
      <c r="B391" s="2959" t="s">
        <v>3122</v>
      </c>
      <c r="C391" s="2959" t="s">
        <v>3463</v>
      </c>
      <c r="D391" s="2959" t="s">
        <v>3540</v>
      </c>
      <c r="E391" s="2959" t="s">
        <v>3125</v>
      </c>
      <c r="F391" s="2960">
        <v>102</v>
      </c>
      <c r="G391" s="2959" t="s">
        <v>3542</v>
      </c>
      <c r="H391" s="2959">
        <v>120.82</v>
      </c>
      <c r="I391" s="2959">
        <v>93.91</v>
      </c>
    </row>
    <row r="392" spans="1:9" s="2956" customFormat="1" ht="18.75" customHeight="1">
      <c r="A392" s="2958">
        <v>391</v>
      </c>
      <c r="B392" s="2959" t="s">
        <v>3122</v>
      </c>
      <c r="C392" s="2959" t="s">
        <v>3463</v>
      </c>
      <c r="D392" s="2959" t="s">
        <v>3540</v>
      </c>
      <c r="E392" s="2959" t="s">
        <v>3125</v>
      </c>
      <c r="F392" s="2960">
        <v>103</v>
      </c>
      <c r="G392" s="2959" t="s">
        <v>3543</v>
      </c>
      <c r="H392" s="2959">
        <v>157.72999999999999</v>
      </c>
      <c r="I392" s="2959">
        <v>122.6</v>
      </c>
    </row>
    <row r="393" spans="1:9" s="2956" customFormat="1" ht="18.75" customHeight="1">
      <c r="A393" s="2958">
        <v>392</v>
      </c>
      <c r="B393" s="2959" t="s">
        <v>3122</v>
      </c>
      <c r="C393" s="2959" t="s">
        <v>3463</v>
      </c>
      <c r="D393" s="2959" t="s">
        <v>3540</v>
      </c>
      <c r="E393" s="2959" t="s">
        <v>3125</v>
      </c>
      <c r="F393" s="2960">
        <v>104</v>
      </c>
      <c r="G393" s="2959" t="s">
        <v>3544</v>
      </c>
      <c r="H393" s="2959">
        <v>117.07</v>
      </c>
      <c r="I393" s="2959">
        <v>90.99</v>
      </c>
    </row>
    <row r="394" spans="1:9" s="2956" customFormat="1" ht="18.75" customHeight="1">
      <c r="A394" s="2958">
        <v>393</v>
      </c>
      <c r="B394" s="2959" t="s">
        <v>3122</v>
      </c>
      <c r="C394" s="2959" t="s">
        <v>3463</v>
      </c>
      <c r="D394" s="2959" t="s">
        <v>3540</v>
      </c>
      <c r="E394" s="2959" t="s">
        <v>3125</v>
      </c>
      <c r="F394" s="2960">
        <v>105</v>
      </c>
      <c r="G394" s="2959" t="s">
        <v>3545</v>
      </c>
      <c r="H394" s="2959">
        <v>116.63</v>
      </c>
      <c r="I394" s="2959">
        <v>90.65</v>
      </c>
    </row>
    <row r="395" spans="1:9" ht="18.75" customHeight="1">
      <c r="A395" s="2958">
        <v>394</v>
      </c>
      <c r="B395" s="2959" t="s">
        <v>3122</v>
      </c>
      <c r="C395" s="2959" t="s">
        <v>3463</v>
      </c>
      <c r="D395" s="2959" t="s">
        <v>3540</v>
      </c>
      <c r="E395" s="2959" t="s">
        <v>3125</v>
      </c>
      <c r="F395" s="2960">
        <v>201</v>
      </c>
      <c r="G395" s="2959" t="s">
        <v>3546</v>
      </c>
      <c r="H395" s="2959">
        <v>158.21</v>
      </c>
      <c r="I395" s="2959">
        <v>122.97</v>
      </c>
    </row>
    <row r="396" spans="1:9" ht="18.75" customHeight="1">
      <c r="A396" s="2958">
        <v>395</v>
      </c>
      <c r="B396" s="2959" t="s">
        <v>3122</v>
      </c>
      <c r="C396" s="2959" t="s">
        <v>3463</v>
      </c>
      <c r="D396" s="2959" t="s">
        <v>3540</v>
      </c>
      <c r="E396" s="2959" t="s">
        <v>3125</v>
      </c>
      <c r="F396" s="2960">
        <v>202</v>
      </c>
      <c r="G396" s="2959" t="s">
        <v>3547</v>
      </c>
      <c r="H396" s="2959">
        <v>121.49</v>
      </c>
      <c r="I396" s="2959">
        <v>94.43</v>
      </c>
    </row>
    <row r="397" spans="1:9" ht="18.75" customHeight="1">
      <c r="A397" s="2958">
        <v>396</v>
      </c>
      <c r="B397" s="2959" t="s">
        <v>3122</v>
      </c>
      <c r="C397" s="2959" t="s">
        <v>3463</v>
      </c>
      <c r="D397" s="2959" t="s">
        <v>3540</v>
      </c>
      <c r="E397" s="2959" t="s">
        <v>3125</v>
      </c>
      <c r="F397" s="2960">
        <v>203</v>
      </c>
      <c r="G397" s="2959" t="s">
        <v>3548</v>
      </c>
      <c r="H397" s="2959">
        <v>158.22</v>
      </c>
      <c r="I397" s="2959">
        <v>122.98</v>
      </c>
    </row>
    <row r="398" spans="1:9" ht="18.75" customHeight="1">
      <c r="A398" s="2958">
        <v>397</v>
      </c>
      <c r="B398" s="2959" t="s">
        <v>3122</v>
      </c>
      <c r="C398" s="2959" t="s">
        <v>3463</v>
      </c>
      <c r="D398" s="2959" t="s">
        <v>3540</v>
      </c>
      <c r="E398" s="2959" t="s">
        <v>3125</v>
      </c>
      <c r="F398" s="2960">
        <v>204</v>
      </c>
      <c r="G398" s="2959" t="s">
        <v>3549</v>
      </c>
      <c r="H398" s="2959">
        <v>117.66</v>
      </c>
      <c r="I398" s="2959">
        <v>91.45</v>
      </c>
    </row>
    <row r="399" spans="1:9" ht="18.75" customHeight="1">
      <c r="A399" s="2958">
        <v>398</v>
      </c>
      <c r="B399" s="2959" t="s">
        <v>3122</v>
      </c>
      <c r="C399" s="2959" t="s">
        <v>3463</v>
      </c>
      <c r="D399" s="2959" t="s">
        <v>3540</v>
      </c>
      <c r="E399" s="2959" t="s">
        <v>3125</v>
      </c>
      <c r="F399" s="2960">
        <v>205</v>
      </c>
      <c r="G399" s="2959" t="s">
        <v>3550</v>
      </c>
      <c r="H399" s="2959">
        <v>117.22</v>
      </c>
      <c r="I399" s="2959">
        <v>91.11</v>
      </c>
    </row>
    <row r="400" spans="1:9" ht="18.75" customHeight="1">
      <c r="A400" s="2958">
        <v>399</v>
      </c>
      <c r="B400" s="2959" t="s">
        <v>3122</v>
      </c>
      <c r="C400" s="2959" t="s">
        <v>3463</v>
      </c>
      <c r="D400" s="2959" t="s">
        <v>3540</v>
      </c>
      <c r="E400" s="2959" t="s">
        <v>3125</v>
      </c>
      <c r="F400" s="2960">
        <v>301</v>
      </c>
      <c r="G400" s="2959" t="s">
        <v>3551</v>
      </c>
      <c r="H400" s="2959">
        <v>158.21</v>
      </c>
      <c r="I400" s="2959">
        <v>122.97</v>
      </c>
    </row>
    <row r="401" spans="1:9" ht="18.75" customHeight="1">
      <c r="A401" s="2958">
        <v>400</v>
      </c>
      <c r="B401" s="2959" t="s">
        <v>3122</v>
      </c>
      <c r="C401" s="2959" t="s">
        <v>3463</v>
      </c>
      <c r="D401" s="2959" t="s">
        <v>3540</v>
      </c>
      <c r="E401" s="2959" t="s">
        <v>3125</v>
      </c>
      <c r="F401" s="2960">
        <v>302</v>
      </c>
      <c r="G401" s="2959" t="s">
        <v>3552</v>
      </c>
      <c r="H401" s="2959">
        <v>121.49</v>
      </c>
      <c r="I401" s="2959">
        <v>94.43</v>
      </c>
    </row>
    <row r="402" spans="1:9" ht="18.75" customHeight="1">
      <c r="A402" s="2958">
        <v>401</v>
      </c>
      <c r="B402" s="2959" t="s">
        <v>3122</v>
      </c>
      <c r="C402" s="2959" t="s">
        <v>3463</v>
      </c>
      <c r="D402" s="2959" t="s">
        <v>3540</v>
      </c>
      <c r="E402" s="2959" t="s">
        <v>3125</v>
      </c>
      <c r="F402" s="2960">
        <v>303</v>
      </c>
      <c r="G402" s="2959" t="s">
        <v>3553</v>
      </c>
      <c r="H402" s="2959">
        <v>158.22</v>
      </c>
      <c r="I402" s="2959">
        <v>122.98</v>
      </c>
    </row>
    <row r="403" spans="1:9" ht="18.75" customHeight="1">
      <c r="A403" s="2958">
        <v>402</v>
      </c>
      <c r="B403" s="2959" t="s">
        <v>3122</v>
      </c>
      <c r="C403" s="2959" t="s">
        <v>3463</v>
      </c>
      <c r="D403" s="2959" t="s">
        <v>3540</v>
      </c>
      <c r="E403" s="2959" t="s">
        <v>3125</v>
      </c>
      <c r="F403" s="2960">
        <v>304</v>
      </c>
      <c r="G403" s="2959" t="s">
        <v>3554</v>
      </c>
      <c r="H403" s="2959">
        <v>117.66</v>
      </c>
      <c r="I403" s="2959">
        <v>91.45</v>
      </c>
    </row>
    <row r="404" spans="1:9" ht="18.75" customHeight="1">
      <c r="A404" s="2958">
        <v>403</v>
      </c>
      <c r="B404" s="2959" t="s">
        <v>3122</v>
      </c>
      <c r="C404" s="2959" t="s">
        <v>3463</v>
      </c>
      <c r="D404" s="2959" t="s">
        <v>3540</v>
      </c>
      <c r="E404" s="2959" t="s">
        <v>3125</v>
      </c>
      <c r="F404" s="2960">
        <v>305</v>
      </c>
      <c r="G404" s="2959" t="s">
        <v>3555</v>
      </c>
      <c r="H404" s="2959">
        <v>117.3</v>
      </c>
      <c r="I404" s="2959">
        <v>91.11</v>
      </c>
    </row>
    <row r="405" spans="1:9" ht="18.75" customHeight="1">
      <c r="A405" s="2958">
        <v>404</v>
      </c>
      <c r="B405" s="2959" t="s">
        <v>3122</v>
      </c>
      <c r="C405" s="2959" t="s">
        <v>3463</v>
      </c>
      <c r="D405" s="2959" t="s">
        <v>3540</v>
      </c>
      <c r="E405" s="2959" t="s">
        <v>3125</v>
      </c>
      <c r="F405" s="2960">
        <v>401</v>
      </c>
      <c r="G405" s="2959" t="s">
        <v>3556</v>
      </c>
      <c r="H405" s="2959">
        <v>158.21</v>
      </c>
      <c r="I405" s="2959">
        <v>122.97</v>
      </c>
    </row>
    <row r="406" spans="1:9" ht="18.75" customHeight="1">
      <c r="A406" s="2958">
        <v>405</v>
      </c>
      <c r="B406" s="2959" t="s">
        <v>3122</v>
      </c>
      <c r="C406" s="2959" t="s">
        <v>3463</v>
      </c>
      <c r="D406" s="2959" t="s">
        <v>3540</v>
      </c>
      <c r="E406" s="2959" t="s">
        <v>3125</v>
      </c>
      <c r="F406" s="2960">
        <v>402</v>
      </c>
      <c r="G406" s="2959" t="s">
        <v>3557</v>
      </c>
      <c r="H406" s="2959">
        <v>121.49</v>
      </c>
      <c r="I406" s="2959">
        <v>94.43</v>
      </c>
    </row>
    <row r="407" spans="1:9" ht="18.75" customHeight="1">
      <c r="A407" s="2958">
        <v>406</v>
      </c>
      <c r="B407" s="2959" t="s">
        <v>3122</v>
      </c>
      <c r="C407" s="2959" t="s">
        <v>3463</v>
      </c>
      <c r="D407" s="2959" t="s">
        <v>3540</v>
      </c>
      <c r="E407" s="2959" t="s">
        <v>3125</v>
      </c>
      <c r="F407" s="2960">
        <v>403</v>
      </c>
      <c r="G407" s="2959" t="s">
        <v>3558</v>
      </c>
      <c r="H407" s="2959">
        <v>158.22</v>
      </c>
      <c r="I407" s="2959">
        <v>122.98</v>
      </c>
    </row>
    <row r="408" spans="1:9" ht="18.75" customHeight="1">
      <c r="A408" s="2958">
        <v>407</v>
      </c>
      <c r="B408" s="2959" t="s">
        <v>3122</v>
      </c>
      <c r="C408" s="2959" t="s">
        <v>3463</v>
      </c>
      <c r="D408" s="2959" t="s">
        <v>3540</v>
      </c>
      <c r="E408" s="2959" t="s">
        <v>3125</v>
      </c>
      <c r="F408" s="2960">
        <v>404</v>
      </c>
      <c r="G408" s="2959" t="s">
        <v>3559</v>
      </c>
      <c r="H408" s="2959">
        <v>117.66</v>
      </c>
      <c r="I408" s="2959">
        <v>91.45</v>
      </c>
    </row>
    <row r="409" spans="1:9" ht="18.75" customHeight="1">
      <c r="A409" s="2958">
        <v>408</v>
      </c>
      <c r="B409" s="2959" t="s">
        <v>3122</v>
      </c>
      <c r="C409" s="2959" t="s">
        <v>3463</v>
      </c>
      <c r="D409" s="2959" t="s">
        <v>3540</v>
      </c>
      <c r="E409" s="2959" t="s">
        <v>3125</v>
      </c>
      <c r="F409" s="2960">
        <v>405</v>
      </c>
      <c r="G409" s="2959" t="s">
        <v>3560</v>
      </c>
      <c r="H409" s="2959">
        <v>117.3</v>
      </c>
      <c r="I409" s="2959">
        <v>91.11</v>
      </c>
    </row>
    <row r="410" spans="1:9" ht="18.75" customHeight="1">
      <c r="A410" s="2958">
        <v>409</v>
      </c>
      <c r="B410" s="2959" t="s">
        <v>3122</v>
      </c>
      <c r="C410" s="2959" t="s">
        <v>3463</v>
      </c>
      <c r="D410" s="2959" t="s">
        <v>3540</v>
      </c>
      <c r="E410" s="2959" t="s">
        <v>3125</v>
      </c>
      <c r="F410" s="2960">
        <v>501</v>
      </c>
      <c r="G410" s="2959" t="s">
        <v>3561</v>
      </c>
      <c r="H410" s="2959">
        <v>158.21</v>
      </c>
      <c r="I410" s="2959">
        <v>122.97</v>
      </c>
    </row>
    <row r="411" spans="1:9" ht="18.75" customHeight="1">
      <c r="A411" s="2958">
        <v>410</v>
      </c>
      <c r="B411" s="2959" t="s">
        <v>3122</v>
      </c>
      <c r="C411" s="2959" t="s">
        <v>3463</v>
      </c>
      <c r="D411" s="2959" t="s">
        <v>3540</v>
      </c>
      <c r="E411" s="2959" t="s">
        <v>3125</v>
      </c>
      <c r="F411" s="2960">
        <v>502</v>
      </c>
      <c r="G411" s="2959" t="s">
        <v>3562</v>
      </c>
      <c r="H411" s="2959">
        <v>121.49</v>
      </c>
      <c r="I411" s="2959">
        <v>94.43</v>
      </c>
    </row>
    <row r="412" spans="1:9" ht="18.75" customHeight="1">
      <c r="A412" s="2958">
        <v>411</v>
      </c>
      <c r="B412" s="2959" t="s">
        <v>3122</v>
      </c>
      <c r="C412" s="2959" t="s">
        <v>3463</v>
      </c>
      <c r="D412" s="2959" t="s">
        <v>3540</v>
      </c>
      <c r="E412" s="2959" t="s">
        <v>3125</v>
      </c>
      <c r="F412" s="2960">
        <v>503</v>
      </c>
      <c r="G412" s="2959" t="s">
        <v>3563</v>
      </c>
      <c r="H412" s="2959">
        <v>158.22</v>
      </c>
      <c r="I412" s="2959">
        <v>122.98</v>
      </c>
    </row>
    <row r="413" spans="1:9" ht="18.75" customHeight="1">
      <c r="A413" s="2958">
        <v>412</v>
      </c>
      <c r="B413" s="2959" t="s">
        <v>3122</v>
      </c>
      <c r="C413" s="2959" t="s">
        <v>3463</v>
      </c>
      <c r="D413" s="2959" t="s">
        <v>3540</v>
      </c>
      <c r="E413" s="2959" t="s">
        <v>3125</v>
      </c>
      <c r="F413" s="2960">
        <v>504</v>
      </c>
      <c r="G413" s="2959" t="s">
        <v>3564</v>
      </c>
      <c r="H413" s="2959">
        <v>117.66</v>
      </c>
      <c r="I413" s="2959">
        <v>91.45</v>
      </c>
    </row>
    <row r="414" spans="1:9" ht="18.75" customHeight="1">
      <c r="A414" s="2958">
        <v>413</v>
      </c>
      <c r="B414" s="2959" t="s">
        <v>3122</v>
      </c>
      <c r="C414" s="2959" t="s">
        <v>3463</v>
      </c>
      <c r="D414" s="2959" t="s">
        <v>3540</v>
      </c>
      <c r="E414" s="2959" t="s">
        <v>3125</v>
      </c>
      <c r="F414" s="2960">
        <v>505</v>
      </c>
      <c r="G414" s="2959" t="s">
        <v>3565</v>
      </c>
      <c r="H414" s="2959">
        <v>117.3</v>
      </c>
      <c r="I414" s="2959">
        <v>91.11</v>
      </c>
    </row>
    <row r="415" spans="1:9" ht="18.75" customHeight="1">
      <c r="A415" s="2958">
        <v>414</v>
      </c>
      <c r="B415" s="2959" t="s">
        <v>3122</v>
      </c>
      <c r="C415" s="2959" t="s">
        <v>3463</v>
      </c>
      <c r="D415" s="2959" t="s">
        <v>3540</v>
      </c>
      <c r="E415" s="2959" t="s">
        <v>3125</v>
      </c>
      <c r="F415" s="2960">
        <v>601</v>
      </c>
      <c r="G415" s="2959" t="s">
        <v>3566</v>
      </c>
      <c r="H415" s="2959">
        <v>158.21</v>
      </c>
      <c r="I415" s="2959">
        <v>122.97</v>
      </c>
    </row>
    <row r="416" spans="1:9" ht="18.75" customHeight="1">
      <c r="A416" s="2958">
        <v>415</v>
      </c>
      <c r="B416" s="2959" t="s">
        <v>3122</v>
      </c>
      <c r="C416" s="2959" t="s">
        <v>3463</v>
      </c>
      <c r="D416" s="2959" t="s">
        <v>3540</v>
      </c>
      <c r="E416" s="2959" t="s">
        <v>3125</v>
      </c>
      <c r="F416" s="2960">
        <v>602</v>
      </c>
      <c r="G416" s="2959" t="s">
        <v>3567</v>
      </c>
      <c r="H416" s="2959">
        <v>121.49</v>
      </c>
      <c r="I416" s="2959">
        <v>94.43</v>
      </c>
    </row>
    <row r="417" spans="1:9" ht="18.75" customHeight="1">
      <c r="A417" s="2958">
        <v>416</v>
      </c>
      <c r="B417" s="2959" t="s">
        <v>3122</v>
      </c>
      <c r="C417" s="2959" t="s">
        <v>3463</v>
      </c>
      <c r="D417" s="2959" t="s">
        <v>3540</v>
      </c>
      <c r="E417" s="2959" t="s">
        <v>3125</v>
      </c>
      <c r="F417" s="2960">
        <v>603</v>
      </c>
      <c r="G417" s="2959" t="s">
        <v>3568</v>
      </c>
      <c r="H417" s="2959">
        <v>158.22</v>
      </c>
      <c r="I417" s="2959">
        <v>122.98</v>
      </c>
    </row>
    <row r="418" spans="1:9" ht="18.75" customHeight="1">
      <c r="A418" s="2958">
        <v>417</v>
      </c>
      <c r="B418" s="2959" t="s">
        <v>3122</v>
      </c>
      <c r="C418" s="2959" t="s">
        <v>3463</v>
      </c>
      <c r="D418" s="2959" t="s">
        <v>3540</v>
      </c>
      <c r="E418" s="2959" t="s">
        <v>3125</v>
      </c>
      <c r="F418" s="2960">
        <v>604</v>
      </c>
      <c r="G418" s="2959" t="s">
        <v>3569</v>
      </c>
      <c r="H418" s="2959">
        <v>117.66</v>
      </c>
      <c r="I418" s="2959">
        <v>91.45</v>
      </c>
    </row>
    <row r="419" spans="1:9" ht="18.75" customHeight="1">
      <c r="A419" s="2958">
        <v>418</v>
      </c>
      <c r="B419" s="2959" t="s">
        <v>3122</v>
      </c>
      <c r="C419" s="2959" t="s">
        <v>3463</v>
      </c>
      <c r="D419" s="2959" t="s">
        <v>3540</v>
      </c>
      <c r="E419" s="2959" t="s">
        <v>3125</v>
      </c>
      <c r="F419" s="2960">
        <v>605</v>
      </c>
      <c r="G419" s="2959" t="s">
        <v>3570</v>
      </c>
      <c r="H419" s="2959">
        <v>117.3</v>
      </c>
      <c r="I419" s="2959">
        <v>91.11</v>
      </c>
    </row>
    <row r="420" spans="1:9" ht="18.75" customHeight="1">
      <c r="A420" s="2958">
        <v>419</v>
      </c>
      <c r="B420" s="2959" t="s">
        <v>3122</v>
      </c>
      <c r="C420" s="2959" t="s">
        <v>3463</v>
      </c>
      <c r="D420" s="2959" t="s">
        <v>3540</v>
      </c>
      <c r="E420" s="2959" t="s">
        <v>3125</v>
      </c>
      <c r="F420" s="2960">
        <v>701</v>
      </c>
      <c r="G420" s="2959" t="s">
        <v>3571</v>
      </c>
      <c r="H420" s="2959">
        <v>158.21</v>
      </c>
      <c r="I420" s="2959">
        <v>122.97</v>
      </c>
    </row>
    <row r="421" spans="1:9" ht="18.75" customHeight="1">
      <c r="A421" s="2958">
        <v>420</v>
      </c>
      <c r="B421" s="2959" t="s">
        <v>3122</v>
      </c>
      <c r="C421" s="2959" t="s">
        <v>3463</v>
      </c>
      <c r="D421" s="2959" t="s">
        <v>3540</v>
      </c>
      <c r="E421" s="2959" t="s">
        <v>3125</v>
      </c>
      <c r="F421" s="2960">
        <v>702</v>
      </c>
      <c r="G421" s="2959" t="s">
        <v>3572</v>
      </c>
      <c r="H421" s="2959">
        <v>121.49</v>
      </c>
      <c r="I421" s="2959">
        <v>94.43</v>
      </c>
    </row>
    <row r="422" spans="1:9" ht="18.75" customHeight="1">
      <c r="A422" s="2958">
        <v>421</v>
      </c>
      <c r="B422" s="2959" t="s">
        <v>3122</v>
      </c>
      <c r="C422" s="2959" t="s">
        <v>3463</v>
      </c>
      <c r="D422" s="2959" t="s">
        <v>3540</v>
      </c>
      <c r="E422" s="2959" t="s">
        <v>3125</v>
      </c>
      <c r="F422" s="2960">
        <v>703</v>
      </c>
      <c r="G422" s="2959" t="s">
        <v>3573</v>
      </c>
      <c r="H422" s="2959">
        <v>158.22</v>
      </c>
      <c r="I422" s="2959">
        <v>122.98</v>
      </c>
    </row>
    <row r="423" spans="1:9" ht="18.75" customHeight="1">
      <c r="A423" s="2958">
        <v>422</v>
      </c>
      <c r="B423" s="2959" t="s">
        <v>3122</v>
      </c>
      <c r="C423" s="2959" t="s">
        <v>3463</v>
      </c>
      <c r="D423" s="2959" t="s">
        <v>3540</v>
      </c>
      <c r="E423" s="2959" t="s">
        <v>3125</v>
      </c>
      <c r="F423" s="2960">
        <v>704</v>
      </c>
      <c r="G423" s="2959" t="s">
        <v>3574</v>
      </c>
      <c r="H423" s="2959">
        <v>117.66</v>
      </c>
      <c r="I423" s="2959">
        <v>91.45</v>
      </c>
    </row>
    <row r="424" spans="1:9" ht="18.75" customHeight="1">
      <c r="A424" s="2958">
        <v>423</v>
      </c>
      <c r="B424" s="2959" t="s">
        <v>3122</v>
      </c>
      <c r="C424" s="2959" t="s">
        <v>3463</v>
      </c>
      <c r="D424" s="2959" t="s">
        <v>3540</v>
      </c>
      <c r="E424" s="2959" t="s">
        <v>3125</v>
      </c>
      <c r="F424" s="2960">
        <v>705</v>
      </c>
      <c r="G424" s="2959" t="s">
        <v>3575</v>
      </c>
      <c r="H424" s="2959">
        <v>117.3</v>
      </c>
      <c r="I424" s="2959">
        <v>91.11</v>
      </c>
    </row>
    <row r="425" spans="1:9" ht="18.75" customHeight="1">
      <c r="A425" s="2958">
        <v>424</v>
      </c>
      <c r="B425" s="2959" t="s">
        <v>3122</v>
      </c>
      <c r="C425" s="2959" t="s">
        <v>3463</v>
      </c>
      <c r="D425" s="2959" t="s">
        <v>3540</v>
      </c>
      <c r="E425" s="2959" t="s">
        <v>3125</v>
      </c>
      <c r="F425" s="2960">
        <v>801</v>
      </c>
      <c r="G425" s="2959" t="s">
        <v>3576</v>
      </c>
      <c r="H425" s="2959">
        <v>158.21</v>
      </c>
      <c r="I425" s="2959">
        <v>122.97</v>
      </c>
    </row>
    <row r="426" spans="1:9" ht="18.75" customHeight="1">
      <c r="A426" s="2958">
        <v>425</v>
      </c>
      <c r="B426" s="2959" t="s">
        <v>3122</v>
      </c>
      <c r="C426" s="2959" t="s">
        <v>3463</v>
      </c>
      <c r="D426" s="2959" t="s">
        <v>3540</v>
      </c>
      <c r="E426" s="2959" t="s">
        <v>3125</v>
      </c>
      <c r="F426" s="2960">
        <v>802</v>
      </c>
      <c r="G426" s="2959" t="s">
        <v>3577</v>
      </c>
      <c r="H426" s="2959">
        <v>121.49</v>
      </c>
      <c r="I426" s="2959">
        <v>94.43</v>
      </c>
    </row>
    <row r="427" spans="1:9" ht="18.75" customHeight="1">
      <c r="A427" s="2958">
        <v>426</v>
      </c>
      <c r="B427" s="2959" t="s">
        <v>3122</v>
      </c>
      <c r="C427" s="2959" t="s">
        <v>3463</v>
      </c>
      <c r="D427" s="2959" t="s">
        <v>3540</v>
      </c>
      <c r="E427" s="2959" t="s">
        <v>3125</v>
      </c>
      <c r="F427" s="2960">
        <v>803</v>
      </c>
      <c r="G427" s="2959" t="s">
        <v>3578</v>
      </c>
      <c r="H427" s="2959">
        <v>158.22</v>
      </c>
      <c r="I427" s="2959">
        <v>122.98</v>
      </c>
    </row>
    <row r="428" spans="1:9" ht="18.75" customHeight="1">
      <c r="A428" s="2958">
        <v>427</v>
      </c>
      <c r="B428" s="2959" t="s">
        <v>3122</v>
      </c>
      <c r="C428" s="2959" t="s">
        <v>3463</v>
      </c>
      <c r="D428" s="2959" t="s">
        <v>3540</v>
      </c>
      <c r="E428" s="2959" t="s">
        <v>3125</v>
      </c>
      <c r="F428" s="2960">
        <v>804</v>
      </c>
      <c r="G428" s="2959" t="s">
        <v>3579</v>
      </c>
      <c r="H428" s="2959">
        <v>117.66</v>
      </c>
      <c r="I428" s="2959">
        <v>91.45</v>
      </c>
    </row>
    <row r="429" spans="1:9" ht="18.75" customHeight="1">
      <c r="A429" s="2958">
        <v>428</v>
      </c>
      <c r="B429" s="2959" t="s">
        <v>3122</v>
      </c>
      <c r="C429" s="2959" t="s">
        <v>3463</v>
      </c>
      <c r="D429" s="2959" t="s">
        <v>3540</v>
      </c>
      <c r="E429" s="2959" t="s">
        <v>3125</v>
      </c>
      <c r="F429" s="2960">
        <v>805</v>
      </c>
      <c r="G429" s="2959" t="s">
        <v>3580</v>
      </c>
      <c r="H429" s="2959">
        <v>117.3</v>
      </c>
      <c r="I429" s="2959">
        <v>91.11</v>
      </c>
    </row>
    <row r="430" spans="1:9" ht="18.75" customHeight="1">
      <c r="A430" s="2958">
        <v>429</v>
      </c>
      <c r="B430" s="2959" t="s">
        <v>3122</v>
      </c>
      <c r="C430" s="2959" t="s">
        <v>3463</v>
      </c>
      <c r="D430" s="2959" t="s">
        <v>3540</v>
      </c>
      <c r="E430" s="2959" t="s">
        <v>3125</v>
      </c>
      <c r="F430" s="2960">
        <v>901</v>
      </c>
      <c r="G430" s="2959" t="s">
        <v>3581</v>
      </c>
      <c r="H430" s="2959">
        <v>158.21</v>
      </c>
      <c r="I430" s="2959">
        <v>122.97</v>
      </c>
    </row>
    <row r="431" spans="1:9" ht="18.75" customHeight="1">
      <c r="A431" s="2958">
        <v>430</v>
      </c>
      <c r="B431" s="2959" t="s">
        <v>3122</v>
      </c>
      <c r="C431" s="2959" t="s">
        <v>3463</v>
      </c>
      <c r="D431" s="2959" t="s">
        <v>3540</v>
      </c>
      <c r="E431" s="2959" t="s">
        <v>3125</v>
      </c>
      <c r="F431" s="2960">
        <v>902</v>
      </c>
      <c r="G431" s="2959" t="s">
        <v>3582</v>
      </c>
      <c r="H431" s="2959">
        <v>121.49</v>
      </c>
      <c r="I431" s="2959">
        <v>94.43</v>
      </c>
    </row>
    <row r="432" spans="1:9" ht="18.75" customHeight="1">
      <c r="A432" s="2958">
        <v>431</v>
      </c>
      <c r="B432" s="2959" t="s">
        <v>3122</v>
      </c>
      <c r="C432" s="2959" t="s">
        <v>3463</v>
      </c>
      <c r="D432" s="2959" t="s">
        <v>3540</v>
      </c>
      <c r="E432" s="2959" t="s">
        <v>3125</v>
      </c>
      <c r="F432" s="2960">
        <v>903</v>
      </c>
      <c r="G432" s="2959" t="s">
        <v>3583</v>
      </c>
      <c r="H432" s="2959">
        <v>158.22</v>
      </c>
      <c r="I432" s="2959">
        <v>122.98</v>
      </c>
    </row>
    <row r="433" spans="1:9" ht="18.75" customHeight="1">
      <c r="A433" s="2958">
        <v>432</v>
      </c>
      <c r="B433" s="2959" t="s">
        <v>3122</v>
      </c>
      <c r="C433" s="2959" t="s">
        <v>3463</v>
      </c>
      <c r="D433" s="2959" t="s">
        <v>3540</v>
      </c>
      <c r="E433" s="2959" t="s">
        <v>3125</v>
      </c>
      <c r="F433" s="2960">
        <v>904</v>
      </c>
      <c r="G433" s="2959" t="s">
        <v>3584</v>
      </c>
      <c r="H433" s="2959">
        <v>117.66</v>
      </c>
      <c r="I433" s="2959">
        <v>91.45</v>
      </c>
    </row>
    <row r="434" spans="1:9" ht="18.75" customHeight="1">
      <c r="A434" s="2958">
        <v>433</v>
      </c>
      <c r="B434" s="2959" t="s">
        <v>3122</v>
      </c>
      <c r="C434" s="2959" t="s">
        <v>3463</v>
      </c>
      <c r="D434" s="2959" t="s">
        <v>3540</v>
      </c>
      <c r="E434" s="2959" t="s">
        <v>3125</v>
      </c>
      <c r="F434" s="2960">
        <v>905</v>
      </c>
      <c r="G434" s="2959" t="s">
        <v>3585</v>
      </c>
      <c r="H434" s="2959">
        <v>117.3</v>
      </c>
      <c r="I434" s="2959">
        <v>91.11</v>
      </c>
    </row>
    <row r="435" spans="1:9" ht="18.75" customHeight="1">
      <c r="A435" s="2958">
        <v>434</v>
      </c>
      <c r="B435" s="2959" t="s">
        <v>3122</v>
      </c>
      <c r="C435" s="2959" t="s">
        <v>3463</v>
      </c>
      <c r="D435" s="2959" t="s">
        <v>3540</v>
      </c>
      <c r="E435" s="2959" t="s">
        <v>3125</v>
      </c>
      <c r="F435" s="2960">
        <v>1001</v>
      </c>
      <c r="G435" s="2959" t="s">
        <v>3586</v>
      </c>
      <c r="H435" s="2959">
        <v>158.21</v>
      </c>
      <c r="I435" s="2959">
        <v>122.97</v>
      </c>
    </row>
    <row r="436" spans="1:9" ht="18.75" customHeight="1">
      <c r="A436" s="2958">
        <v>435</v>
      </c>
      <c r="B436" s="2959" t="s">
        <v>3122</v>
      </c>
      <c r="C436" s="2959" t="s">
        <v>3463</v>
      </c>
      <c r="D436" s="2959" t="s">
        <v>3540</v>
      </c>
      <c r="E436" s="2959" t="s">
        <v>3125</v>
      </c>
      <c r="F436" s="2960">
        <v>1002</v>
      </c>
      <c r="G436" s="2959" t="s">
        <v>3587</v>
      </c>
      <c r="H436" s="2959">
        <v>121.49</v>
      </c>
      <c r="I436" s="2959">
        <v>94.43</v>
      </c>
    </row>
    <row r="437" spans="1:9" ht="18.75" customHeight="1">
      <c r="A437" s="2958">
        <v>436</v>
      </c>
      <c r="B437" s="2959" t="s">
        <v>3122</v>
      </c>
      <c r="C437" s="2959" t="s">
        <v>3463</v>
      </c>
      <c r="D437" s="2959" t="s">
        <v>3540</v>
      </c>
      <c r="E437" s="2959" t="s">
        <v>3125</v>
      </c>
      <c r="F437" s="2960">
        <v>1003</v>
      </c>
      <c r="G437" s="2959" t="s">
        <v>3588</v>
      </c>
      <c r="H437" s="2959">
        <v>158.22</v>
      </c>
      <c r="I437" s="2959">
        <v>122.98</v>
      </c>
    </row>
    <row r="438" spans="1:9" ht="18.75" customHeight="1">
      <c r="A438" s="2958">
        <v>437</v>
      </c>
      <c r="B438" s="2959" t="s">
        <v>3122</v>
      </c>
      <c r="C438" s="2959" t="s">
        <v>3463</v>
      </c>
      <c r="D438" s="2959" t="s">
        <v>3540</v>
      </c>
      <c r="E438" s="2959" t="s">
        <v>3125</v>
      </c>
      <c r="F438" s="2960">
        <v>1004</v>
      </c>
      <c r="G438" s="2959" t="s">
        <v>3589</v>
      </c>
      <c r="H438" s="2959">
        <v>117.66</v>
      </c>
      <c r="I438" s="2959">
        <v>91.45</v>
      </c>
    </row>
    <row r="439" spans="1:9" ht="18.75" customHeight="1">
      <c r="A439" s="2958">
        <v>438</v>
      </c>
      <c r="B439" s="2959" t="s">
        <v>3122</v>
      </c>
      <c r="C439" s="2959" t="s">
        <v>3463</v>
      </c>
      <c r="D439" s="2959" t="s">
        <v>3540</v>
      </c>
      <c r="E439" s="2959" t="s">
        <v>3125</v>
      </c>
      <c r="F439" s="2960">
        <v>1005</v>
      </c>
      <c r="G439" s="2959" t="s">
        <v>3590</v>
      </c>
      <c r="H439" s="2959">
        <v>117.3</v>
      </c>
      <c r="I439" s="2959">
        <v>91.11</v>
      </c>
    </row>
    <row r="440" spans="1:9" ht="18.75" customHeight="1">
      <c r="A440" s="2958">
        <v>439</v>
      </c>
      <c r="B440" s="2959" t="s">
        <v>3122</v>
      </c>
      <c r="C440" s="2959" t="s">
        <v>3463</v>
      </c>
      <c r="D440" s="2959" t="s">
        <v>3540</v>
      </c>
      <c r="E440" s="2959" t="s">
        <v>3125</v>
      </c>
      <c r="F440" s="2960">
        <v>1101</v>
      </c>
      <c r="G440" s="2959" t="s">
        <v>3591</v>
      </c>
      <c r="H440" s="2959">
        <v>158.21</v>
      </c>
      <c r="I440" s="2959">
        <v>122.97</v>
      </c>
    </row>
    <row r="441" spans="1:9" ht="18.75" customHeight="1">
      <c r="A441" s="2958">
        <v>440</v>
      </c>
      <c r="B441" s="2959" t="s">
        <v>3122</v>
      </c>
      <c r="C441" s="2959" t="s">
        <v>3463</v>
      </c>
      <c r="D441" s="2959" t="s">
        <v>3540</v>
      </c>
      <c r="E441" s="2959" t="s">
        <v>3125</v>
      </c>
      <c r="F441" s="2960">
        <v>1102</v>
      </c>
      <c r="G441" s="2959" t="s">
        <v>3592</v>
      </c>
      <c r="H441" s="2959">
        <v>121.49</v>
      </c>
      <c r="I441" s="2959">
        <v>94.43</v>
      </c>
    </row>
    <row r="442" spans="1:9" ht="18.75" customHeight="1">
      <c r="A442" s="2958">
        <v>441</v>
      </c>
      <c r="B442" s="2959" t="s">
        <v>3122</v>
      </c>
      <c r="C442" s="2959" t="s">
        <v>3463</v>
      </c>
      <c r="D442" s="2959" t="s">
        <v>3540</v>
      </c>
      <c r="E442" s="2959" t="s">
        <v>3125</v>
      </c>
      <c r="F442" s="2960">
        <v>1103</v>
      </c>
      <c r="G442" s="2959" t="s">
        <v>3593</v>
      </c>
      <c r="H442" s="2959">
        <v>158.22</v>
      </c>
      <c r="I442" s="2959">
        <v>122.98</v>
      </c>
    </row>
    <row r="443" spans="1:9" ht="18.75" customHeight="1">
      <c r="A443" s="2958">
        <v>442</v>
      </c>
      <c r="B443" s="2959" t="s">
        <v>3122</v>
      </c>
      <c r="C443" s="2959" t="s">
        <v>3463</v>
      </c>
      <c r="D443" s="2959" t="s">
        <v>3540</v>
      </c>
      <c r="E443" s="2959" t="s">
        <v>3125</v>
      </c>
      <c r="F443" s="2960">
        <v>1104</v>
      </c>
      <c r="G443" s="2959" t="s">
        <v>3594</v>
      </c>
      <c r="H443" s="2959">
        <v>117.66</v>
      </c>
      <c r="I443" s="2959">
        <v>91.45</v>
      </c>
    </row>
    <row r="444" spans="1:9" ht="18.75" customHeight="1">
      <c r="A444" s="2958">
        <v>443</v>
      </c>
      <c r="B444" s="2959" t="s">
        <v>3122</v>
      </c>
      <c r="C444" s="2959" t="s">
        <v>3463</v>
      </c>
      <c r="D444" s="2959" t="s">
        <v>3540</v>
      </c>
      <c r="E444" s="2959" t="s">
        <v>3125</v>
      </c>
      <c r="F444" s="2960">
        <v>1105</v>
      </c>
      <c r="G444" s="2959" t="s">
        <v>3595</v>
      </c>
      <c r="H444" s="2959">
        <v>117.3</v>
      </c>
      <c r="I444" s="2959">
        <v>91.11</v>
      </c>
    </row>
    <row r="445" spans="1:9" ht="18.75" customHeight="1">
      <c r="A445" s="2958">
        <v>444</v>
      </c>
      <c r="B445" s="2959" t="s">
        <v>3122</v>
      </c>
      <c r="C445" s="2959" t="s">
        <v>3463</v>
      </c>
      <c r="D445" s="2959" t="s">
        <v>3540</v>
      </c>
      <c r="E445" s="2959" t="s">
        <v>3125</v>
      </c>
      <c r="F445" s="2960">
        <v>1201</v>
      </c>
      <c r="G445" s="2959" t="s">
        <v>3596</v>
      </c>
      <c r="H445" s="2959">
        <v>158.21</v>
      </c>
      <c r="I445" s="2959">
        <v>122.97</v>
      </c>
    </row>
    <row r="446" spans="1:9" ht="18.75" customHeight="1">
      <c r="A446" s="2958">
        <v>445</v>
      </c>
      <c r="B446" s="2959" t="s">
        <v>3122</v>
      </c>
      <c r="C446" s="2959" t="s">
        <v>3463</v>
      </c>
      <c r="D446" s="2959" t="s">
        <v>3540</v>
      </c>
      <c r="E446" s="2959" t="s">
        <v>3125</v>
      </c>
      <c r="F446" s="2960">
        <v>1202</v>
      </c>
      <c r="G446" s="2959" t="s">
        <v>3597</v>
      </c>
      <c r="H446" s="2959">
        <v>121.49</v>
      </c>
      <c r="I446" s="2959">
        <v>94.43</v>
      </c>
    </row>
    <row r="447" spans="1:9" ht="18.75" customHeight="1">
      <c r="A447" s="2958">
        <v>446</v>
      </c>
      <c r="B447" s="2959" t="s">
        <v>3122</v>
      </c>
      <c r="C447" s="2959" t="s">
        <v>3463</v>
      </c>
      <c r="D447" s="2959" t="s">
        <v>3540</v>
      </c>
      <c r="E447" s="2959" t="s">
        <v>3125</v>
      </c>
      <c r="F447" s="2960">
        <v>1203</v>
      </c>
      <c r="G447" s="2959" t="s">
        <v>3598</v>
      </c>
      <c r="H447" s="2959">
        <v>158.22</v>
      </c>
      <c r="I447" s="2959">
        <v>122.98</v>
      </c>
    </row>
    <row r="448" spans="1:9" ht="18.75" customHeight="1">
      <c r="A448" s="2958">
        <v>447</v>
      </c>
      <c r="B448" s="2959" t="s">
        <v>3122</v>
      </c>
      <c r="C448" s="2959" t="s">
        <v>3463</v>
      </c>
      <c r="D448" s="2959" t="s">
        <v>3540</v>
      </c>
      <c r="E448" s="2959" t="s">
        <v>3125</v>
      </c>
      <c r="F448" s="2960">
        <v>1204</v>
      </c>
      <c r="G448" s="2959" t="s">
        <v>3599</v>
      </c>
      <c r="H448" s="2959">
        <v>117.66</v>
      </c>
      <c r="I448" s="2959">
        <v>91.45</v>
      </c>
    </row>
    <row r="449" spans="1:9" ht="18.75" customHeight="1">
      <c r="A449" s="2958">
        <v>448</v>
      </c>
      <c r="B449" s="2959" t="s">
        <v>3122</v>
      </c>
      <c r="C449" s="2959" t="s">
        <v>3463</v>
      </c>
      <c r="D449" s="2959" t="s">
        <v>3540</v>
      </c>
      <c r="E449" s="2959" t="s">
        <v>3125</v>
      </c>
      <c r="F449" s="2960">
        <v>1205</v>
      </c>
      <c r="G449" s="2959" t="s">
        <v>3600</v>
      </c>
      <c r="H449" s="2959">
        <v>117.3</v>
      </c>
      <c r="I449" s="2959">
        <v>91.11</v>
      </c>
    </row>
    <row r="450" spans="1:9" ht="18.75" customHeight="1">
      <c r="A450" s="2958">
        <v>449</v>
      </c>
      <c r="B450" s="2959" t="s">
        <v>3122</v>
      </c>
      <c r="C450" s="2959" t="s">
        <v>3463</v>
      </c>
      <c r="D450" s="2959" t="s">
        <v>3540</v>
      </c>
      <c r="E450" s="2959" t="s">
        <v>3125</v>
      </c>
      <c r="F450" s="2960">
        <v>1301</v>
      </c>
      <c r="G450" s="2959" t="s">
        <v>3601</v>
      </c>
      <c r="H450" s="2959">
        <v>158.21</v>
      </c>
      <c r="I450" s="2959">
        <v>122.97</v>
      </c>
    </row>
    <row r="451" spans="1:9" ht="18.75" customHeight="1">
      <c r="A451" s="2958">
        <v>450</v>
      </c>
      <c r="B451" s="2959" t="s">
        <v>3122</v>
      </c>
      <c r="C451" s="2959" t="s">
        <v>3463</v>
      </c>
      <c r="D451" s="2959" t="s">
        <v>3540</v>
      </c>
      <c r="E451" s="2959" t="s">
        <v>3125</v>
      </c>
      <c r="F451" s="2960">
        <v>1302</v>
      </c>
      <c r="G451" s="2959" t="s">
        <v>3602</v>
      </c>
      <c r="H451" s="2959">
        <v>121.49</v>
      </c>
      <c r="I451" s="2959">
        <v>94.43</v>
      </c>
    </row>
    <row r="452" spans="1:9" ht="18.75" customHeight="1">
      <c r="A452" s="2958">
        <v>451</v>
      </c>
      <c r="B452" s="2959" t="s">
        <v>3122</v>
      </c>
      <c r="C452" s="2959" t="s">
        <v>3463</v>
      </c>
      <c r="D452" s="2959" t="s">
        <v>3540</v>
      </c>
      <c r="E452" s="2959" t="s">
        <v>3125</v>
      </c>
      <c r="F452" s="2960">
        <v>1303</v>
      </c>
      <c r="G452" s="2959" t="s">
        <v>3603</v>
      </c>
      <c r="H452" s="2959">
        <v>158.22</v>
      </c>
      <c r="I452" s="2959">
        <v>122.98</v>
      </c>
    </row>
    <row r="453" spans="1:9" ht="18.75" customHeight="1">
      <c r="A453" s="2958">
        <v>452</v>
      </c>
      <c r="B453" s="2959" t="s">
        <v>3122</v>
      </c>
      <c r="C453" s="2959" t="s">
        <v>3463</v>
      </c>
      <c r="D453" s="2959" t="s">
        <v>3540</v>
      </c>
      <c r="E453" s="2959" t="s">
        <v>3125</v>
      </c>
      <c r="F453" s="2960">
        <v>1304</v>
      </c>
      <c r="G453" s="2959" t="s">
        <v>3604</v>
      </c>
      <c r="H453" s="2959">
        <v>117.66</v>
      </c>
      <c r="I453" s="2959">
        <v>91.45</v>
      </c>
    </row>
    <row r="454" spans="1:9" ht="18.75" customHeight="1">
      <c r="A454" s="2958">
        <v>453</v>
      </c>
      <c r="B454" s="2959" t="s">
        <v>3122</v>
      </c>
      <c r="C454" s="2959" t="s">
        <v>3463</v>
      </c>
      <c r="D454" s="2959" t="s">
        <v>3540</v>
      </c>
      <c r="E454" s="2959" t="s">
        <v>3125</v>
      </c>
      <c r="F454" s="2960">
        <v>1305</v>
      </c>
      <c r="G454" s="2959" t="s">
        <v>3605</v>
      </c>
      <c r="H454" s="2959">
        <v>117.3</v>
      </c>
      <c r="I454" s="2959">
        <v>91.11</v>
      </c>
    </row>
    <row r="455" spans="1:9" ht="18.75" customHeight="1">
      <c r="A455" s="2958">
        <v>454</v>
      </c>
      <c r="B455" s="2959" t="s">
        <v>3122</v>
      </c>
      <c r="C455" s="2959" t="s">
        <v>3463</v>
      </c>
      <c r="D455" s="2959" t="s">
        <v>3540</v>
      </c>
      <c r="E455" s="2959" t="s">
        <v>3125</v>
      </c>
      <c r="F455" s="2960">
        <v>1401</v>
      </c>
      <c r="G455" s="2959" t="s">
        <v>3606</v>
      </c>
      <c r="H455" s="2959">
        <v>158.21</v>
      </c>
      <c r="I455" s="2959">
        <v>122.97</v>
      </c>
    </row>
    <row r="456" spans="1:9" ht="18.75" customHeight="1">
      <c r="A456" s="2958">
        <v>455</v>
      </c>
      <c r="B456" s="2959" t="s">
        <v>3122</v>
      </c>
      <c r="C456" s="2959" t="s">
        <v>3463</v>
      </c>
      <c r="D456" s="2959" t="s">
        <v>3540</v>
      </c>
      <c r="E456" s="2959" t="s">
        <v>3125</v>
      </c>
      <c r="F456" s="2960">
        <v>1402</v>
      </c>
      <c r="G456" s="2959" t="s">
        <v>3607</v>
      </c>
      <c r="H456" s="2959">
        <v>121.49</v>
      </c>
      <c r="I456" s="2959">
        <v>94.43</v>
      </c>
    </row>
    <row r="457" spans="1:9" ht="18.75" customHeight="1">
      <c r="A457" s="2958">
        <v>456</v>
      </c>
      <c r="B457" s="2959" t="s">
        <v>3122</v>
      </c>
      <c r="C457" s="2959" t="s">
        <v>3463</v>
      </c>
      <c r="D457" s="2959" t="s">
        <v>3540</v>
      </c>
      <c r="E457" s="2959" t="s">
        <v>3125</v>
      </c>
      <c r="F457" s="2960">
        <v>1403</v>
      </c>
      <c r="G457" s="2959" t="s">
        <v>3608</v>
      </c>
      <c r="H457" s="2959">
        <v>158.22</v>
      </c>
      <c r="I457" s="2959">
        <v>122.98</v>
      </c>
    </row>
    <row r="458" spans="1:9" ht="18.75" customHeight="1">
      <c r="A458" s="2958">
        <v>457</v>
      </c>
      <c r="B458" s="2959" t="s">
        <v>3122</v>
      </c>
      <c r="C458" s="2959" t="s">
        <v>3463</v>
      </c>
      <c r="D458" s="2959" t="s">
        <v>3540</v>
      </c>
      <c r="E458" s="2959" t="s">
        <v>3125</v>
      </c>
      <c r="F458" s="2960">
        <v>1404</v>
      </c>
      <c r="G458" s="2959" t="s">
        <v>3609</v>
      </c>
      <c r="H458" s="2959">
        <v>117.66</v>
      </c>
      <c r="I458" s="2959">
        <v>91.45</v>
      </c>
    </row>
    <row r="459" spans="1:9" ht="18.75" customHeight="1">
      <c r="A459" s="2958">
        <v>458</v>
      </c>
      <c r="B459" s="2959" t="s">
        <v>3122</v>
      </c>
      <c r="C459" s="2959" t="s">
        <v>3463</v>
      </c>
      <c r="D459" s="2959" t="s">
        <v>3540</v>
      </c>
      <c r="E459" s="2959" t="s">
        <v>3125</v>
      </c>
      <c r="F459" s="2960">
        <v>1405</v>
      </c>
      <c r="G459" s="2959" t="s">
        <v>3610</v>
      </c>
      <c r="H459" s="2959">
        <v>117.3</v>
      </c>
      <c r="I459" s="2959">
        <v>91.11</v>
      </c>
    </row>
    <row r="460" spans="1:9" ht="18.75" customHeight="1">
      <c r="A460" s="2958">
        <v>459</v>
      </c>
      <c r="B460" s="2959" t="s">
        <v>3122</v>
      </c>
      <c r="C460" s="2959" t="s">
        <v>3463</v>
      </c>
      <c r="D460" s="2959" t="s">
        <v>3540</v>
      </c>
      <c r="E460" s="2959" t="s">
        <v>3125</v>
      </c>
      <c r="F460" s="2960">
        <v>1501</v>
      </c>
      <c r="G460" s="2959" t="s">
        <v>3611</v>
      </c>
      <c r="H460" s="2959">
        <v>158.21</v>
      </c>
      <c r="I460" s="2959">
        <v>122.97</v>
      </c>
    </row>
    <row r="461" spans="1:9" ht="18.75" customHeight="1">
      <c r="A461" s="2958">
        <v>460</v>
      </c>
      <c r="B461" s="2959" t="s">
        <v>3122</v>
      </c>
      <c r="C461" s="2959" t="s">
        <v>3463</v>
      </c>
      <c r="D461" s="2959" t="s">
        <v>3540</v>
      </c>
      <c r="E461" s="2959" t="s">
        <v>3125</v>
      </c>
      <c r="F461" s="2960">
        <v>1502</v>
      </c>
      <c r="G461" s="2959" t="s">
        <v>3612</v>
      </c>
      <c r="H461" s="2959">
        <v>121.49</v>
      </c>
      <c r="I461" s="2959">
        <v>94.43</v>
      </c>
    </row>
    <row r="462" spans="1:9" ht="18.75" customHeight="1">
      <c r="A462" s="2958">
        <v>461</v>
      </c>
      <c r="B462" s="2959" t="s">
        <v>3122</v>
      </c>
      <c r="C462" s="2959" t="s">
        <v>3463</v>
      </c>
      <c r="D462" s="2959" t="s">
        <v>3540</v>
      </c>
      <c r="E462" s="2959" t="s">
        <v>3125</v>
      </c>
      <c r="F462" s="2960">
        <v>1503</v>
      </c>
      <c r="G462" s="2959" t="s">
        <v>3613</v>
      </c>
      <c r="H462" s="2959">
        <v>158.22</v>
      </c>
      <c r="I462" s="2959">
        <v>122.98</v>
      </c>
    </row>
    <row r="463" spans="1:9" ht="18.75" customHeight="1">
      <c r="A463" s="2958">
        <v>462</v>
      </c>
      <c r="B463" s="2959" t="s">
        <v>3122</v>
      </c>
      <c r="C463" s="2959" t="s">
        <v>3463</v>
      </c>
      <c r="D463" s="2959" t="s">
        <v>3540</v>
      </c>
      <c r="E463" s="2959" t="s">
        <v>3125</v>
      </c>
      <c r="F463" s="2960">
        <v>1504</v>
      </c>
      <c r="G463" s="2959" t="s">
        <v>3614</v>
      </c>
      <c r="H463" s="2959">
        <v>117.66</v>
      </c>
      <c r="I463" s="2959">
        <v>91.45</v>
      </c>
    </row>
    <row r="464" spans="1:9" ht="18.75" customHeight="1">
      <c r="A464" s="2958">
        <v>463</v>
      </c>
      <c r="B464" s="2959" t="s">
        <v>3122</v>
      </c>
      <c r="C464" s="2959" t="s">
        <v>3463</v>
      </c>
      <c r="D464" s="2959" t="s">
        <v>3540</v>
      </c>
      <c r="E464" s="2959" t="s">
        <v>3125</v>
      </c>
      <c r="F464" s="2960">
        <v>1505</v>
      </c>
      <c r="G464" s="2959" t="s">
        <v>3615</v>
      </c>
      <c r="H464" s="2959">
        <v>117.3</v>
      </c>
      <c r="I464" s="2959">
        <v>91.11</v>
      </c>
    </row>
    <row r="465" spans="1:9" ht="18.75" customHeight="1">
      <c r="A465" s="2958">
        <v>464</v>
      </c>
      <c r="B465" s="2959" t="s">
        <v>3122</v>
      </c>
      <c r="C465" s="2959" t="s">
        <v>3463</v>
      </c>
      <c r="D465" s="2959" t="s">
        <v>3540</v>
      </c>
      <c r="E465" s="2959" t="s">
        <v>3125</v>
      </c>
      <c r="F465" s="2960">
        <v>1601</v>
      </c>
      <c r="G465" s="2959" t="s">
        <v>3616</v>
      </c>
      <c r="H465" s="2959">
        <v>158.21</v>
      </c>
      <c r="I465" s="2959">
        <v>122.97</v>
      </c>
    </row>
    <row r="466" spans="1:9" ht="18.75" customHeight="1">
      <c r="A466" s="2958">
        <v>465</v>
      </c>
      <c r="B466" s="2959" t="s">
        <v>3122</v>
      </c>
      <c r="C466" s="2959" t="s">
        <v>3463</v>
      </c>
      <c r="D466" s="2959" t="s">
        <v>3540</v>
      </c>
      <c r="E466" s="2959" t="s">
        <v>3125</v>
      </c>
      <c r="F466" s="2960">
        <v>1602</v>
      </c>
      <c r="G466" s="2959" t="s">
        <v>3617</v>
      </c>
      <c r="H466" s="2959">
        <v>121.49</v>
      </c>
      <c r="I466" s="2959">
        <v>94.43</v>
      </c>
    </row>
    <row r="467" spans="1:9" ht="18.75" customHeight="1">
      <c r="A467" s="2958">
        <v>466</v>
      </c>
      <c r="B467" s="2959" t="s">
        <v>3122</v>
      </c>
      <c r="C467" s="2959" t="s">
        <v>3463</v>
      </c>
      <c r="D467" s="2959" t="s">
        <v>3540</v>
      </c>
      <c r="E467" s="2959" t="s">
        <v>3125</v>
      </c>
      <c r="F467" s="2960">
        <v>1603</v>
      </c>
      <c r="G467" s="2959" t="s">
        <v>3618</v>
      </c>
      <c r="H467" s="2959">
        <v>158.22</v>
      </c>
      <c r="I467" s="2959">
        <v>122.98</v>
      </c>
    </row>
    <row r="468" spans="1:9" ht="18.75" customHeight="1">
      <c r="A468" s="2958">
        <v>467</v>
      </c>
      <c r="B468" s="2959" t="s">
        <v>3122</v>
      </c>
      <c r="C468" s="2959" t="s">
        <v>3463</v>
      </c>
      <c r="D468" s="2959" t="s">
        <v>3540</v>
      </c>
      <c r="E468" s="2959" t="s">
        <v>3125</v>
      </c>
      <c r="F468" s="2960">
        <v>1604</v>
      </c>
      <c r="G468" s="2959" t="s">
        <v>3619</v>
      </c>
      <c r="H468" s="2959">
        <v>117.66</v>
      </c>
      <c r="I468" s="2959">
        <v>91.45</v>
      </c>
    </row>
    <row r="469" spans="1:9" ht="18.75" customHeight="1">
      <c r="A469" s="2958">
        <v>468</v>
      </c>
      <c r="B469" s="2959" t="s">
        <v>3122</v>
      </c>
      <c r="C469" s="2959" t="s">
        <v>3463</v>
      </c>
      <c r="D469" s="2959" t="s">
        <v>3540</v>
      </c>
      <c r="E469" s="2959" t="s">
        <v>3125</v>
      </c>
      <c r="F469" s="2960">
        <v>1605</v>
      </c>
      <c r="G469" s="2959" t="s">
        <v>3620</v>
      </c>
      <c r="H469" s="2959">
        <v>117.3</v>
      </c>
      <c r="I469" s="2959">
        <v>91.11</v>
      </c>
    </row>
    <row r="470" spans="1:9" ht="18.75" customHeight="1">
      <c r="A470" s="2958">
        <v>469</v>
      </c>
      <c r="B470" s="2959" t="s">
        <v>3122</v>
      </c>
      <c r="C470" s="2959" t="s">
        <v>3463</v>
      </c>
      <c r="D470" s="2959" t="s">
        <v>3540</v>
      </c>
      <c r="E470" s="2959" t="s">
        <v>3125</v>
      </c>
      <c r="F470" s="2960">
        <v>1701</v>
      </c>
      <c r="G470" s="2959" t="s">
        <v>3621</v>
      </c>
      <c r="H470" s="2959">
        <v>158.21</v>
      </c>
      <c r="I470" s="2959">
        <v>122.97</v>
      </c>
    </row>
    <row r="471" spans="1:9" ht="18.75" customHeight="1">
      <c r="A471" s="2958">
        <v>470</v>
      </c>
      <c r="B471" s="2959" t="s">
        <v>3122</v>
      </c>
      <c r="C471" s="2959" t="s">
        <v>3463</v>
      </c>
      <c r="D471" s="2959" t="s">
        <v>3540</v>
      </c>
      <c r="E471" s="2959" t="s">
        <v>3125</v>
      </c>
      <c r="F471" s="2960">
        <v>1702</v>
      </c>
      <c r="G471" s="2959" t="s">
        <v>3622</v>
      </c>
      <c r="H471" s="2959">
        <v>121.49</v>
      </c>
      <c r="I471" s="2959">
        <v>94.43</v>
      </c>
    </row>
    <row r="472" spans="1:9" ht="18.75" customHeight="1">
      <c r="A472" s="2958">
        <v>471</v>
      </c>
      <c r="B472" s="2959" t="s">
        <v>3122</v>
      </c>
      <c r="C472" s="2959" t="s">
        <v>3463</v>
      </c>
      <c r="D472" s="2959" t="s">
        <v>3540</v>
      </c>
      <c r="E472" s="2959" t="s">
        <v>3125</v>
      </c>
      <c r="F472" s="2960">
        <v>1703</v>
      </c>
      <c r="G472" s="2959" t="s">
        <v>3623</v>
      </c>
      <c r="H472" s="2959">
        <v>158.22</v>
      </c>
      <c r="I472" s="2959">
        <v>122.98</v>
      </c>
    </row>
    <row r="473" spans="1:9" ht="18.75" customHeight="1">
      <c r="A473" s="2958">
        <v>472</v>
      </c>
      <c r="B473" s="2959" t="s">
        <v>3122</v>
      </c>
      <c r="C473" s="2959" t="s">
        <v>3463</v>
      </c>
      <c r="D473" s="2959" t="s">
        <v>3540</v>
      </c>
      <c r="E473" s="2959" t="s">
        <v>3125</v>
      </c>
      <c r="F473" s="2960">
        <v>1704</v>
      </c>
      <c r="G473" s="2959" t="s">
        <v>3624</v>
      </c>
      <c r="H473" s="2959">
        <v>117.66</v>
      </c>
      <c r="I473" s="2959">
        <v>91.45</v>
      </c>
    </row>
    <row r="474" spans="1:9" ht="18.75" customHeight="1">
      <c r="A474" s="2958">
        <v>473</v>
      </c>
      <c r="B474" s="2959" t="s">
        <v>3122</v>
      </c>
      <c r="C474" s="2959" t="s">
        <v>3463</v>
      </c>
      <c r="D474" s="2959" t="s">
        <v>3540</v>
      </c>
      <c r="E474" s="2959" t="s">
        <v>3125</v>
      </c>
      <c r="F474" s="2960">
        <v>1705</v>
      </c>
      <c r="G474" s="2959" t="s">
        <v>3625</v>
      </c>
      <c r="H474" s="2959">
        <v>117.3</v>
      </c>
      <c r="I474" s="2959">
        <v>91.11</v>
      </c>
    </row>
    <row r="475" spans="1:9" ht="18.75" customHeight="1">
      <c r="A475" s="2958">
        <v>474</v>
      </c>
      <c r="B475" s="2959" t="s">
        <v>3122</v>
      </c>
      <c r="C475" s="2959" t="s">
        <v>3463</v>
      </c>
      <c r="D475" s="2959" t="s">
        <v>3540</v>
      </c>
      <c r="E475" s="2959" t="s">
        <v>3125</v>
      </c>
      <c r="F475" s="2960">
        <v>1801</v>
      </c>
      <c r="G475" s="2959" t="s">
        <v>3626</v>
      </c>
      <c r="H475" s="2959">
        <v>158.21</v>
      </c>
      <c r="I475" s="2959">
        <v>122.97</v>
      </c>
    </row>
    <row r="476" spans="1:9" ht="18.75" customHeight="1">
      <c r="A476" s="2958">
        <v>475</v>
      </c>
      <c r="B476" s="2959" t="s">
        <v>3122</v>
      </c>
      <c r="C476" s="2959" t="s">
        <v>3463</v>
      </c>
      <c r="D476" s="2959" t="s">
        <v>3540</v>
      </c>
      <c r="E476" s="2959" t="s">
        <v>3125</v>
      </c>
      <c r="F476" s="2960">
        <v>1802</v>
      </c>
      <c r="G476" s="2959" t="s">
        <v>3627</v>
      </c>
      <c r="H476" s="2959">
        <v>121.49</v>
      </c>
      <c r="I476" s="2959">
        <v>94.43</v>
      </c>
    </row>
    <row r="477" spans="1:9" ht="18.75" customHeight="1">
      <c r="A477" s="2958">
        <v>476</v>
      </c>
      <c r="B477" s="2959" t="s">
        <v>3122</v>
      </c>
      <c r="C477" s="2959" t="s">
        <v>3463</v>
      </c>
      <c r="D477" s="2959" t="s">
        <v>3540</v>
      </c>
      <c r="E477" s="2959" t="s">
        <v>3125</v>
      </c>
      <c r="F477" s="2960">
        <v>1803</v>
      </c>
      <c r="G477" s="2959" t="s">
        <v>3628</v>
      </c>
      <c r="H477" s="2959">
        <v>158.22</v>
      </c>
      <c r="I477" s="2959">
        <v>122.98</v>
      </c>
    </row>
    <row r="478" spans="1:9" ht="18.75" customHeight="1">
      <c r="A478" s="2958">
        <v>477</v>
      </c>
      <c r="B478" s="2959" t="s">
        <v>3122</v>
      </c>
      <c r="C478" s="2959" t="s">
        <v>3463</v>
      </c>
      <c r="D478" s="2959" t="s">
        <v>3540</v>
      </c>
      <c r="E478" s="2959" t="s">
        <v>3125</v>
      </c>
      <c r="F478" s="2960">
        <v>1804</v>
      </c>
      <c r="G478" s="2959" t="s">
        <v>3629</v>
      </c>
      <c r="H478" s="2959">
        <v>117.66</v>
      </c>
      <c r="I478" s="2959">
        <v>91.45</v>
      </c>
    </row>
    <row r="479" spans="1:9" ht="18.75" customHeight="1">
      <c r="A479" s="2958">
        <v>478</v>
      </c>
      <c r="B479" s="2959" t="s">
        <v>3122</v>
      </c>
      <c r="C479" s="2959" t="s">
        <v>3463</v>
      </c>
      <c r="D479" s="2959" t="s">
        <v>3540</v>
      </c>
      <c r="E479" s="2959" t="s">
        <v>3125</v>
      </c>
      <c r="F479" s="2960">
        <v>1805</v>
      </c>
      <c r="G479" s="2959" t="s">
        <v>3630</v>
      </c>
      <c r="H479" s="2959">
        <v>117.3</v>
      </c>
      <c r="I479" s="2959">
        <v>91.11</v>
      </c>
    </row>
    <row r="480" spans="1:9" ht="18.75" customHeight="1">
      <c r="A480" s="2958">
        <v>479</v>
      </c>
      <c r="B480" s="2959" t="s">
        <v>3122</v>
      </c>
      <c r="C480" s="2959" t="s">
        <v>3463</v>
      </c>
      <c r="D480" s="2959" t="s">
        <v>3540</v>
      </c>
      <c r="E480" s="2959" t="s">
        <v>3125</v>
      </c>
      <c r="F480" s="2960">
        <v>1901</v>
      </c>
      <c r="G480" s="2959" t="s">
        <v>3631</v>
      </c>
      <c r="H480" s="2959">
        <v>158.21</v>
      </c>
      <c r="I480" s="2959">
        <v>122.97</v>
      </c>
    </row>
    <row r="481" spans="1:9" ht="18.75" customHeight="1">
      <c r="A481" s="2958">
        <v>480</v>
      </c>
      <c r="B481" s="2959" t="s">
        <v>3122</v>
      </c>
      <c r="C481" s="2959" t="s">
        <v>3463</v>
      </c>
      <c r="D481" s="2959" t="s">
        <v>3540</v>
      </c>
      <c r="E481" s="2959" t="s">
        <v>3125</v>
      </c>
      <c r="F481" s="2960">
        <v>1902</v>
      </c>
      <c r="G481" s="2959" t="s">
        <v>3632</v>
      </c>
      <c r="H481" s="2959">
        <v>121.49</v>
      </c>
      <c r="I481" s="2959">
        <v>94.43</v>
      </c>
    </row>
    <row r="482" spans="1:9" ht="18.75" customHeight="1">
      <c r="A482" s="2958">
        <v>481</v>
      </c>
      <c r="B482" s="2959" t="s">
        <v>3122</v>
      </c>
      <c r="C482" s="2959" t="s">
        <v>3463</v>
      </c>
      <c r="D482" s="2959" t="s">
        <v>3540</v>
      </c>
      <c r="E482" s="2959" t="s">
        <v>3125</v>
      </c>
      <c r="F482" s="2960">
        <v>1903</v>
      </c>
      <c r="G482" s="2959" t="s">
        <v>3633</v>
      </c>
      <c r="H482" s="2959">
        <v>158.22</v>
      </c>
      <c r="I482" s="2959">
        <v>122.98</v>
      </c>
    </row>
    <row r="483" spans="1:9" ht="18.75" customHeight="1">
      <c r="A483" s="2958">
        <v>482</v>
      </c>
      <c r="B483" s="2959" t="s">
        <v>3122</v>
      </c>
      <c r="C483" s="2959" t="s">
        <v>3463</v>
      </c>
      <c r="D483" s="2959" t="s">
        <v>3540</v>
      </c>
      <c r="E483" s="2959" t="s">
        <v>3125</v>
      </c>
      <c r="F483" s="2960">
        <v>1904</v>
      </c>
      <c r="G483" s="2959" t="s">
        <v>3634</v>
      </c>
      <c r="H483" s="2959">
        <v>117.66</v>
      </c>
      <c r="I483" s="2959">
        <v>91.45</v>
      </c>
    </row>
    <row r="484" spans="1:9" ht="18.75" customHeight="1">
      <c r="A484" s="2958">
        <v>483</v>
      </c>
      <c r="B484" s="2959" t="s">
        <v>3122</v>
      </c>
      <c r="C484" s="2959" t="s">
        <v>3463</v>
      </c>
      <c r="D484" s="2959" t="s">
        <v>3540</v>
      </c>
      <c r="E484" s="2959" t="s">
        <v>3125</v>
      </c>
      <c r="F484" s="2960">
        <v>1905</v>
      </c>
      <c r="G484" s="2959" t="s">
        <v>3635</v>
      </c>
      <c r="H484" s="2959">
        <v>117.3</v>
      </c>
      <c r="I484" s="2959">
        <v>91.11</v>
      </c>
    </row>
    <row r="485" spans="1:9" ht="18.75" customHeight="1">
      <c r="A485" s="2958">
        <v>484</v>
      </c>
      <c r="B485" s="2959" t="s">
        <v>3122</v>
      </c>
      <c r="C485" s="2959" t="s">
        <v>3463</v>
      </c>
      <c r="D485" s="2959" t="s">
        <v>3540</v>
      </c>
      <c r="E485" s="2959" t="s">
        <v>3125</v>
      </c>
      <c r="F485" s="2960">
        <v>2001</v>
      </c>
      <c r="G485" s="2959" t="s">
        <v>3636</v>
      </c>
      <c r="H485" s="2959">
        <v>158.21</v>
      </c>
      <c r="I485" s="2959">
        <v>122.97</v>
      </c>
    </row>
    <row r="486" spans="1:9" ht="18.75" customHeight="1">
      <c r="A486" s="2958">
        <v>485</v>
      </c>
      <c r="B486" s="2959" t="s">
        <v>3122</v>
      </c>
      <c r="C486" s="2959" t="s">
        <v>3463</v>
      </c>
      <c r="D486" s="2959" t="s">
        <v>3540</v>
      </c>
      <c r="E486" s="2959" t="s">
        <v>3125</v>
      </c>
      <c r="F486" s="2960">
        <v>2002</v>
      </c>
      <c r="G486" s="2959" t="s">
        <v>3637</v>
      </c>
      <c r="H486" s="2959">
        <v>121.49</v>
      </c>
      <c r="I486" s="2959">
        <v>94.43</v>
      </c>
    </row>
    <row r="487" spans="1:9" ht="18.75" customHeight="1">
      <c r="A487" s="2958">
        <v>486</v>
      </c>
      <c r="B487" s="2959" t="s">
        <v>3122</v>
      </c>
      <c r="C487" s="2959" t="s">
        <v>3463</v>
      </c>
      <c r="D487" s="2959" t="s">
        <v>3540</v>
      </c>
      <c r="E487" s="2959" t="s">
        <v>3125</v>
      </c>
      <c r="F487" s="2960">
        <v>2003</v>
      </c>
      <c r="G487" s="2959" t="s">
        <v>3638</v>
      </c>
      <c r="H487" s="2959">
        <v>158.22</v>
      </c>
      <c r="I487" s="2959">
        <v>122.98</v>
      </c>
    </row>
    <row r="488" spans="1:9" ht="18.75" customHeight="1">
      <c r="A488" s="2958">
        <v>487</v>
      </c>
      <c r="B488" s="2959" t="s">
        <v>3122</v>
      </c>
      <c r="C488" s="2959" t="s">
        <v>3463</v>
      </c>
      <c r="D488" s="2959" t="s">
        <v>3540</v>
      </c>
      <c r="E488" s="2959" t="s">
        <v>3125</v>
      </c>
      <c r="F488" s="2960">
        <v>2004</v>
      </c>
      <c r="G488" s="2959" t="s">
        <v>3639</v>
      </c>
      <c r="H488" s="2959">
        <v>117.66</v>
      </c>
      <c r="I488" s="2959">
        <v>91.45</v>
      </c>
    </row>
    <row r="489" spans="1:9" ht="18.75" customHeight="1">
      <c r="A489" s="2958">
        <v>488</v>
      </c>
      <c r="B489" s="2959" t="s">
        <v>3122</v>
      </c>
      <c r="C489" s="2959" t="s">
        <v>3463</v>
      </c>
      <c r="D489" s="2959" t="s">
        <v>3540</v>
      </c>
      <c r="E489" s="2959" t="s">
        <v>3125</v>
      </c>
      <c r="F489" s="2960">
        <v>2005</v>
      </c>
      <c r="G489" s="2959" t="s">
        <v>3640</v>
      </c>
      <c r="H489" s="2959">
        <v>117.3</v>
      </c>
      <c r="I489" s="2959">
        <v>91.11</v>
      </c>
    </row>
    <row r="490" spans="1:9" ht="18.75" customHeight="1">
      <c r="A490" s="2958">
        <v>489</v>
      </c>
      <c r="B490" s="2959" t="s">
        <v>3122</v>
      </c>
      <c r="C490" s="2959" t="s">
        <v>3463</v>
      </c>
      <c r="D490" s="2959" t="s">
        <v>3540</v>
      </c>
      <c r="E490" s="2959" t="s">
        <v>3125</v>
      </c>
      <c r="F490" s="2960">
        <v>2101</v>
      </c>
      <c r="G490" s="2959" t="s">
        <v>3641</v>
      </c>
      <c r="H490" s="2959">
        <v>158.21</v>
      </c>
      <c r="I490" s="2959">
        <v>122.97</v>
      </c>
    </row>
    <row r="491" spans="1:9" ht="18.75" customHeight="1">
      <c r="A491" s="2958">
        <v>490</v>
      </c>
      <c r="B491" s="2959" t="s">
        <v>3122</v>
      </c>
      <c r="C491" s="2959" t="s">
        <v>3463</v>
      </c>
      <c r="D491" s="2959" t="s">
        <v>3540</v>
      </c>
      <c r="E491" s="2959" t="s">
        <v>3125</v>
      </c>
      <c r="F491" s="2960">
        <v>2102</v>
      </c>
      <c r="G491" s="2959" t="s">
        <v>3642</v>
      </c>
      <c r="H491" s="2959">
        <v>121.49</v>
      </c>
      <c r="I491" s="2959">
        <v>94.43</v>
      </c>
    </row>
    <row r="492" spans="1:9" ht="18.75" customHeight="1">
      <c r="A492" s="2958">
        <v>491</v>
      </c>
      <c r="B492" s="2959" t="s">
        <v>3122</v>
      </c>
      <c r="C492" s="2959" t="s">
        <v>3463</v>
      </c>
      <c r="D492" s="2959" t="s">
        <v>3540</v>
      </c>
      <c r="E492" s="2959" t="s">
        <v>3125</v>
      </c>
      <c r="F492" s="2960">
        <v>2103</v>
      </c>
      <c r="G492" s="2959" t="s">
        <v>3643</v>
      </c>
      <c r="H492" s="2959">
        <v>158.22</v>
      </c>
      <c r="I492" s="2959">
        <v>122.98</v>
      </c>
    </row>
    <row r="493" spans="1:9" ht="18.75" customHeight="1">
      <c r="A493" s="2958">
        <v>492</v>
      </c>
      <c r="B493" s="2959" t="s">
        <v>3122</v>
      </c>
      <c r="C493" s="2959" t="s">
        <v>3463</v>
      </c>
      <c r="D493" s="2959" t="s">
        <v>3540</v>
      </c>
      <c r="E493" s="2959" t="s">
        <v>3125</v>
      </c>
      <c r="F493" s="2960">
        <v>2104</v>
      </c>
      <c r="G493" s="2959" t="s">
        <v>3644</v>
      </c>
      <c r="H493" s="2959">
        <v>117.66</v>
      </c>
      <c r="I493" s="2959">
        <v>91.45</v>
      </c>
    </row>
    <row r="494" spans="1:9" ht="18.75" customHeight="1">
      <c r="A494" s="2958">
        <v>493</v>
      </c>
      <c r="B494" s="2959" t="s">
        <v>3122</v>
      </c>
      <c r="C494" s="2959" t="s">
        <v>3463</v>
      </c>
      <c r="D494" s="2959" t="s">
        <v>3540</v>
      </c>
      <c r="E494" s="2959" t="s">
        <v>3125</v>
      </c>
      <c r="F494" s="2960">
        <v>2105</v>
      </c>
      <c r="G494" s="2959" t="s">
        <v>3645</v>
      </c>
      <c r="H494" s="2959">
        <v>117.3</v>
      </c>
      <c r="I494" s="2959">
        <v>91.11</v>
      </c>
    </row>
    <row r="495" spans="1:9" ht="18.75" customHeight="1">
      <c r="A495" s="2958">
        <v>494</v>
      </c>
      <c r="B495" s="2959" t="s">
        <v>3122</v>
      </c>
      <c r="C495" s="2959" t="s">
        <v>3646</v>
      </c>
      <c r="D495" s="2959" t="s">
        <v>3647</v>
      </c>
      <c r="E495" s="2959" t="s">
        <v>3648</v>
      </c>
      <c r="F495" s="2960">
        <v>1004</v>
      </c>
      <c r="G495" s="2959" t="s">
        <v>3649</v>
      </c>
      <c r="H495" s="2959">
        <v>103.97</v>
      </c>
      <c r="I495" s="2959">
        <v>80.28</v>
      </c>
    </row>
    <row r="496" spans="1:9" s="2956" customFormat="1" ht="18.75" customHeight="1">
      <c r="A496" s="2958">
        <v>495</v>
      </c>
      <c r="B496" s="2959" t="s">
        <v>3122</v>
      </c>
      <c r="C496" s="2959" t="s">
        <v>3650</v>
      </c>
      <c r="D496" s="2959" t="s">
        <v>3651</v>
      </c>
      <c r="E496" s="2959" t="s">
        <v>3125</v>
      </c>
      <c r="F496" s="2960">
        <v>101</v>
      </c>
      <c r="G496" s="2959" t="s">
        <v>3652</v>
      </c>
      <c r="H496" s="2959">
        <v>101.48</v>
      </c>
      <c r="I496" s="2959">
        <v>78.47</v>
      </c>
    </row>
    <row r="497" spans="1:9" s="2956" customFormat="1" ht="18.75" customHeight="1">
      <c r="A497" s="2958">
        <v>496</v>
      </c>
      <c r="B497" s="2959" t="s">
        <v>3122</v>
      </c>
      <c r="C497" s="2959" t="s">
        <v>3650</v>
      </c>
      <c r="D497" s="2959" t="s">
        <v>3651</v>
      </c>
      <c r="E497" s="2959" t="s">
        <v>3125</v>
      </c>
      <c r="F497" s="2960">
        <v>102</v>
      </c>
      <c r="G497" s="2959" t="s">
        <v>3653</v>
      </c>
      <c r="H497" s="2959">
        <v>117.03</v>
      </c>
      <c r="I497" s="2959">
        <v>90.49</v>
      </c>
    </row>
    <row r="498" spans="1:9" s="2956" customFormat="1" ht="18.75" customHeight="1">
      <c r="A498" s="2958">
        <v>497</v>
      </c>
      <c r="B498" s="2959" t="s">
        <v>3122</v>
      </c>
      <c r="C498" s="2959" t="s">
        <v>3650</v>
      </c>
      <c r="D498" s="2959" t="s">
        <v>3651</v>
      </c>
      <c r="E498" s="2959" t="s">
        <v>3125</v>
      </c>
      <c r="F498" s="2960">
        <v>103</v>
      </c>
      <c r="G498" s="2959" t="s">
        <v>3654</v>
      </c>
      <c r="H498" s="2959">
        <v>102.27</v>
      </c>
      <c r="I498" s="2959">
        <v>79.08</v>
      </c>
    </row>
    <row r="499" spans="1:9" s="2956" customFormat="1" ht="18.75" customHeight="1">
      <c r="A499" s="2958">
        <v>498</v>
      </c>
      <c r="B499" s="2959" t="s">
        <v>3122</v>
      </c>
      <c r="C499" s="2959" t="s">
        <v>3650</v>
      </c>
      <c r="D499" s="2959" t="s">
        <v>3651</v>
      </c>
      <c r="E499" s="2959" t="s">
        <v>3125</v>
      </c>
      <c r="F499" s="2960">
        <v>104</v>
      </c>
      <c r="G499" s="2959" t="s">
        <v>3655</v>
      </c>
      <c r="H499" s="2959">
        <v>73.62</v>
      </c>
      <c r="I499" s="2959">
        <v>56.93</v>
      </c>
    </row>
    <row r="500" spans="1:9" s="2956" customFormat="1" ht="18.75" customHeight="1">
      <c r="A500" s="2958">
        <v>499</v>
      </c>
      <c r="B500" s="2959" t="s">
        <v>3122</v>
      </c>
      <c r="C500" s="2959" t="s">
        <v>3650</v>
      </c>
      <c r="D500" s="2959" t="s">
        <v>3651</v>
      </c>
      <c r="E500" s="2959" t="s">
        <v>3125</v>
      </c>
      <c r="F500" s="2960">
        <v>105</v>
      </c>
      <c r="G500" s="2959" t="s">
        <v>3656</v>
      </c>
      <c r="H500" s="2959">
        <v>72.95</v>
      </c>
      <c r="I500" s="2959">
        <v>56.41</v>
      </c>
    </row>
    <row r="501" spans="1:9" s="2956" customFormat="1" ht="18.75" customHeight="1">
      <c r="A501" s="2958">
        <v>500</v>
      </c>
      <c r="B501" s="2959" t="s">
        <v>3122</v>
      </c>
      <c r="C501" s="2959" t="s">
        <v>3650</v>
      </c>
      <c r="D501" s="2959" t="s">
        <v>3657</v>
      </c>
      <c r="E501" s="2959" t="s">
        <v>3125</v>
      </c>
      <c r="F501" s="2960">
        <v>101</v>
      </c>
      <c r="G501" s="2959" t="s">
        <v>3658</v>
      </c>
      <c r="H501" s="2959">
        <v>101.48</v>
      </c>
      <c r="I501" s="2959">
        <v>78.47</v>
      </c>
    </row>
    <row r="502" spans="1:9" s="2956" customFormat="1" ht="18.75" customHeight="1">
      <c r="A502" s="2958">
        <v>501</v>
      </c>
      <c r="B502" s="2959" t="s">
        <v>3122</v>
      </c>
      <c r="C502" s="2959" t="s">
        <v>3650</v>
      </c>
      <c r="D502" s="2959" t="s">
        <v>3657</v>
      </c>
      <c r="E502" s="2959" t="s">
        <v>3125</v>
      </c>
      <c r="F502" s="2960">
        <v>102</v>
      </c>
      <c r="G502" s="2959" t="s">
        <v>3659</v>
      </c>
      <c r="H502" s="2959">
        <v>117.34</v>
      </c>
      <c r="I502" s="2959">
        <v>90.73</v>
      </c>
    </row>
    <row r="503" spans="1:9" s="2956" customFormat="1" ht="18.75" customHeight="1">
      <c r="A503" s="2958">
        <v>502</v>
      </c>
      <c r="B503" s="2959" t="s">
        <v>3122</v>
      </c>
      <c r="C503" s="2959" t="s">
        <v>3650</v>
      </c>
      <c r="D503" s="2959" t="s">
        <v>3657</v>
      </c>
      <c r="E503" s="2959" t="s">
        <v>3125</v>
      </c>
      <c r="F503" s="2960">
        <v>103</v>
      </c>
      <c r="G503" s="2959" t="s">
        <v>3660</v>
      </c>
      <c r="H503" s="2959">
        <v>102.27</v>
      </c>
      <c r="I503" s="2959">
        <v>79.08</v>
      </c>
    </row>
    <row r="504" spans="1:9" s="2956" customFormat="1" ht="18.75" customHeight="1">
      <c r="A504" s="2958">
        <v>503</v>
      </c>
      <c r="B504" s="2959" t="s">
        <v>3122</v>
      </c>
      <c r="C504" s="2959" t="s">
        <v>3650</v>
      </c>
      <c r="D504" s="2959" t="s">
        <v>3657</v>
      </c>
      <c r="E504" s="2959" t="s">
        <v>3125</v>
      </c>
      <c r="F504" s="2960">
        <v>104</v>
      </c>
      <c r="G504" s="2959" t="s">
        <v>3661</v>
      </c>
      <c r="H504" s="2959">
        <v>73.62</v>
      </c>
      <c r="I504" s="2959">
        <v>56.93</v>
      </c>
    </row>
    <row r="505" spans="1:9" s="2956" customFormat="1" ht="18.75" customHeight="1">
      <c r="A505" s="2958">
        <v>504</v>
      </c>
      <c r="B505" s="2959" t="s">
        <v>3122</v>
      </c>
      <c r="C505" s="2959" t="s">
        <v>3650</v>
      </c>
      <c r="D505" s="2959" t="s">
        <v>3657</v>
      </c>
      <c r="E505" s="2959" t="s">
        <v>3125</v>
      </c>
      <c r="F505" s="2960">
        <v>105</v>
      </c>
      <c r="G505" s="2959" t="s">
        <v>3662</v>
      </c>
      <c r="H505" s="2959">
        <v>72.53</v>
      </c>
      <c r="I505" s="2959">
        <v>56.08</v>
      </c>
    </row>
    <row r="506" spans="1:9" s="2956" customFormat="1" ht="18.75" customHeight="1">
      <c r="A506" s="2958">
        <v>505</v>
      </c>
      <c r="B506" s="2959" t="s">
        <v>3122</v>
      </c>
      <c r="C506" s="2959" t="s">
        <v>3650</v>
      </c>
      <c r="D506" s="2959" t="s">
        <v>3663</v>
      </c>
      <c r="E506" s="2959" t="s">
        <v>3125</v>
      </c>
      <c r="F506" s="2960">
        <v>101</v>
      </c>
      <c r="G506" s="2959" t="s">
        <v>3664</v>
      </c>
      <c r="H506" s="2959">
        <v>73.73</v>
      </c>
      <c r="I506" s="2959">
        <v>55.75</v>
      </c>
    </row>
    <row r="507" spans="1:9" s="2956" customFormat="1" ht="18.75" customHeight="1">
      <c r="A507" s="2958">
        <v>506</v>
      </c>
      <c r="B507" s="2959" t="s">
        <v>3122</v>
      </c>
      <c r="C507" s="2959" t="s">
        <v>3650</v>
      </c>
      <c r="D507" s="2959" t="s">
        <v>3663</v>
      </c>
      <c r="E507" s="2959" t="s">
        <v>3125</v>
      </c>
      <c r="F507" s="2960">
        <v>102</v>
      </c>
      <c r="G507" s="2959" t="s">
        <v>3665</v>
      </c>
      <c r="H507" s="2959">
        <v>101.89</v>
      </c>
      <c r="I507" s="2959">
        <v>77.040000000000006</v>
      </c>
    </row>
    <row r="508" spans="1:9" s="2956" customFormat="1" ht="18.75" customHeight="1">
      <c r="A508" s="2958">
        <v>507</v>
      </c>
      <c r="B508" s="2959" t="s">
        <v>3122</v>
      </c>
      <c r="C508" s="2959" t="s">
        <v>3650</v>
      </c>
      <c r="D508" s="2959" t="s">
        <v>3663</v>
      </c>
      <c r="E508" s="2959" t="s">
        <v>3125</v>
      </c>
      <c r="F508" s="2960">
        <v>103</v>
      </c>
      <c r="G508" s="2959" t="s">
        <v>3666</v>
      </c>
      <c r="H508" s="2959">
        <v>129.31</v>
      </c>
      <c r="I508" s="2959">
        <v>97.77</v>
      </c>
    </row>
    <row r="509" spans="1:9" s="2956" customFormat="1" ht="18.75" customHeight="1">
      <c r="A509" s="2958">
        <v>508</v>
      </c>
      <c r="B509" s="2959" t="s">
        <v>3122</v>
      </c>
      <c r="C509" s="2959" t="s">
        <v>3650</v>
      </c>
      <c r="D509" s="2959" t="s">
        <v>3663</v>
      </c>
      <c r="E509" s="2959" t="s">
        <v>3125</v>
      </c>
      <c r="F509" s="2960">
        <v>104</v>
      </c>
      <c r="G509" s="2959" t="s">
        <v>3667</v>
      </c>
      <c r="H509" s="2959">
        <v>129.80000000000001</v>
      </c>
      <c r="I509" s="2959">
        <v>98.14</v>
      </c>
    </row>
    <row r="510" spans="1:9" s="2956" customFormat="1" ht="18.75" customHeight="1">
      <c r="A510" s="2958">
        <v>509</v>
      </c>
      <c r="B510" s="2959" t="s">
        <v>3122</v>
      </c>
      <c r="C510" s="2959" t="s">
        <v>3650</v>
      </c>
      <c r="D510" s="2959" t="s">
        <v>3663</v>
      </c>
      <c r="E510" s="2959" t="s">
        <v>3125</v>
      </c>
      <c r="F510" s="2960">
        <v>105</v>
      </c>
      <c r="G510" s="2959" t="s">
        <v>3668</v>
      </c>
      <c r="H510" s="2959">
        <v>122.55</v>
      </c>
      <c r="I510" s="2959">
        <v>92.66</v>
      </c>
    </row>
    <row r="511" spans="1:9" s="2956" customFormat="1" ht="18.75" customHeight="1">
      <c r="A511" s="2958">
        <v>510</v>
      </c>
      <c r="B511" s="2959" t="s">
        <v>3122</v>
      </c>
      <c r="C511" s="2959" t="s">
        <v>3650</v>
      </c>
      <c r="D511" s="2959" t="s">
        <v>3663</v>
      </c>
      <c r="E511" s="2959" t="s">
        <v>3125</v>
      </c>
      <c r="F511" s="2960">
        <v>106</v>
      </c>
      <c r="G511" s="2959" t="s">
        <v>3669</v>
      </c>
      <c r="H511" s="2959">
        <v>101</v>
      </c>
      <c r="I511" s="2959">
        <v>76.37</v>
      </c>
    </row>
    <row r="512" spans="1:9" s="2956" customFormat="1" ht="18.75" customHeight="1">
      <c r="A512" s="2958">
        <v>511</v>
      </c>
      <c r="B512" s="2959" t="s">
        <v>3122</v>
      </c>
      <c r="C512" s="2959" t="s">
        <v>3650</v>
      </c>
      <c r="D512" s="2959" t="s">
        <v>3670</v>
      </c>
      <c r="E512" s="2959" t="s">
        <v>3648</v>
      </c>
      <c r="F512" s="2960">
        <v>101</v>
      </c>
      <c r="G512" s="2959" t="s">
        <v>3671</v>
      </c>
      <c r="H512" s="2959">
        <v>102.07</v>
      </c>
      <c r="I512" s="2959">
        <v>79.3</v>
      </c>
    </row>
    <row r="513" spans="1:9" s="2956" customFormat="1" ht="18.75" customHeight="1">
      <c r="A513" s="2958">
        <v>512</v>
      </c>
      <c r="B513" s="2959" t="s">
        <v>3122</v>
      </c>
      <c r="C513" s="2959" t="s">
        <v>3650</v>
      </c>
      <c r="D513" s="2959" t="s">
        <v>3670</v>
      </c>
      <c r="E513" s="2959" t="s">
        <v>3648</v>
      </c>
      <c r="F513" s="2960">
        <v>102</v>
      </c>
      <c r="G513" s="2959" t="s">
        <v>3672</v>
      </c>
      <c r="H513" s="2959">
        <v>117.81</v>
      </c>
      <c r="I513" s="2959">
        <v>91.53</v>
      </c>
    </row>
    <row r="514" spans="1:9" s="2956" customFormat="1" ht="18.75" customHeight="1">
      <c r="A514" s="2958">
        <v>513</v>
      </c>
      <c r="B514" s="2959" t="s">
        <v>3122</v>
      </c>
      <c r="C514" s="2959" t="s">
        <v>3650</v>
      </c>
      <c r="D514" s="2959" t="s">
        <v>3670</v>
      </c>
      <c r="E514" s="2959" t="s">
        <v>3648</v>
      </c>
      <c r="F514" s="2960">
        <v>103</v>
      </c>
      <c r="G514" s="2959" t="s">
        <v>3673</v>
      </c>
      <c r="H514" s="2959">
        <v>102.73</v>
      </c>
      <c r="I514" s="2959">
        <v>79.81</v>
      </c>
    </row>
    <row r="515" spans="1:9" s="2956" customFormat="1" ht="18.75" customHeight="1">
      <c r="A515" s="2958">
        <v>514</v>
      </c>
      <c r="B515" s="2959" t="s">
        <v>3122</v>
      </c>
      <c r="C515" s="2959" t="s">
        <v>3650</v>
      </c>
      <c r="D515" s="2959" t="s">
        <v>3670</v>
      </c>
      <c r="E515" s="2959" t="s">
        <v>3648</v>
      </c>
      <c r="F515" s="2960">
        <v>104</v>
      </c>
      <c r="G515" s="2959" t="s">
        <v>3674</v>
      </c>
      <c r="H515" s="2959">
        <v>102.84</v>
      </c>
      <c r="I515" s="2959">
        <v>79.900000000000006</v>
      </c>
    </row>
    <row r="516" spans="1:9" s="2956" customFormat="1" ht="18.75" customHeight="1">
      <c r="A516" s="2958">
        <v>515</v>
      </c>
      <c r="B516" s="2959" t="s">
        <v>3122</v>
      </c>
      <c r="C516" s="2959" t="s">
        <v>3650</v>
      </c>
      <c r="D516" s="2959" t="s">
        <v>3670</v>
      </c>
      <c r="E516" s="2959" t="s">
        <v>3648</v>
      </c>
      <c r="F516" s="2960">
        <v>105</v>
      </c>
      <c r="G516" s="2959" t="s">
        <v>3675</v>
      </c>
      <c r="H516" s="2959">
        <v>74.150000000000006</v>
      </c>
      <c r="I516" s="2959">
        <v>57.61</v>
      </c>
    </row>
    <row r="517" spans="1:9" s="2956" customFormat="1" ht="18.75" customHeight="1">
      <c r="A517" s="2958">
        <v>516</v>
      </c>
      <c r="B517" s="2959" t="s">
        <v>3122</v>
      </c>
      <c r="C517" s="2959" t="s">
        <v>3650</v>
      </c>
      <c r="D517" s="2959" t="s">
        <v>3670</v>
      </c>
      <c r="E517" s="2959" t="s">
        <v>3648</v>
      </c>
      <c r="F517" s="2960">
        <v>106</v>
      </c>
      <c r="G517" s="2959" t="s">
        <v>3676</v>
      </c>
      <c r="H517" s="2959">
        <v>73.77</v>
      </c>
      <c r="I517" s="2959">
        <v>57.31</v>
      </c>
    </row>
    <row r="518" spans="1:9" s="2956" customFormat="1" ht="18.75" customHeight="1">
      <c r="A518" s="2958">
        <v>517</v>
      </c>
      <c r="B518" s="2959" t="s">
        <v>3122</v>
      </c>
      <c r="C518" s="2959" t="s">
        <v>3650</v>
      </c>
      <c r="D518" s="2959" t="s">
        <v>3670</v>
      </c>
      <c r="E518" s="2959" t="s">
        <v>3397</v>
      </c>
      <c r="F518" s="2960">
        <v>101</v>
      </c>
      <c r="G518" s="2959" t="s">
        <v>3677</v>
      </c>
      <c r="H518" s="2959">
        <v>102.07</v>
      </c>
      <c r="I518" s="2959">
        <v>79.3</v>
      </c>
    </row>
    <row r="519" spans="1:9" s="2956" customFormat="1" ht="18.75" customHeight="1">
      <c r="A519" s="2958">
        <v>518</v>
      </c>
      <c r="B519" s="2959" t="s">
        <v>3122</v>
      </c>
      <c r="C519" s="2959" t="s">
        <v>3650</v>
      </c>
      <c r="D519" s="2959" t="s">
        <v>3670</v>
      </c>
      <c r="E519" s="2959" t="s">
        <v>3397</v>
      </c>
      <c r="F519" s="2960">
        <v>102</v>
      </c>
      <c r="G519" s="2959" t="s">
        <v>3678</v>
      </c>
      <c r="H519" s="2959">
        <v>118.06</v>
      </c>
      <c r="I519" s="2959">
        <v>91.72</v>
      </c>
    </row>
    <row r="520" spans="1:9" s="2956" customFormat="1" ht="18.75" customHeight="1">
      <c r="A520" s="2958">
        <v>519</v>
      </c>
      <c r="B520" s="2959" t="s">
        <v>3122</v>
      </c>
      <c r="C520" s="2959" t="s">
        <v>3650</v>
      </c>
      <c r="D520" s="2959" t="s">
        <v>3670</v>
      </c>
      <c r="E520" s="2959" t="s">
        <v>3397</v>
      </c>
      <c r="F520" s="2960">
        <v>103</v>
      </c>
      <c r="G520" s="2959" t="s">
        <v>3679</v>
      </c>
      <c r="H520" s="2959">
        <v>102.73</v>
      </c>
      <c r="I520" s="2959">
        <v>79.81</v>
      </c>
    </row>
    <row r="521" spans="1:9" s="2956" customFormat="1" ht="18.75" customHeight="1">
      <c r="A521" s="2958">
        <v>520</v>
      </c>
      <c r="B521" s="2959" t="s">
        <v>3122</v>
      </c>
      <c r="C521" s="2959" t="s">
        <v>3650</v>
      </c>
      <c r="D521" s="2959" t="s">
        <v>3670</v>
      </c>
      <c r="E521" s="2959" t="s">
        <v>3397</v>
      </c>
      <c r="F521" s="2960">
        <v>104</v>
      </c>
      <c r="G521" s="2959" t="s">
        <v>3680</v>
      </c>
      <c r="H521" s="2959">
        <v>102.84</v>
      </c>
      <c r="I521" s="2959">
        <v>79.900000000000006</v>
      </c>
    </row>
    <row r="522" spans="1:9" s="2956" customFormat="1" ht="18.75" customHeight="1">
      <c r="A522" s="2958">
        <v>521</v>
      </c>
      <c r="B522" s="2959" t="s">
        <v>3122</v>
      </c>
      <c r="C522" s="2959" t="s">
        <v>3650</v>
      </c>
      <c r="D522" s="2959" t="s">
        <v>3670</v>
      </c>
      <c r="E522" s="2959" t="s">
        <v>3397</v>
      </c>
      <c r="F522" s="2960">
        <v>105</v>
      </c>
      <c r="G522" s="2959" t="s">
        <v>3681</v>
      </c>
      <c r="H522" s="2959">
        <v>74.150000000000006</v>
      </c>
      <c r="I522" s="2959">
        <v>57.61</v>
      </c>
    </row>
    <row r="523" spans="1:9" s="2956" customFormat="1" ht="18.75" customHeight="1">
      <c r="A523" s="2958">
        <v>522</v>
      </c>
      <c r="B523" s="2959" t="s">
        <v>3122</v>
      </c>
      <c r="C523" s="2959" t="s">
        <v>3650</v>
      </c>
      <c r="D523" s="2959" t="s">
        <v>3670</v>
      </c>
      <c r="E523" s="2959" t="s">
        <v>3397</v>
      </c>
      <c r="F523" s="2960">
        <v>106</v>
      </c>
      <c r="G523" s="2959" t="s">
        <v>3682</v>
      </c>
      <c r="H523" s="2959">
        <v>73.77</v>
      </c>
      <c r="I523" s="2959">
        <v>57.31</v>
      </c>
    </row>
    <row r="524" spans="1:9" s="2956" customFormat="1" ht="18.75" customHeight="1">
      <c r="A524" s="2958">
        <v>523</v>
      </c>
      <c r="B524" s="2959" t="s">
        <v>3122</v>
      </c>
      <c r="C524" s="2959" t="s">
        <v>3650</v>
      </c>
      <c r="D524" s="2959" t="s">
        <v>3683</v>
      </c>
      <c r="E524" s="2959" t="s">
        <v>3125</v>
      </c>
      <c r="F524" s="2960">
        <v>102</v>
      </c>
      <c r="G524" s="2959" t="s">
        <v>3684</v>
      </c>
      <c r="H524" s="2959">
        <v>103.23</v>
      </c>
      <c r="I524" s="2959">
        <v>77.77</v>
      </c>
    </row>
    <row r="525" spans="1:9" s="2956" customFormat="1" ht="18.75" customHeight="1">
      <c r="A525" s="2958">
        <v>524</v>
      </c>
      <c r="B525" s="2959" t="s">
        <v>3122</v>
      </c>
      <c r="C525" s="2959" t="s">
        <v>3650</v>
      </c>
      <c r="D525" s="2959" t="s">
        <v>3683</v>
      </c>
      <c r="E525" s="2959" t="s">
        <v>3125</v>
      </c>
      <c r="F525" s="2960">
        <v>103</v>
      </c>
      <c r="G525" s="2959" t="s">
        <v>3685</v>
      </c>
      <c r="H525" s="2959">
        <v>129.81</v>
      </c>
      <c r="I525" s="2959">
        <v>97.8</v>
      </c>
    </row>
    <row r="526" spans="1:9" s="2956" customFormat="1" ht="18.75" customHeight="1">
      <c r="A526" s="2958">
        <v>525</v>
      </c>
      <c r="B526" s="2959" t="s">
        <v>3122</v>
      </c>
      <c r="C526" s="2959" t="s">
        <v>3650</v>
      </c>
      <c r="D526" s="2959" t="s">
        <v>3683</v>
      </c>
      <c r="E526" s="2959" t="s">
        <v>3125</v>
      </c>
      <c r="F526" s="2960">
        <v>104</v>
      </c>
      <c r="G526" s="2959" t="s">
        <v>3686</v>
      </c>
      <c r="H526" s="2959">
        <v>124.32</v>
      </c>
      <c r="I526" s="2959">
        <v>93.66</v>
      </c>
    </row>
    <row r="527" spans="1:9" s="2956" customFormat="1" ht="18.75" customHeight="1">
      <c r="A527" s="2958">
        <v>526</v>
      </c>
      <c r="B527" s="2959" t="s">
        <v>3122</v>
      </c>
      <c r="C527" s="2959" t="s">
        <v>3650</v>
      </c>
      <c r="D527" s="2959" t="s">
        <v>3683</v>
      </c>
      <c r="E527" s="2959" t="s">
        <v>3125</v>
      </c>
      <c r="F527" s="2960">
        <v>105</v>
      </c>
      <c r="G527" s="2959" t="s">
        <v>3687</v>
      </c>
      <c r="H527" s="2959">
        <v>102.32</v>
      </c>
      <c r="I527" s="2959">
        <v>77.09</v>
      </c>
    </row>
    <row r="528" spans="1:9" s="2956" customFormat="1" ht="18.75" customHeight="1">
      <c r="A528" s="2958">
        <v>527</v>
      </c>
      <c r="B528" s="2959" t="s">
        <v>3122</v>
      </c>
      <c r="C528" s="2959" t="s">
        <v>3650</v>
      </c>
      <c r="D528" s="2959" t="s">
        <v>3688</v>
      </c>
      <c r="E528" s="2959" t="s">
        <v>3125</v>
      </c>
      <c r="F528" s="2960">
        <v>101</v>
      </c>
      <c r="G528" s="2959" t="s">
        <v>3689</v>
      </c>
      <c r="H528" s="2959">
        <v>102.3</v>
      </c>
      <c r="I528" s="2959">
        <v>79.38</v>
      </c>
    </row>
    <row r="529" spans="1:9" s="2956" customFormat="1" ht="18.75" customHeight="1">
      <c r="A529" s="2958">
        <v>528</v>
      </c>
      <c r="B529" s="2959" t="s">
        <v>3122</v>
      </c>
      <c r="C529" s="2959" t="s">
        <v>3650</v>
      </c>
      <c r="D529" s="2959" t="s">
        <v>3688</v>
      </c>
      <c r="E529" s="2959" t="s">
        <v>3125</v>
      </c>
      <c r="F529" s="2960">
        <v>102</v>
      </c>
      <c r="G529" s="2959" t="s">
        <v>3690</v>
      </c>
      <c r="H529" s="2959">
        <v>117.69</v>
      </c>
      <c r="I529" s="2959">
        <v>91.32</v>
      </c>
    </row>
    <row r="530" spans="1:9" s="2956" customFormat="1" ht="18.75" customHeight="1">
      <c r="A530" s="2958">
        <v>529</v>
      </c>
      <c r="B530" s="2959" t="s">
        <v>3122</v>
      </c>
      <c r="C530" s="2959" t="s">
        <v>3650</v>
      </c>
      <c r="D530" s="2959" t="s">
        <v>3688</v>
      </c>
      <c r="E530" s="2959" t="s">
        <v>3125</v>
      </c>
      <c r="F530" s="2960">
        <v>103</v>
      </c>
      <c r="G530" s="2959" t="s">
        <v>3691</v>
      </c>
      <c r="H530" s="2959">
        <v>102.97</v>
      </c>
      <c r="I530" s="2959">
        <v>79.900000000000006</v>
      </c>
    </row>
    <row r="531" spans="1:9" s="2956" customFormat="1" ht="18.75" customHeight="1">
      <c r="A531" s="2958">
        <v>530</v>
      </c>
      <c r="B531" s="2959" t="s">
        <v>3122</v>
      </c>
      <c r="C531" s="2959" t="s">
        <v>3650</v>
      </c>
      <c r="D531" s="2959" t="s">
        <v>3688</v>
      </c>
      <c r="E531" s="2959" t="s">
        <v>3125</v>
      </c>
      <c r="F531" s="2960">
        <v>104</v>
      </c>
      <c r="G531" s="2959" t="s">
        <v>3692</v>
      </c>
      <c r="H531" s="2959">
        <v>74.3</v>
      </c>
      <c r="I531" s="2959">
        <v>57.65</v>
      </c>
    </row>
    <row r="532" spans="1:9" s="2956" customFormat="1" ht="18.75" customHeight="1">
      <c r="A532" s="2958">
        <v>531</v>
      </c>
      <c r="B532" s="2959" t="s">
        <v>3122</v>
      </c>
      <c r="C532" s="2959" t="s">
        <v>3650</v>
      </c>
      <c r="D532" s="2959" t="s">
        <v>3688</v>
      </c>
      <c r="E532" s="2959" t="s">
        <v>3125</v>
      </c>
      <c r="F532" s="2960">
        <v>105</v>
      </c>
      <c r="G532" s="2959" t="s">
        <v>3693</v>
      </c>
      <c r="H532" s="2959">
        <v>73.86</v>
      </c>
      <c r="I532" s="2959">
        <v>57.31</v>
      </c>
    </row>
    <row r="533" spans="1:9" s="2956" customFormat="1" ht="18.75" customHeight="1">
      <c r="A533" s="2958">
        <v>532</v>
      </c>
      <c r="B533" s="2959" t="s">
        <v>3122</v>
      </c>
      <c r="C533" s="2959" t="s">
        <v>3650</v>
      </c>
      <c r="D533" s="2959" t="s">
        <v>3694</v>
      </c>
      <c r="E533" s="2959" t="s">
        <v>3125</v>
      </c>
      <c r="F533" s="2960">
        <v>101</v>
      </c>
      <c r="G533" s="2959" t="s">
        <v>3695</v>
      </c>
      <c r="H533" s="2959">
        <v>102.3</v>
      </c>
      <c r="I533" s="2959">
        <v>79.38</v>
      </c>
    </row>
    <row r="534" spans="1:9" s="2956" customFormat="1" ht="18.75" customHeight="1">
      <c r="A534" s="2958">
        <v>533</v>
      </c>
      <c r="B534" s="2959" t="s">
        <v>3122</v>
      </c>
      <c r="C534" s="2959" t="s">
        <v>3650</v>
      </c>
      <c r="D534" s="2959" t="s">
        <v>3694</v>
      </c>
      <c r="E534" s="2959" t="s">
        <v>3125</v>
      </c>
      <c r="F534" s="2960">
        <v>102</v>
      </c>
      <c r="G534" s="2959" t="s">
        <v>3696</v>
      </c>
      <c r="H534" s="2959">
        <v>117.99</v>
      </c>
      <c r="I534" s="2959">
        <v>91.55</v>
      </c>
    </row>
    <row r="535" spans="1:9" s="2956" customFormat="1" ht="18.75" customHeight="1">
      <c r="A535" s="2958">
        <v>534</v>
      </c>
      <c r="B535" s="2959" t="s">
        <v>3122</v>
      </c>
      <c r="C535" s="2959" t="s">
        <v>3650</v>
      </c>
      <c r="D535" s="2959" t="s">
        <v>3694</v>
      </c>
      <c r="E535" s="2959" t="s">
        <v>3125</v>
      </c>
      <c r="F535" s="2960">
        <v>103</v>
      </c>
      <c r="G535" s="2959" t="s">
        <v>3697</v>
      </c>
      <c r="H535" s="2959">
        <v>102.97</v>
      </c>
      <c r="I535" s="2959">
        <v>79.900000000000006</v>
      </c>
    </row>
    <row r="536" spans="1:9" s="2956" customFormat="1" ht="18.75" customHeight="1">
      <c r="A536" s="2958">
        <v>535</v>
      </c>
      <c r="B536" s="2959" t="s">
        <v>3122</v>
      </c>
      <c r="C536" s="2959" t="s">
        <v>3650</v>
      </c>
      <c r="D536" s="2959" t="s">
        <v>3694</v>
      </c>
      <c r="E536" s="2959" t="s">
        <v>3125</v>
      </c>
      <c r="F536" s="2960">
        <v>104</v>
      </c>
      <c r="G536" s="2959" t="s">
        <v>3698</v>
      </c>
      <c r="H536" s="2959">
        <v>74.3</v>
      </c>
      <c r="I536" s="2959">
        <v>57.65</v>
      </c>
    </row>
    <row r="537" spans="1:9" s="2956" customFormat="1" ht="18.75" customHeight="1">
      <c r="A537" s="2958">
        <v>536</v>
      </c>
      <c r="B537" s="2959" t="s">
        <v>3122</v>
      </c>
      <c r="C537" s="2959" t="s">
        <v>3650</v>
      </c>
      <c r="D537" s="2959" t="s">
        <v>3694</v>
      </c>
      <c r="E537" s="2959" t="s">
        <v>3125</v>
      </c>
      <c r="F537" s="2960">
        <v>105</v>
      </c>
      <c r="G537" s="2959" t="s">
        <v>3699</v>
      </c>
      <c r="H537" s="2959">
        <v>73.42</v>
      </c>
      <c r="I537" s="2959">
        <v>56.97</v>
      </c>
    </row>
    <row r="538" spans="1:9" ht="18.75" customHeight="1">
      <c r="A538" s="2958">
        <v>537</v>
      </c>
      <c r="B538" s="2959" t="s">
        <v>3122</v>
      </c>
      <c r="C538" s="2959" t="s">
        <v>3650</v>
      </c>
      <c r="D538" s="2959" t="s">
        <v>3694</v>
      </c>
      <c r="E538" s="2959" t="s">
        <v>3125</v>
      </c>
      <c r="F538" s="2960">
        <v>506</v>
      </c>
      <c r="G538" s="2959" t="s">
        <v>3700</v>
      </c>
      <c r="H538" s="2959">
        <v>74.14</v>
      </c>
      <c r="I538" s="2959">
        <v>57.53</v>
      </c>
    </row>
    <row r="539" spans="1:9" ht="18.75" customHeight="1">
      <c r="A539" s="2958">
        <v>538</v>
      </c>
      <c r="B539" s="2959" t="s">
        <v>3122</v>
      </c>
      <c r="C539" s="2959" t="s">
        <v>3463</v>
      </c>
      <c r="D539" s="2959" t="s">
        <v>3701</v>
      </c>
      <c r="E539" s="2959" t="s">
        <v>3125</v>
      </c>
      <c r="F539" s="2960">
        <v>201</v>
      </c>
      <c r="G539" s="2959" t="s">
        <v>3702</v>
      </c>
      <c r="H539" s="2959">
        <v>157.69</v>
      </c>
      <c r="I539" s="2959">
        <v>121.27</v>
      </c>
    </row>
    <row r="540" spans="1:9" ht="18.75" customHeight="1">
      <c r="A540" s="2958">
        <v>539</v>
      </c>
      <c r="B540" s="2959" t="s">
        <v>3122</v>
      </c>
      <c r="C540" s="2959" t="s">
        <v>3463</v>
      </c>
      <c r="D540" s="2959" t="s">
        <v>3701</v>
      </c>
      <c r="E540" s="2959" t="s">
        <v>3125</v>
      </c>
      <c r="F540" s="2960">
        <v>202</v>
      </c>
      <c r="G540" s="2959" t="s">
        <v>3703</v>
      </c>
      <c r="H540" s="2959">
        <v>120.57</v>
      </c>
      <c r="I540" s="2959">
        <v>92.72</v>
      </c>
    </row>
    <row r="541" spans="1:9" ht="18.75" customHeight="1">
      <c r="A541" s="2958">
        <v>540</v>
      </c>
      <c r="B541" s="2959" t="s">
        <v>3122</v>
      </c>
      <c r="C541" s="2959" t="s">
        <v>3463</v>
      </c>
      <c r="D541" s="2959" t="s">
        <v>3701</v>
      </c>
      <c r="E541" s="2959" t="s">
        <v>3125</v>
      </c>
      <c r="F541" s="2960">
        <v>203</v>
      </c>
      <c r="G541" s="2959" t="s">
        <v>3704</v>
      </c>
      <c r="H541" s="2959">
        <v>157.78</v>
      </c>
      <c r="I541" s="2959">
        <v>121.34</v>
      </c>
    </row>
    <row r="542" spans="1:9" ht="18.75" customHeight="1">
      <c r="A542" s="2958">
        <v>541</v>
      </c>
      <c r="B542" s="2959" t="s">
        <v>3122</v>
      </c>
      <c r="C542" s="2959" t="s">
        <v>3463</v>
      </c>
      <c r="D542" s="2959" t="s">
        <v>3701</v>
      </c>
      <c r="E542" s="2959" t="s">
        <v>3125</v>
      </c>
      <c r="F542" s="2960">
        <v>204</v>
      </c>
      <c r="G542" s="2959" t="s">
        <v>3705</v>
      </c>
      <c r="H542" s="2959">
        <v>117.15</v>
      </c>
      <c r="I542" s="2959">
        <v>90.09</v>
      </c>
    </row>
    <row r="543" spans="1:9" ht="18.75" customHeight="1">
      <c r="A543" s="2958">
        <v>542</v>
      </c>
      <c r="B543" s="2959" t="s">
        <v>3122</v>
      </c>
      <c r="C543" s="2959" t="s">
        <v>3463</v>
      </c>
      <c r="D543" s="2959" t="s">
        <v>3701</v>
      </c>
      <c r="E543" s="2959" t="s">
        <v>3125</v>
      </c>
      <c r="F543" s="2960">
        <v>205</v>
      </c>
      <c r="G543" s="2959" t="s">
        <v>3706</v>
      </c>
      <c r="H543" s="2959">
        <v>116.71</v>
      </c>
      <c r="I543" s="2959">
        <v>89.75</v>
      </c>
    </row>
    <row r="544" spans="1:9" ht="18.75" customHeight="1">
      <c r="A544" s="2958">
        <v>543</v>
      </c>
      <c r="B544" s="2959" t="s">
        <v>3122</v>
      </c>
      <c r="C544" s="2959" t="s">
        <v>3463</v>
      </c>
      <c r="D544" s="2959" t="s">
        <v>3701</v>
      </c>
      <c r="E544" s="2959" t="s">
        <v>3125</v>
      </c>
      <c r="F544" s="2960">
        <v>301</v>
      </c>
      <c r="G544" s="2959" t="s">
        <v>3707</v>
      </c>
      <c r="H544" s="2959">
        <v>157.69</v>
      </c>
      <c r="I544" s="2959">
        <v>121.27</v>
      </c>
    </row>
    <row r="545" spans="1:9" ht="18.75" customHeight="1">
      <c r="A545" s="2958">
        <v>544</v>
      </c>
      <c r="B545" s="2959" t="s">
        <v>3122</v>
      </c>
      <c r="C545" s="2959" t="s">
        <v>3463</v>
      </c>
      <c r="D545" s="2959" t="s">
        <v>3701</v>
      </c>
      <c r="E545" s="2959" t="s">
        <v>3125</v>
      </c>
      <c r="F545" s="2960">
        <v>302</v>
      </c>
      <c r="G545" s="2959" t="s">
        <v>3708</v>
      </c>
      <c r="H545" s="2959">
        <v>120.57</v>
      </c>
      <c r="I545" s="2959">
        <v>92.72</v>
      </c>
    </row>
    <row r="546" spans="1:9" ht="18.75" customHeight="1">
      <c r="A546" s="2958">
        <v>545</v>
      </c>
      <c r="B546" s="2959" t="s">
        <v>3122</v>
      </c>
      <c r="C546" s="2959" t="s">
        <v>3463</v>
      </c>
      <c r="D546" s="2959" t="s">
        <v>3701</v>
      </c>
      <c r="E546" s="2959" t="s">
        <v>3125</v>
      </c>
      <c r="F546" s="2960">
        <v>303</v>
      </c>
      <c r="G546" s="2959" t="s">
        <v>3709</v>
      </c>
      <c r="H546" s="2959">
        <v>157.78</v>
      </c>
      <c r="I546" s="2959">
        <v>121.34</v>
      </c>
    </row>
    <row r="547" spans="1:9" ht="18.75" customHeight="1">
      <c r="A547" s="2958">
        <v>546</v>
      </c>
      <c r="B547" s="2959" t="s">
        <v>3122</v>
      </c>
      <c r="C547" s="2959" t="s">
        <v>3463</v>
      </c>
      <c r="D547" s="2959" t="s">
        <v>3701</v>
      </c>
      <c r="E547" s="2959" t="s">
        <v>3125</v>
      </c>
      <c r="F547" s="2960">
        <v>304</v>
      </c>
      <c r="G547" s="2959" t="s">
        <v>3710</v>
      </c>
      <c r="H547" s="2959">
        <v>117.15</v>
      </c>
      <c r="I547" s="2959">
        <v>90.09</v>
      </c>
    </row>
    <row r="548" spans="1:9" ht="18.75" customHeight="1">
      <c r="A548" s="2958">
        <v>547</v>
      </c>
      <c r="B548" s="2959" t="s">
        <v>3122</v>
      </c>
      <c r="C548" s="2959" t="s">
        <v>3463</v>
      </c>
      <c r="D548" s="2959" t="s">
        <v>3701</v>
      </c>
      <c r="E548" s="2959" t="s">
        <v>3125</v>
      </c>
      <c r="F548" s="2960">
        <v>305</v>
      </c>
      <c r="G548" s="2959" t="s">
        <v>3711</v>
      </c>
      <c r="H548" s="2959">
        <v>116.71</v>
      </c>
      <c r="I548" s="2959">
        <v>89.75</v>
      </c>
    </row>
    <row r="549" spans="1:9" ht="18.75" customHeight="1">
      <c r="A549" s="2958">
        <v>548</v>
      </c>
      <c r="B549" s="2959" t="s">
        <v>3122</v>
      </c>
      <c r="C549" s="2959" t="s">
        <v>3463</v>
      </c>
      <c r="D549" s="2959" t="s">
        <v>3701</v>
      </c>
      <c r="E549" s="2959" t="s">
        <v>3125</v>
      </c>
      <c r="F549" s="2960">
        <v>401</v>
      </c>
      <c r="G549" s="2959" t="s">
        <v>3712</v>
      </c>
      <c r="H549" s="2959">
        <v>157.69</v>
      </c>
      <c r="I549" s="2959">
        <v>121.27</v>
      </c>
    </row>
    <row r="550" spans="1:9" ht="18.75" customHeight="1">
      <c r="A550" s="2958">
        <v>549</v>
      </c>
      <c r="B550" s="2959" t="s">
        <v>3122</v>
      </c>
      <c r="C550" s="2959" t="s">
        <v>3463</v>
      </c>
      <c r="D550" s="2959" t="s">
        <v>3701</v>
      </c>
      <c r="E550" s="2959" t="s">
        <v>3125</v>
      </c>
      <c r="F550" s="2960">
        <v>402</v>
      </c>
      <c r="G550" s="2959" t="s">
        <v>3713</v>
      </c>
      <c r="H550" s="2959">
        <v>120.57</v>
      </c>
      <c r="I550" s="2959">
        <v>92.72</v>
      </c>
    </row>
    <row r="551" spans="1:9" ht="18.75" customHeight="1">
      <c r="A551" s="2958">
        <v>550</v>
      </c>
      <c r="B551" s="2959" t="s">
        <v>3122</v>
      </c>
      <c r="C551" s="2959" t="s">
        <v>3463</v>
      </c>
      <c r="D551" s="2959" t="s">
        <v>3701</v>
      </c>
      <c r="E551" s="2959" t="s">
        <v>3125</v>
      </c>
      <c r="F551" s="2960">
        <v>403</v>
      </c>
      <c r="G551" s="2959" t="s">
        <v>3714</v>
      </c>
      <c r="H551" s="2959">
        <v>157.78</v>
      </c>
      <c r="I551" s="2959">
        <v>121.34</v>
      </c>
    </row>
    <row r="552" spans="1:9" ht="18.75" customHeight="1">
      <c r="A552" s="2958">
        <v>551</v>
      </c>
      <c r="B552" s="2959" t="s">
        <v>3122</v>
      </c>
      <c r="C552" s="2959" t="s">
        <v>3463</v>
      </c>
      <c r="D552" s="2959" t="s">
        <v>3701</v>
      </c>
      <c r="E552" s="2959" t="s">
        <v>3125</v>
      </c>
      <c r="F552" s="2960">
        <v>404</v>
      </c>
      <c r="G552" s="2959" t="s">
        <v>3715</v>
      </c>
      <c r="H552" s="2959">
        <v>117.15</v>
      </c>
      <c r="I552" s="2959">
        <v>90.09</v>
      </c>
    </row>
    <row r="553" spans="1:9" ht="18.75" customHeight="1">
      <c r="A553" s="2958">
        <v>552</v>
      </c>
      <c r="B553" s="2959" t="s">
        <v>3122</v>
      </c>
      <c r="C553" s="2959" t="s">
        <v>3463</v>
      </c>
      <c r="D553" s="2959" t="s">
        <v>3701</v>
      </c>
      <c r="E553" s="2959" t="s">
        <v>3125</v>
      </c>
      <c r="F553" s="2960">
        <v>405</v>
      </c>
      <c r="G553" s="2959" t="s">
        <v>3716</v>
      </c>
      <c r="H553" s="2959">
        <v>116.71</v>
      </c>
      <c r="I553" s="2959">
        <v>89.75</v>
      </c>
    </row>
    <row r="554" spans="1:9" ht="18.75" customHeight="1">
      <c r="A554" s="2958">
        <v>553</v>
      </c>
      <c r="B554" s="2959" t="s">
        <v>3122</v>
      </c>
      <c r="C554" s="2959" t="s">
        <v>3463</v>
      </c>
      <c r="D554" s="2959" t="s">
        <v>3701</v>
      </c>
      <c r="E554" s="2959" t="s">
        <v>3125</v>
      </c>
      <c r="F554" s="2960">
        <v>501</v>
      </c>
      <c r="G554" s="2959" t="s">
        <v>3717</v>
      </c>
      <c r="H554" s="2959">
        <v>157.97999999999999</v>
      </c>
      <c r="I554" s="2959">
        <v>121.49</v>
      </c>
    </row>
    <row r="555" spans="1:9" ht="18.75" customHeight="1">
      <c r="A555" s="2958">
        <v>554</v>
      </c>
      <c r="B555" s="2959" t="s">
        <v>3122</v>
      </c>
      <c r="C555" s="2959" t="s">
        <v>3463</v>
      </c>
      <c r="D555" s="2959" t="s">
        <v>3701</v>
      </c>
      <c r="E555" s="2959" t="s">
        <v>3125</v>
      </c>
      <c r="F555" s="2960">
        <v>502</v>
      </c>
      <c r="G555" s="2959" t="s">
        <v>3718</v>
      </c>
      <c r="H555" s="2959">
        <v>120.78</v>
      </c>
      <c r="I555" s="2959">
        <v>92.88</v>
      </c>
    </row>
    <row r="556" spans="1:9" ht="18.75" customHeight="1">
      <c r="A556" s="2958">
        <v>555</v>
      </c>
      <c r="B556" s="2959" t="s">
        <v>3122</v>
      </c>
      <c r="C556" s="2959" t="s">
        <v>3463</v>
      </c>
      <c r="D556" s="2959" t="s">
        <v>3701</v>
      </c>
      <c r="E556" s="2959" t="s">
        <v>3125</v>
      </c>
      <c r="F556" s="2960">
        <v>503</v>
      </c>
      <c r="G556" s="2959" t="s">
        <v>3719</v>
      </c>
      <c r="H556" s="2959">
        <v>158.16</v>
      </c>
      <c r="I556" s="2959">
        <v>121.63</v>
      </c>
    </row>
    <row r="557" spans="1:9" ht="18.75" customHeight="1">
      <c r="A557" s="2958">
        <v>556</v>
      </c>
      <c r="B557" s="2959" t="s">
        <v>3122</v>
      </c>
      <c r="C557" s="2959" t="s">
        <v>3463</v>
      </c>
      <c r="D557" s="2959" t="s">
        <v>3701</v>
      </c>
      <c r="E557" s="2959" t="s">
        <v>3125</v>
      </c>
      <c r="F557" s="2960">
        <v>504</v>
      </c>
      <c r="G557" s="2959" t="s">
        <v>3720</v>
      </c>
      <c r="H557" s="2959">
        <v>117.62</v>
      </c>
      <c r="I557" s="2959">
        <v>90.45</v>
      </c>
    </row>
    <row r="558" spans="1:9" ht="18.75" customHeight="1">
      <c r="A558" s="2958">
        <v>557</v>
      </c>
      <c r="B558" s="2959" t="s">
        <v>3122</v>
      </c>
      <c r="C558" s="2959" t="s">
        <v>3463</v>
      </c>
      <c r="D558" s="2959" t="s">
        <v>3701</v>
      </c>
      <c r="E558" s="2959" t="s">
        <v>3125</v>
      </c>
      <c r="F558" s="2960">
        <v>505</v>
      </c>
      <c r="G558" s="2959" t="s">
        <v>3721</v>
      </c>
      <c r="H558" s="2959">
        <v>117.33</v>
      </c>
      <c r="I558" s="2959">
        <v>90.23</v>
      </c>
    </row>
    <row r="559" spans="1:9" ht="18.75" customHeight="1">
      <c r="A559" s="2958">
        <v>558</v>
      </c>
      <c r="B559" s="2959" t="s">
        <v>3122</v>
      </c>
      <c r="C559" s="2959" t="s">
        <v>3463</v>
      </c>
      <c r="D559" s="2959" t="s">
        <v>3701</v>
      </c>
      <c r="E559" s="2959" t="s">
        <v>3125</v>
      </c>
      <c r="F559" s="2960">
        <v>601</v>
      </c>
      <c r="G559" s="2959" t="s">
        <v>3722</v>
      </c>
      <c r="H559" s="2959">
        <v>157.97999999999999</v>
      </c>
      <c r="I559" s="2959">
        <v>121.49</v>
      </c>
    </row>
    <row r="560" spans="1:9" ht="18.75" customHeight="1">
      <c r="A560" s="2958">
        <v>559</v>
      </c>
      <c r="B560" s="2959" t="s">
        <v>3122</v>
      </c>
      <c r="C560" s="2959" t="s">
        <v>3463</v>
      </c>
      <c r="D560" s="2959" t="s">
        <v>3701</v>
      </c>
      <c r="E560" s="2959" t="s">
        <v>3125</v>
      </c>
      <c r="F560" s="2960">
        <v>602</v>
      </c>
      <c r="G560" s="2959" t="s">
        <v>3723</v>
      </c>
      <c r="H560" s="2959">
        <v>120.78</v>
      </c>
      <c r="I560" s="2959">
        <v>92.88</v>
      </c>
    </row>
    <row r="561" spans="1:9" ht="18.75" customHeight="1">
      <c r="A561" s="2958">
        <v>560</v>
      </c>
      <c r="B561" s="2959" t="s">
        <v>3122</v>
      </c>
      <c r="C561" s="2959" t="s">
        <v>3463</v>
      </c>
      <c r="D561" s="2959" t="s">
        <v>3701</v>
      </c>
      <c r="E561" s="2959" t="s">
        <v>3125</v>
      </c>
      <c r="F561" s="2960">
        <v>603</v>
      </c>
      <c r="G561" s="2959" t="s">
        <v>3724</v>
      </c>
      <c r="H561" s="2959">
        <v>158.16</v>
      </c>
      <c r="I561" s="2959">
        <v>121.63</v>
      </c>
    </row>
    <row r="562" spans="1:9" ht="18.75" customHeight="1">
      <c r="A562" s="2958">
        <v>561</v>
      </c>
      <c r="B562" s="2959" t="s">
        <v>3122</v>
      </c>
      <c r="C562" s="2959" t="s">
        <v>3463</v>
      </c>
      <c r="D562" s="2959" t="s">
        <v>3701</v>
      </c>
      <c r="E562" s="2959" t="s">
        <v>3125</v>
      </c>
      <c r="F562" s="2960">
        <v>604</v>
      </c>
      <c r="G562" s="2959" t="s">
        <v>3725</v>
      </c>
      <c r="H562" s="2959">
        <v>117.62</v>
      </c>
      <c r="I562" s="2959">
        <v>90.45</v>
      </c>
    </row>
    <row r="563" spans="1:9" ht="18.75" customHeight="1">
      <c r="A563" s="2958">
        <v>562</v>
      </c>
      <c r="B563" s="2959" t="s">
        <v>3122</v>
      </c>
      <c r="C563" s="2959" t="s">
        <v>3463</v>
      </c>
      <c r="D563" s="2959" t="s">
        <v>3701</v>
      </c>
      <c r="E563" s="2959" t="s">
        <v>3125</v>
      </c>
      <c r="F563" s="2960">
        <v>605</v>
      </c>
      <c r="G563" s="2959" t="s">
        <v>3726</v>
      </c>
      <c r="H563" s="2959">
        <v>117.33</v>
      </c>
      <c r="I563" s="2959">
        <v>90.23</v>
      </c>
    </row>
    <row r="564" spans="1:9" ht="18.75" customHeight="1">
      <c r="A564" s="2958">
        <v>563</v>
      </c>
      <c r="B564" s="2959" t="s">
        <v>3122</v>
      </c>
      <c r="C564" s="2959" t="s">
        <v>3463</v>
      </c>
      <c r="D564" s="2959" t="s">
        <v>3701</v>
      </c>
      <c r="E564" s="2959" t="s">
        <v>3125</v>
      </c>
      <c r="F564" s="2960">
        <v>701</v>
      </c>
      <c r="G564" s="2959" t="s">
        <v>3727</v>
      </c>
      <c r="H564" s="2959">
        <v>157.97999999999999</v>
      </c>
      <c r="I564" s="2959">
        <v>121.49</v>
      </c>
    </row>
    <row r="565" spans="1:9" ht="18.75" customHeight="1">
      <c r="A565" s="2958">
        <v>564</v>
      </c>
      <c r="B565" s="2959" t="s">
        <v>3122</v>
      </c>
      <c r="C565" s="2959" t="s">
        <v>3463</v>
      </c>
      <c r="D565" s="2959" t="s">
        <v>3701</v>
      </c>
      <c r="E565" s="2959" t="s">
        <v>3125</v>
      </c>
      <c r="F565" s="2960">
        <v>702</v>
      </c>
      <c r="G565" s="2959" t="s">
        <v>3728</v>
      </c>
      <c r="H565" s="2959">
        <v>120.78</v>
      </c>
      <c r="I565" s="2959">
        <v>92.88</v>
      </c>
    </row>
    <row r="566" spans="1:9" ht="18.75" customHeight="1">
      <c r="A566" s="2958">
        <v>565</v>
      </c>
      <c r="B566" s="2959" t="s">
        <v>3122</v>
      </c>
      <c r="C566" s="2959" t="s">
        <v>3463</v>
      </c>
      <c r="D566" s="2959" t="s">
        <v>3701</v>
      </c>
      <c r="E566" s="2959" t="s">
        <v>3125</v>
      </c>
      <c r="F566" s="2960">
        <v>703</v>
      </c>
      <c r="G566" s="2959" t="s">
        <v>3729</v>
      </c>
      <c r="H566" s="2959">
        <v>158.16</v>
      </c>
      <c r="I566" s="2959">
        <v>121.63</v>
      </c>
    </row>
    <row r="567" spans="1:9" ht="18.75" customHeight="1">
      <c r="A567" s="2958">
        <v>566</v>
      </c>
      <c r="B567" s="2959" t="s">
        <v>3122</v>
      </c>
      <c r="C567" s="2959" t="s">
        <v>3463</v>
      </c>
      <c r="D567" s="2959" t="s">
        <v>3701</v>
      </c>
      <c r="E567" s="2959" t="s">
        <v>3125</v>
      </c>
      <c r="F567" s="2960">
        <v>704</v>
      </c>
      <c r="G567" s="2959" t="s">
        <v>3730</v>
      </c>
      <c r="H567" s="2959">
        <v>117.62</v>
      </c>
      <c r="I567" s="2959">
        <v>90.45</v>
      </c>
    </row>
    <row r="568" spans="1:9" ht="18.75" customHeight="1">
      <c r="A568" s="2958">
        <v>567</v>
      </c>
      <c r="B568" s="2959" t="s">
        <v>3122</v>
      </c>
      <c r="C568" s="2959" t="s">
        <v>3463</v>
      </c>
      <c r="D568" s="2959" t="s">
        <v>3701</v>
      </c>
      <c r="E568" s="2959" t="s">
        <v>3125</v>
      </c>
      <c r="F568" s="2960">
        <v>705</v>
      </c>
      <c r="G568" s="2959" t="s">
        <v>3731</v>
      </c>
      <c r="H568" s="2959">
        <v>117.33</v>
      </c>
      <c r="I568" s="2959">
        <v>90.23</v>
      </c>
    </row>
    <row r="569" spans="1:9" ht="18.75" customHeight="1">
      <c r="A569" s="2958">
        <v>568</v>
      </c>
      <c r="B569" s="2959" t="s">
        <v>3122</v>
      </c>
      <c r="C569" s="2959" t="s">
        <v>3463</v>
      </c>
      <c r="D569" s="2959" t="s">
        <v>3701</v>
      </c>
      <c r="E569" s="2959" t="s">
        <v>3125</v>
      </c>
      <c r="F569" s="2960">
        <v>801</v>
      </c>
      <c r="G569" s="2959" t="s">
        <v>3732</v>
      </c>
      <c r="H569" s="2959">
        <v>157.97999999999999</v>
      </c>
      <c r="I569" s="2959">
        <v>121.49</v>
      </c>
    </row>
    <row r="570" spans="1:9" ht="18.75" customHeight="1">
      <c r="A570" s="2958">
        <v>569</v>
      </c>
      <c r="B570" s="2959" t="s">
        <v>3122</v>
      </c>
      <c r="C570" s="2959" t="s">
        <v>3463</v>
      </c>
      <c r="D570" s="2959" t="s">
        <v>3701</v>
      </c>
      <c r="E570" s="2959" t="s">
        <v>3125</v>
      </c>
      <c r="F570" s="2960">
        <v>802</v>
      </c>
      <c r="G570" s="2959" t="s">
        <v>3733</v>
      </c>
      <c r="H570" s="2959">
        <v>120.78</v>
      </c>
      <c r="I570" s="2959">
        <v>92.88</v>
      </c>
    </row>
    <row r="571" spans="1:9" ht="18.75" customHeight="1">
      <c r="A571" s="2958">
        <v>570</v>
      </c>
      <c r="B571" s="2959" t="s">
        <v>3122</v>
      </c>
      <c r="C571" s="2959" t="s">
        <v>3463</v>
      </c>
      <c r="D571" s="2959" t="s">
        <v>3701</v>
      </c>
      <c r="E571" s="2959" t="s">
        <v>3125</v>
      </c>
      <c r="F571" s="2960">
        <v>803</v>
      </c>
      <c r="G571" s="2959" t="s">
        <v>3734</v>
      </c>
      <c r="H571" s="2959">
        <v>158.16</v>
      </c>
      <c r="I571" s="2959">
        <v>121.63</v>
      </c>
    </row>
    <row r="572" spans="1:9" ht="18.75" customHeight="1">
      <c r="A572" s="2958">
        <v>571</v>
      </c>
      <c r="B572" s="2959" t="s">
        <v>3122</v>
      </c>
      <c r="C572" s="2959" t="s">
        <v>3463</v>
      </c>
      <c r="D572" s="2959" t="s">
        <v>3701</v>
      </c>
      <c r="E572" s="2959" t="s">
        <v>3125</v>
      </c>
      <c r="F572" s="2960">
        <v>804</v>
      </c>
      <c r="G572" s="2959" t="s">
        <v>3735</v>
      </c>
      <c r="H572" s="2959">
        <v>117.62</v>
      </c>
      <c r="I572" s="2959">
        <v>90.45</v>
      </c>
    </row>
    <row r="573" spans="1:9" ht="18.75" customHeight="1">
      <c r="A573" s="2958">
        <v>572</v>
      </c>
      <c r="B573" s="2959" t="s">
        <v>3122</v>
      </c>
      <c r="C573" s="2959" t="s">
        <v>3463</v>
      </c>
      <c r="D573" s="2959" t="s">
        <v>3701</v>
      </c>
      <c r="E573" s="2959" t="s">
        <v>3125</v>
      </c>
      <c r="F573" s="2960">
        <v>805</v>
      </c>
      <c r="G573" s="2959" t="s">
        <v>3736</v>
      </c>
      <c r="H573" s="2959">
        <v>117.33</v>
      </c>
      <c r="I573" s="2959">
        <v>90.23</v>
      </c>
    </row>
    <row r="574" spans="1:9" ht="18.75" customHeight="1">
      <c r="A574" s="2958">
        <v>573</v>
      </c>
      <c r="B574" s="2959" t="s">
        <v>3122</v>
      </c>
      <c r="C574" s="2959" t="s">
        <v>3463</v>
      </c>
      <c r="D574" s="2959" t="s">
        <v>3701</v>
      </c>
      <c r="E574" s="2959" t="s">
        <v>3125</v>
      </c>
      <c r="F574" s="2960">
        <v>901</v>
      </c>
      <c r="G574" s="2959" t="s">
        <v>3737</v>
      </c>
      <c r="H574" s="2959">
        <v>157.97999999999999</v>
      </c>
      <c r="I574" s="2959">
        <v>121.49</v>
      </c>
    </row>
    <row r="575" spans="1:9" ht="18.75" customHeight="1">
      <c r="A575" s="2958">
        <v>574</v>
      </c>
      <c r="B575" s="2959" t="s">
        <v>3122</v>
      </c>
      <c r="C575" s="2959" t="s">
        <v>3463</v>
      </c>
      <c r="D575" s="2959" t="s">
        <v>3701</v>
      </c>
      <c r="E575" s="2959" t="s">
        <v>3125</v>
      </c>
      <c r="F575" s="2960">
        <v>902</v>
      </c>
      <c r="G575" s="2959" t="s">
        <v>3738</v>
      </c>
      <c r="H575" s="2959">
        <v>120.78</v>
      </c>
      <c r="I575" s="2959">
        <v>92.88</v>
      </c>
    </row>
    <row r="576" spans="1:9" ht="18.75" customHeight="1">
      <c r="A576" s="2958">
        <v>575</v>
      </c>
      <c r="B576" s="2959" t="s">
        <v>3122</v>
      </c>
      <c r="C576" s="2959" t="s">
        <v>3463</v>
      </c>
      <c r="D576" s="2959" t="s">
        <v>3701</v>
      </c>
      <c r="E576" s="2959" t="s">
        <v>3125</v>
      </c>
      <c r="F576" s="2960">
        <v>903</v>
      </c>
      <c r="G576" s="2959" t="s">
        <v>3739</v>
      </c>
      <c r="H576" s="2959">
        <v>158.16</v>
      </c>
      <c r="I576" s="2959">
        <v>121.63</v>
      </c>
    </row>
    <row r="577" spans="1:9" ht="18.75" customHeight="1">
      <c r="A577" s="2958">
        <v>576</v>
      </c>
      <c r="B577" s="2959" t="s">
        <v>3122</v>
      </c>
      <c r="C577" s="2959" t="s">
        <v>3463</v>
      </c>
      <c r="D577" s="2959" t="s">
        <v>3701</v>
      </c>
      <c r="E577" s="2959" t="s">
        <v>3125</v>
      </c>
      <c r="F577" s="2960">
        <v>904</v>
      </c>
      <c r="G577" s="2959" t="s">
        <v>3740</v>
      </c>
      <c r="H577" s="2959">
        <v>117.62</v>
      </c>
      <c r="I577" s="2959">
        <v>90.45</v>
      </c>
    </row>
    <row r="578" spans="1:9" ht="18.75" customHeight="1">
      <c r="A578" s="2958">
        <v>577</v>
      </c>
      <c r="B578" s="2959" t="s">
        <v>3122</v>
      </c>
      <c r="C578" s="2959" t="s">
        <v>3463</v>
      </c>
      <c r="D578" s="2959" t="s">
        <v>3701</v>
      </c>
      <c r="E578" s="2959" t="s">
        <v>3125</v>
      </c>
      <c r="F578" s="2960">
        <v>905</v>
      </c>
      <c r="G578" s="2959" t="s">
        <v>3741</v>
      </c>
      <c r="H578" s="2959">
        <v>117.33</v>
      </c>
      <c r="I578" s="2959">
        <v>90.23</v>
      </c>
    </row>
    <row r="579" spans="1:9" ht="18.75" customHeight="1">
      <c r="A579" s="2958">
        <v>578</v>
      </c>
      <c r="B579" s="2959" t="s">
        <v>3122</v>
      </c>
      <c r="C579" s="2959" t="s">
        <v>3463</v>
      </c>
      <c r="D579" s="2959" t="s">
        <v>3701</v>
      </c>
      <c r="E579" s="2959" t="s">
        <v>3125</v>
      </c>
      <c r="F579" s="2960">
        <v>1001</v>
      </c>
      <c r="G579" s="2959" t="s">
        <v>3742</v>
      </c>
      <c r="H579" s="2959">
        <v>157.97999999999999</v>
      </c>
      <c r="I579" s="2959">
        <v>121.49</v>
      </c>
    </row>
    <row r="580" spans="1:9" ht="18.75" customHeight="1">
      <c r="A580" s="2958">
        <v>579</v>
      </c>
      <c r="B580" s="2959" t="s">
        <v>3122</v>
      </c>
      <c r="C580" s="2959" t="s">
        <v>3463</v>
      </c>
      <c r="D580" s="2959" t="s">
        <v>3701</v>
      </c>
      <c r="E580" s="2959" t="s">
        <v>3125</v>
      </c>
      <c r="F580" s="2960">
        <v>1002</v>
      </c>
      <c r="G580" s="2959" t="s">
        <v>3743</v>
      </c>
      <c r="H580" s="2959">
        <v>120.78</v>
      </c>
      <c r="I580" s="2959">
        <v>92.88</v>
      </c>
    </row>
    <row r="581" spans="1:9" ht="18.75" customHeight="1">
      <c r="A581" s="2958">
        <v>580</v>
      </c>
      <c r="B581" s="2959" t="s">
        <v>3122</v>
      </c>
      <c r="C581" s="2959" t="s">
        <v>3463</v>
      </c>
      <c r="D581" s="2959" t="s">
        <v>3701</v>
      </c>
      <c r="E581" s="2959" t="s">
        <v>3125</v>
      </c>
      <c r="F581" s="2960">
        <v>1003</v>
      </c>
      <c r="G581" s="2959" t="s">
        <v>3744</v>
      </c>
      <c r="H581" s="2959">
        <v>158.16</v>
      </c>
      <c r="I581" s="2959">
        <v>121.63</v>
      </c>
    </row>
    <row r="582" spans="1:9" ht="18.75" customHeight="1">
      <c r="A582" s="2958">
        <v>581</v>
      </c>
      <c r="B582" s="2959" t="s">
        <v>3122</v>
      </c>
      <c r="C582" s="2959" t="s">
        <v>3463</v>
      </c>
      <c r="D582" s="2959" t="s">
        <v>3701</v>
      </c>
      <c r="E582" s="2959" t="s">
        <v>3125</v>
      </c>
      <c r="F582" s="2960">
        <v>1004</v>
      </c>
      <c r="G582" s="2959" t="s">
        <v>3745</v>
      </c>
      <c r="H582" s="2959">
        <v>117.62</v>
      </c>
      <c r="I582" s="2959">
        <v>90.45</v>
      </c>
    </row>
    <row r="583" spans="1:9" ht="18.75" customHeight="1">
      <c r="A583" s="2958">
        <v>582</v>
      </c>
      <c r="B583" s="2959" t="s">
        <v>3122</v>
      </c>
      <c r="C583" s="2959" t="s">
        <v>3463</v>
      </c>
      <c r="D583" s="2959" t="s">
        <v>3701</v>
      </c>
      <c r="E583" s="2959" t="s">
        <v>3125</v>
      </c>
      <c r="F583" s="2960">
        <v>1005</v>
      </c>
      <c r="G583" s="2959" t="s">
        <v>3746</v>
      </c>
      <c r="H583" s="2959">
        <v>117.33</v>
      </c>
      <c r="I583" s="2959">
        <v>90.23</v>
      </c>
    </row>
    <row r="584" spans="1:9" ht="18.75" customHeight="1">
      <c r="A584" s="2958">
        <v>583</v>
      </c>
      <c r="B584" s="2959" t="s">
        <v>3122</v>
      </c>
      <c r="C584" s="2959" t="s">
        <v>3463</v>
      </c>
      <c r="D584" s="2959" t="s">
        <v>3701</v>
      </c>
      <c r="E584" s="2959" t="s">
        <v>3125</v>
      </c>
      <c r="F584" s="2960">
        <v>1101</v>
      </c>
      <c r="G584" s="2959" t="s">
        <v>3747</v>
      </c>
      <c r="H584" s="2959">
        <v>157.97999999999999</v>
      </c>
      <c r="I584" s="2959">
        <v>121.49</v>
      </c>
    </row>
    <row r="585" spans="1:9" ht="18.75" customHeight="1">
      <c r="A585" s="2958">
        <v>584</v>
      </c>
      <c r="B585" s="2959" t="s">
        <v>3122</v>
      </c>
      <c r="C585" s="2959" t="s">
        <v>3463</v>
      </c>
      <c r="D585" s="2959" t="s">
        <v>3701</v>
      </c>
      <c r="E585" s="2959" t="s">
        <v>3125</v>
      </c>
      <c r="F585" s="2960">
        <v>1102</v>
      </c>
      <c r="G585" s="2959" t="s">
        <v>3748</v>
      </c>
      <c r="H585" s="2959">
        <v>120.78</v>
      </c>
      <c r="I585" s="2959">
        <v>92.88</v>
      </c>
    </row>
    <row r="586" spans="1:9" ht="18.75" customHeight="1">
      <c r="A586" s="2958">
        <v>585</v>
      </c>
      <c r="B586" s="2959" t="s">
        <v>3122</v>
      </c>
      <c r="C586" s="2959" t="s">
        <v>3463</v>
      </c>
      <c r="D586" s="2959" t="s">
        <v>3701</v>
      </c>
      <c r="E586" s="2959" t="s">
        <v>3125</v>
      </c>
      <c r="F586" s="2960">
        <v>1103</v>
      </c>
      <c r="G586" s="2959" t="s">
        <v>3749</v>
      </c>
      <c r="H586" s="2959">
        <v>158.16</v>
      </c>
      <c r="I586" s="2959">
        <v>121.63</v>
      </c>
    </row>
    <row r="587" spans="1:9" ht="18.75" customHeight="1">
      <c r="A587" s="2958">
        <v>586</v>
      </c>
      <c r="B587" s="2959" t="s">
        <v>3122</v>
      </c>
      <c r="C587" s="2959" t="s">
        <v>3463</v>
      </c>
      <c r="D587" s="2959" t="s">
        <v>3701</v>
      </c>
      <c r="E587" s="2959" t="s">
        <v>3125</v>
      </c>
      <c r="F587" s="2960">
        <v>1104</v>
      </c>
      <c r="G587" s="2959" t="s">
        <v>3750</v>
      </c>
      <c r="H587" s="2959">
        <v>117.62</v>
      </c>
      <c r="I587" s="2959">
        <v>90.45</v>
      </c>
    </row>
    <row r="588" spans="1:9" ht="18.75" customHeight="1">
      <c r="A588" s="2958">
        <v>587</v>
      </c>
      <c r="B588" s="2959" t="s">
        <v>3122</v>
      </c>
      <c r="C588" s="2959" t="s">
        <v>3463</v>
      </c>
      <c r="D588" s="2959" t="s">
        <v>3701</v>
      </c>
      <c r="E588" s="2959" t="s">
        <v>3125</v>
      </c>
      <c r="F588" s="2960">
        <v>1105</v>
      </c>
      <c r="G588" s="2959" t="s">
        <v>3751</v>
      </c>
      <c r="H588" s="2959">
        <v>117.33</v>
      </c>
      <c r="I588" s="2959">
        <v>90.23</v>
      </c>
    </row>
    <row r="589" spans="1:9" ht="18.75" customHeight="1">
      <c r="A589" s="2958">
        <v>588</v>
      </c>
      <c r="B589" s="2959" t="s">
        <v>3122</v>
      </c>
      <c r="C589" s="2959" t="s">
        <v>3463</v>
      </c>
      <c r="D589" s="2959" t="s">
        <v>3701</v>
      </c>
      <c r="E589" s="2959" t="s">
        <v>3125</v>
      </c>
      <c r="F589" s="2960">
        <v>1201</v>
      </c>
      <c r="G589" s="2959" t="s">
        <v>3752</v>
      </c>
      <c r="H589" s="2959">
        <v>157.97999999999999</v>
      </c>
      <c r="I589" s="2959">
        <v>121.49</v>
      </c>
    </row>
    <row r="590" spans="1:9" ht="18.75" customHeight="1">
      <c r="A590" s="2958">
        <v>589</v>
      </c>
      <c r="B590" s="2959" t="s">
        <v>3122</v>
      </c>
      <c r="C590" s="2959" t="s">
        <v>3463</v>
      </c>
      <c r="D590" s="2959" t="s">
        <v>3701</v>
      </c>
      <c r="E590" s="2959" t="s">
        <v>3125</v>
      </c>
      <c r="F590" s="2960">
        <v>1202</v>
      </c>
      <c r="G590" s="2959" t="s">
        <v>3753</v>
      </c>
      <c r="H590" s="2959">
        <v>120.78</v>
      </c>
      <c r="I590" s="2959">
        <v>92.88</v>
      </c>
    </row>
    <row r="591" spans="1:9" ht="18.75" customHeight="1">
      <c r="A591" s="2958">
        <v>590</v>
      </c>
      <c r="B591" s="2959" t="s">
        <v>3122</v>
      </c>
      <c r="C591" s="2959" t="s">
        <v>3463</v>
      </c>
      <c r="D591" s="2959" t="s">
        <v>3701</v>
      </c>
      <c r="E591" s="2959" t="s">
        <v>3125</v>
      </c>
      <c r="F591" s="2960">
        <v>1203</v>
      </c>
      <c r="G591" s="2959" t="s">
        <v>3754</v>
      </c>
      <c r="H591" s="2959">
        <v>158.16</v>
      </c>
      <c r="I591" s="2959">
        <v>121.63</v>
      </c>
    </row>
    <row r="592" spans="1:9" ht="18.75" customHeight="1">
      <c r="A592" s="2958">
        <v>591</v>
      </c>
      <c r="B592" s="2959" t="s">
        <v>3122</v>
      </c>
      <c r="C592" s="2959" t="s">
        <v>3463</v>
      </c>
      <c r="D592" s="2959" t="s">
        <v>3701</v>
      </c>
      <c r="E592" s="2959" t="s">
        <v>3125</v>
      </c>
      <c r="F592" s="2960">
        <v>1204</v>
      </c>
      <c r="G592" s="2959" t="s">
        <v>3755</v>
      </c>
      <c r="H592" s="2959">
        <v>117.62</v>
      </c>
      <c r="I592" s="2959">
        <v>90.45</v>
      </c>
    </row>
    <row r="593" spans="1:9" ht="18.75" customHeight="1">
      <c r="A593" s="2958">
        <v>592</v>
      </c>
      <c r="B593" s="2959" t="s">
        <v>3122</v>
      </c>
      <c r="C593" s="2959" t="s">
        <v>3463</v>
      </c>
      <c r="D593" s="2959" t="s">
        <v>3701</v>
      </c>
      <c r="E593" s="2959" t="s">
        <v>3125</v>
      </c>
      <c r="F593" s="2960">
        <v>1205</v>
      </c>
      <c r="G593" s="2959" t="s">
        <v>3756</v>
      </c>
      <c r="H593" s="2959">
        <v>117.33</v>
      </c>
      <c r="I593" s="2959">
        <v>90.23</v>
      </c>
    </row>
    <row r="594" spans="1:9" ht="18.75" customHeight="1">
      <c r="A594" s="2958">
        <v>593</v>
      </c>
      <c r="B594" s="2959" t="s">
        <v>3122</v>
      </c>
      <c r="C594" s="2959" t="s">
        <v>3463</v>
      </c>
      <c r="D594" s="2959" t="s">
        <v>3701</v>
      </c>
      <c r="E594" s="2959" t="s">
        <v>3125</v>
      </c>
      <c r="F594" s="2960">
        <v>1301</v>
      </c>
      <c r="G594" s="2959" t="s">
        <v>3757</v>
      </c>
      <c r="H594" s="2959">
        <v>157.97999999999999</v>
      </c>
      <c r="I594" s="2959">
        <v>121.49</v>
      </c>
    </row>
    <row r="595" spans="1:9" ht="18.75" customHeight="1">
      <c r="A595" s="2958">
        <v>594</v>
      </c>
      <c r="B595" s="2959" t="s">
        <v>3122</v>
      </c>
      <c r="C595" s="2959" t="s">
        <v>3463</v>
      </c>
      <c r="D595" s="2959" t="s">
        <v>3701</v>
      </c>
      <c r="E595" s="2959" t="s">
        <v>3125</v>
      </c>
      <c r="F595" s="2960">
        <v>1302</v>
      </c>
      <c r="G595" s="2959" t="s">
        <v>3758</v>
      </c>
      <c r="H595" s="2959">
        <v>120.78</v>
      </c>
      <c r="I595" s="2959">
        <v>92.88</v>
      </c>
    </row>
    <row r="596" spans="1:9" ht="18.75" customHeight="1">
      <c r="A596" s="2958">
        <v>595</v>
      </c>
      <c r="B596" s="2959" t="s">
        <v>3122</v>
      </c>
      <c r="C596" s="2959" t="s">
        <v>3463</v>
      </c>
      <c r="D596" s="2959" t="s">
        <v>3701</v>
      </c>
      <c r="E596" s="2959" t="s">
        <v>3125</v>
      </c>
      <c r="F596" s="2960">
        <v>1303</v>
      </c>
      <c r="G596" s="2959" t="s">
        <v>3759</v>
      </c>
      <c r="H596" s="2959">
        <v>158.16</v>
      </c>
      <c r="I596" s="2959">
        <v>121.63</v>
      </c>
    </row>
    <row r="597" spans="1:9" ht="18.75" customHeight="1">
      <c r="A597" s="2958">
        <v>596</v>
      </c>
      <c r="B597" s="2959" t="s">
        <v>3122</v>
      </c>
      <c r="C597" s="2959" t="s">
        <v>3463</v>
      </c>
      <c r="D597" s="2959" t="s">
        <v>3701</v>
      </c>
      <c r="E597" s="2959" t="s">
        <v>3125</v>
      </c>
      <c r="F597" s="2960">
        <v>1304</v>
      </c>
      <c r="G597" s="2959" t="s">
        <v>3760</v>
      </c>
      <c r="H597" s="2959">
        <v>117.62</v>
      </c>
      <c r="I597" s="2959">
        <v>90.45</v>
      </c>
    </row>
    <row r="598" spans="1:9" ht="18.75" customHeight="1">
      <c r="A598" s="2958">
        <v>597</v>
      </c>
      <c r="B598" s="2959" t="s">
        <v>3122</v>
      </c>
      <c r="C598" s="2959" t="s">
        <v>3463</v>
      </c>
      <c r="D598" s="2959" t="s">
        <v>3701</v>
      </c>
      <c r="E598" s="2959" t="s">
        <v>3125</v>
      </c>
      <c r="F598" s="2960">
        <v>1305</v>
      </c>
      <c r="G598" s="2959" t="s">
        <v>3761</v>
      </c>
      <c r="H598" s="2959">
        <v>117.33</v>
      </c>
      <c r="I598" s="2959">
        <v>90.23</v>
      </c>
    </row>
    <row r="599" spans="1:9" ht="18.75" customHeight="1">
      <c r="A599" s="2958">
        <v>598</v>
      </c>
      <c r="B599" s="2959" t="s">
        <v>3122</v>
      </c>
      <c r="C599" s="2959" t="s">
        <v>3463</v>
      </c>
      <c r="D599" s="2959" t="s">
        <v>3701</v>
      </c>
      <c r="E599" s="2959" t="s">
        <v>3125</v>
      </c>
      <c r="F599" s="2960">
        <v>1401</v>
      </c>
      <c r="G599" s="2959" t="s">
        <v>3762</v>
      </c>
      <c r="H599" s="2959">
        <v>157.97999999999999</v>
      </c>
      <c r="I599" s="2959">
        <v>121.49</v>
      </c>
    </row>
    <row r="600" spans="1:9" ht="18.75" customHeight="1">
      <c r="A600" s="2958">
        <v>599</v>
      </c>
      <c r="B600" s="2959" t="s">
        <v>3122</v>
      </c>
      <c r="C600" s="2959" t="s">
        <v>3463</v>
      </c>
      <c r="D600" s="2959" t="s">
        <v>3701</v>
      </c>
      <c r="E600" s="2959" t="s">
        <v>3125</v>
      </c>
      <c r="F600" s="2960">
        <v>1402</v>
      </c>
      <c r="G600" s="2959" t="s">
        <v>3763</v>
      </c>
      <c r="H600" s="2959">
        <v>120.78</v>
      </c>
      <c r="I600" s="2959">
        <v>92.88</v>
      </c>
    </row>
    <row r="601" spans="1:9" ht="18.75" customHeight="1">
      <c r="A601" s="2958">
        <v>600</v>
      </c>
      <c r="B601" s="2959" t="s">
        <v>3122</v>
      </c>
      <c r="C601" s="2959" t="s">
        <v>3463</v>
      </c>
      <c r="D601" s="2959" t="s">
        <v>3701</v>
      </c>
      <c r="E601" s="2959" t="s">
        <v>3125</v>
      </c>
      <c r="F601" s="2960">
        <v>1403</v>
      </c>
      <c r="G601" s="2959" t="s">
        <v>3764</v>
      </c>
      <c r="H601" s="2959">
        <v>158.16</v>
      </c>
      <c r="I601" s="2959">
        <v>121.63</v>
      </c>
    </row>
    <row r="602" spans="1:9" ht="18.75" customHeight="1">
      <c r="A602" s="2958">
        <v>601</v>
      </c>
      <c r="B602" s="2959" t="s">
        <v>3122</v>
      </c>
      <c r="C602" s="2959" t="s">
        <v>3463</v>
      </c>
      <c r="D602" s="2959" t="s">
        <v>3701</v>
      </c>
      <c r="E602" s="2959" t="s">
        <v>3125</v>
      </c>
      <c r="F602" s="2960">
        <v>1404</v>
      </c>
      <c r="G602" s="2959" t="s">
        <v>3765</v>
      </c>
      <c r="H602" s="2959">
        <v>117.62</v>
      </c>
      <c r="I602" s="2959">
        <v>90.45</v>
      </c>
    </row>
    <row r="603" spans="1:9" ht="18.75" customHeight="1">
      <c r="A603" s="2958">
        <v>602</v>
      </c>
      <c r="B603" s="2959" t="s">
        <v>3122</v>
      </c>
      <c r="C603" s="2959" t="s">
        <v>3463</v>
      </c>
      <c r="D603" s="2959" t="s">
        <v>3701</v>
      </c>
      <c r="E603" s="2959" t="s">
        <v>3125</v>
      </c>
      <c r="F603" s="2960">
        <v>1405</v>
      </c>
      <c r="G603" s="2959" t="s">
        <v>3766</v>
      </c>
      <c r="H603" s="2959">
        <v>117.33</v>
      </c>
      <c r="I603" s="2959">
        <v>90.23</v>
      </c>
    </row>
    <row r="604" spans="1:9" ht="18.75" customHeight="1">
      <c r="A604" s="2958">
        <v>603</v>
      </c>
      <c r="B604" s="2959" t="s">
        <v>3122</v>
      </c>
      <c r="C604" s="2959" t="s">
        <v>3463</v>
      </c>
      <c r="D604" s="2959" t="s">
        <v>3701</v>
      </c>
      <c r="E604" s="2959" t="s">
        <v>3125</v>
      </c>
      <c r="F604" s="2960">
        <v>1501</v>
      </c>
      <c r="G604" s="2959" t="s">
        <v>3767</v>
      </c>
      <c r="H604" s="2959">
        <v>157.97999999999999</v>
      </c>
      <c r="I604" s="2959">
        <v>121.49</v>
      </c>
    </row>
    <row r="605" spans="1:9" ht="18.75" customHeight="1">
      <c r="A605" s="2958">
        <v>604</v>
      </c>
      <c r="B605" s="2959" t="s">
        <v>3122</v>
      </c>
      <c r="C605" s="2959" t="s">
        <v>3463</v>
      </c>
      <c r="D605" s="2959" t="s">
        <v>3701</v>
      </c>
      <c r="E605" s="2959" t="s">
        <v>3125</v>
      </c>
      <c r="F605" s="2960">
        <v>1502</v>
      </c>
      <c r="G605" s="2959" t="s">
        <v>3768</v>
      </c>
      <c r="H605" s="2959">
        <v>120.78</v>
      </c>
      <c r="I605" s="2959">
        <v>92.88</v>
      </c>
    </row>
    <row r="606" spans="1:9" ht="18.75" customHeight="1">
      <c r="A606" s="2958">
        <v>605</v>
      </c>
      <c r="B606" s="2959" t="s">
        <v>3122</v>
      </c>
      <c r="C606" s="2959" t="s">
        <v>3463</v>
      </c>
      <c r="D606" s="2959" t="s">
        <v>3701</v>
      </c>
      <c r="E606" s="2959" t="s">
        <v>3125</v>
      </c>
      <c r="F606" s="2960">
        <v>1503</v>
      </c>
      <c r="G606" s="2959" t="s">
        <v>3769</v>
      </c>
      <c r="H606" s="2959">
        <v>158.16</v>
      </c>
      <c r="I606" s="2959">
        <v>121.63</v>
      </c>
    </row>
    <row r="607" spans="1:9" ht="18.75" customHeight="1">
      <c r="A607" s="2958">
        <v>606</v>
      </c>
      <c r="B607" s="2959" t="s">
        <v>3122</v>
      </c>
      <c r="C607" s="2959" t="s">
        <v>3463</v>
      </c>
      <c r="D607" s="2959" t="s">
        <v>3701</v>
      </c>
      <c r="E607" s="2959" t="s">
        <v>3125</v>
      </c>
      <c r="F607" s="2960">
        <v>1504</v>
      </c>
      <c r="G607" s="2959" t="s">
        <v>3770</v>
      </c>
      <c r="H607" s="2959">
        <v>117.62</v>
      </c>
      <c r="I607" s="2959">
        <v>90.45</v>
      </c>
    </row>
    <row r="608" spans="1:9" ht="18.75" customHeight="1">
      <c r="A608" s="2958">
        <v>607</v>
      </c>
      <c r="B608" s="2959" t="s">
        <v>3122</v>
      </c>
      <c r="C608" s="2959" t="s">
        <v>3463</v>
      </c>
      <c r="D608" s="2959" t="s">
        <v>3701</v>
      </c>
      <c r="E608" s="2959" t="s">
        <v>3125</v>
      </c>
      <c r="F608" s="2960">
        <v>1505</v>
      </c>
      <c r="G608" s="2959" t="s">
        <v>3771</v>
      </c>
      <c r="H608" s="2959">
        <v>117.33</v>
      </c>
      <c r="I608" s="2959">
        <v>90.23</v>
      </c>
    </row>
    <row r="609" spans="1:9" ht="18.75" customHeight="1">
      <c r="A609" s="2958">
        <v>608</v>
      </c>
      <c r="B609" s="2959" t="s">
        <v>3122</v>
      </c>
      <c r="C609" s="2959" t="s">
        <v>3463</v>
      </c>
      <c r="D609" s="2959" t="s">
        <v>3701</v>
      </c>
      <c r="E609" s="2959" t="s">
        <v>3125</v>
      </c>
      <c r="F609" s="2960">
        <v>1601</v>
      </c>
      <c r="G609" s="2959" t="s">
        <v>3772</v>
      </c>
      <c r="H609" s="2959">
        <v>157.97999999999999</v>
      </c>
      <c r="I609" s="2959">
        <v>121.49</v>
      </c>
    </row>
    <row r="610" spans="1:9" ht="18.75" customHeight="1">
      <c r="A610" s="2958">
        <v>609</v>
      </c>
      <c r="B610" s="2959" t="s">
        <v>3122</v>
      </c>
      <c r="C610" s="2959" t="s">
        <v>3463</v>
      </c>
      <c r="D610" s="2959" t="s">
        <v>3701</v>
      </c>
      <c r="E610" s="2959" t="s">
        <v>3125</v>
      </c>
      <c r="F610" s="2960">
        <v>1602</v>
      </c>
      <c r="G610" s="2959" t="s">
        <v>3773</v>
      </c>
      <c r="H610" s="2959">
        <v>120.78</v>
      </c>
      <c r="I610" s="2959">
        <v>92.88</v>
      </c>
    </row>
    <row r="611" spans="1:9" ht="18.75" customHeight="1">
      <c r="A611" s="2958">
        <v>610</v>
      </c>
      <c r="B611" s="2959" t="s">
        <v>3122</v>
      </c>
      <c r="C611" s="2959" t="s">
        <v>3463</v>
      </c>
      <c r="D611" s="2959" t="s">
        <v>3701</v>
      </c>
      <c r="E611" s="2959" t="s">
        <v>3125</v>
      </c>
      <c r="F611" s="2960">
        <v>1603</v>
      </c>
      <c r="G611" s="2959" t="s">
        <v>3774</v>
      </c>
      <c r="H611" s="2959">
        <v>158.16</v>
      </c>
      <c r="I611" s="2959">
        <v>121.63</v>
      </c>
    </row>
    <row r="612" spans="1:9" ht="18.75" customHeight="1">
      <c r="A612" s="2958">
        <v>611</v>
      </c>
      <c r="B612" s="2959" t="s">
        <v>3122</v>
      </c>
      <c r="C612" s="2959" t="s">
        <v>3463</v>
      </c>
      <c r="D612" s="2959" t="s">
        <v>3701</v>
      </c>
      <c r="E612" s="2959" t="s">
        <v>3125</v>
      </c>
      <c r="F612" s="2960">
        <v>1604</v>
      </c>
      <c r="G612" s="2959" t="s">
        <v>3775</v>
      </c>
      <c r="H612" s="2959">
        <v>117.62</v>
      </c>
      <c r="I612" s="2959">
        <v>90.45</v>
      </c>
    </row>
    <row r="613" spans="1:9" ht="18.75" customHeight="1">
      <c r="A613" s="2958">
        <v>612</v>
      </c>
      <c r="B613" s="2959" t="s">
        <v>3122</v>
      </c>
      <c r="C613" s="2959" t="s">
        <v>3463</v>
      </c>
      <c r="D613" s="2959" t="s">
        <v>3701</v>
      </c>
      <c r="E613" s="2959" t="s">
        <v>3125</v>
      </c>
      <c r="F613" s="2960">
        <v>1605</v>
      </c>
      <c r="G613" s="2959" t="s">
        <v>3776</v>
      </c>
      <c r="H613" s="2959">
        <v>117.33</v>
      </c>
      <c r="I613" s="2959">
        <v>90.23</v>
      </c>
    </row>
    <row r="614" spans="1:9" ht="18.75" customHeight="1">
      <c r="A614" s="2958">
        <v>613</v>
      </c>
      <c r="B614" s="2959" t="s">
        <v>3122</v>
      </c>
      <c r="C614" s="2959" t="s">
        <v>3463</v>
      </c>
      <c r="D614" s="2959" t="s">
        <v>3701</v>
      </c>
      <c r="E614" s="2959" t="s">
        <v>3125</v>
      </c>
      <c r="F614" s="2960">
        <v>1701</v>
      </c>
      <c r="G614" s="2959" t="s">
        <v>3777</v>
      </c>
      <c r="H614" s="2959">
        <v>157.97999999999999</v>
      </c>
      <c r="I614" s="2959">
        <v>121.49</v>
      </c>
    </row>
    <row r="615" spans="1:9" ht="18.75" customHeight="1">
      <c r="A615" s="2958">
        <v>614</v>
      </c>
      <c r="B615" s="2959" t="s">
        <v>3122</v>
      </c>
      <c r="C615" s="2959" t="s">
        <v>3463</v>
      </c>
      <c r="D615" s="2959" t="s">
        <v>3701</v>
      </c>
      <c r="E615" s="2959" t="s">
        <v>3125</v>
      </c>
      <c r="F615" s="2960">
        <v>1702</v>
      </c>
      <c r="G615" s="2959" t="s">
        <v>3778</v>
      </c>
      <c r="H615" s="2959">
        <v>120.78</v>
      </c>
      <c r="I615" s="2959">
        <v>92.88</v>
      </c>
    </row>
    <row r="616" spans="1:9" ht="18.75" customHeight="1">
      <c r="A616" s="2958">
        <v>615</v>
      </c>
      <c r="B616" s="2959" t="s">
        <v>3122</v>
      </c>
      <c r="C616" s="2959" t="s">
        <v>3463</v>
      </c>
      <c r="D616" s="2959" t="s">
        <v>3701</v>
      </c>
      <c r="E616" s="2959" t="s">
        <v>3125</v>
      </c>
      <c r="F616" s="2960">
        <v>1703</v>
      </c>
      <c r="G616" s="2959" t="s">
        <v>3779</v>
      </c>
      <c r="H616" s="2959">
        <v>158.16</v>
      </c>
      <c r="I616" s="2959">
        <v>121.63</v>
      </c>
    </row>
    <row r="617" spans="1:9" ht="18.75" customHeight="1">
      <c r="A617" s="2958">
        <v>616</v>
      </c>
      <c r="B617" s="2959" t="s">
        <v>3122</v>
      </c>
      <c r="C617" s="2959" t="s">
        <v>3463</v>
      </c>
      <c r="D617" s="2959" t="s">
        <v>3701</v>
      </c>
      <c r="E617" s="2959" t="s">
        <v>3125</v>
      </c>
      <c r="F617" s="2960">
        <v>1704</v>
      </c>
      <c r="G617" s="2959" t="s">
        <v>3780</v>
      </c>
      <c r="H617" s="2959">
        <v>117.62</v>
      </c>
      <c r="I617" s="2959">
        <v>90.45</v>
      </c>
    </row>
    <row r="618" spans="1:9" ht="18.75" customHeight="1">
      <c r="A618" s="2958">
        <v>617</v>
      </c>
      <c r="B618" s="2959" t="s">
        <v>3122</v>
      </c>
      <c r="C618" s="2959" t="s">
        <v>3463</v>
      </c>
      <c r="D618" s="2959" t="s">
        <v>3701</v>
      </c>
      <c r="E618" s="2959" t="s">
        <v>3125</v>
      </c>
      <c r="F618" s="2960">
        <v>1705</v>
      </c>
      <c r="G618" s="2959" t="s">
        <v>3781</v>
      </c>
      <c r="H618" s="2959">
        <v>117.33</v>
      </c>
      <c r="I618" s="2959">
        <v>90.23</v>
      </c>
    </row>
    <row r="619" spans="1:9" ht="18.75" customHeight="1">
      <c r="A619" s="2958">
        <v>618</v>
      </c>
      <c r="B619" s="2959" t="s">
        <v>3122</v>
      </c>
      <c r="C619" s="2959" t="s">
        <v>3463</v>
      </c>
      <c r="D619" s="2959" t="s">
        <v>3701</v>
      </c>
      <c r="E619" s="2959" t="s">
        <v>3125</v>
      </c>
      <c r="F619" s="2960">
        <v>1801</v>
      </c>
      <c r="G619" s="2959" t="s">
        <v>3782</v>
      </c>
      <c r="H619" s="2959">
        <v>157.97999999999999</v>
      </c>
      <c r="I619" s="2959">
        <v>121.49</v>
      </c>
    </row>
    <row r="620" spans="1:9" ht="18.75" customHeight="1">
      <c r="A620" s="2958">
        <v>619</v>
      </c>
      <c r="B620" s="2959" t="s">
        <v>3122</v>
      </c>
      <c r="C620" s="2959" t="s">
        <v>3463</v>
      </c>
      <c r="D620" s="2959" t="s">
        <v>3701</v>
      </c>
      <c r="E620" s="2959" t="s">
        <v>3125</v>
      </c>
      <c r="F620" s="2960">
        <v>1802</v>
      </c>
      <c r="G620" s="2959" t="s">
        <v>3783</v>
      </c>
      <c r="H620" s="2959">
        <v>120.78</v>
      </c>
      <c r="I620" s="2959">
        <v>92.88</v>
      </c>
    </row>
    <row r="621" spans="1:9" ht="18.75" customHeight="1">
      <c r="A621" s="2958">
        <v>620</v>
      </c>
      <c r="B621" s="2959" t="s">
        <v>3122</v>
      </c>
      <c r="C621" s="2959" t="s">
        <v>3463</v>
      </c>
      <c r="D621" s="2959" t="s">
        <v>3701</v>
      </c>
      <c r="E621" s="2959" t="s">
        <v>3125</v>
      </c>
      <c r="F621" s="2960">
        <v>1803</v>
      </c>
      <c r="G621" s="2959" t="s">
        <v>3784</v>
      </c>
      <c r="H621" s="2959">
        <v>158.16</v>
      </c>
      <c r="I621" s="2959">
        <v>121.63</v>
      </c>
    </row>
    <row r="622" spans="1:9" ht="18.75" customHeight="1">
      <c r="A622" s="2958">
        <v>621</v>
      </c>
      <c r="B622" s="2959" t="s">
        <v>3122</v>
      </c>
      <c r="C622" s="2959" t="s">
        <v>3463</v>
      </c>
      <c r="D622" s="2959" t="s">
        <v>3701</v>
      </c>
      <c r="E622" s="2959" t="s">
        <v>3125</v>
      </c>
      <c r="F622" s="2960">
        <v>1804</v>
      </c>
      <c r="G622" s="2959" t="s">
        <v>3785</v>
      </c>
      <c r="H622" s="2959">
        <v>117.62</v>
      </c>
      <c r="I622" s="2959">
        <v>90.45</v>
      </c>
    </row>
    <row r="623" spans="1:9" ht="18.75" customHeight="1">
      <c r="A623" s="2958">
        <v>622</v>
      </c>
      <c r="B623" s="2959" t="s">
        <v>3122</v>
      </c>
      <c r="C623" s="2959" t="s">
        <v>3463</v>
      </c>
      <c r="D623" s="2959" t="s">
        <v>3701</v>
      </c>
      <c r="E623" s="2959" t="s">
        <v>3125</v>
      </c>
      <c r="F623" s="2960">
        <v>1805</v>
      </c>
      <c r="G623" s="2959" t="s">
        <v>3786</v>
      </c>
      <c r="H623" s="2959">
        <v>117.33</v>
      </c>
      <c r="I623" s="2959">
        <v>90.23</v>
      </c>
    </row>
    <row r="624" spans="1:9" ht="18.75" customHeight="1">
      <c r="A624" s="2958">
        <v>623</v>
      </c>
      <c r="B624" s="2959" t="s">
        <v>3122</v>
      </c>
      <c r="C624" s="2959" t="s">
        <v>3463</v>
      </c>
      <c r="D624" s="2959" t="s">
        <v>3701</v>
      </c>
      <c r="E624" s="2959" t="s">
        <v>3125</v>
      </c>
      <c r="F624" s="2960">
        <v>1901</v>
      </c>
      <c r="G624" s="2959" t="s">
        <v>3787</v>
      </c>
      <c r="H624" s="2959">
        <v>157.97999999999999</v>
      </c>
      <c r="I624" s="2959">
        <v>121.49</v>
      </c>
    </row>
    <row r="625" spans="1:9" ht="18.75" customHeight="1">
      <c r="A625" s="2958">
        <v>624</v>
      </c>
      <c r="B625" s="2959" t="s">
        <v>3122</v>
      </c>
      <c r="C625" s="2959" t="s">
        <v>3463</v>
      </c>
      <c r="D625" s="2959" t="s">
        <v>3701</v>
      </c>
      <c r="E625" s="2959" t="s">
        <v>3125</v>
      </c>
      <c r="F625" s="2960">
        <v>1902</v>
      </c>
      <c r="G625" s="2959" t="s">
        <v>3788</v>
      </c>
      <c r="H625" s="2959">
        <v>120.78</v>
      </c>
      <c r="I625" s="2959">
        <v>92.88</v>
      </c>
    </row>
    <row r="626" spans="1:9" ht="18.75" customHeight="1">
      <c r="A626" s="2958">
        <v>625</v>
      </c>
      <c r="B626" s="2959" t="s">
        <v>3122</v>
      </c>
      <c r="C626" s="2959" t="s">
        <v>3463</v>
      </c>
      <c r="D626" s="2959" t="s">
        <v>3701</v>
      </c>
      <c r="E626" s="2959" t="s">
        <v>3125</v>
      </c>
      <c r="F626" s="2960">
        <v>1903</v>
      </c>
      <c r="G626" s="2959" t="s">
        <v>3789</v>
      </c>
      <c r="H626" s="2959">
        <v>158.16</v>
      </c>
      <c r="I626" s="2959">
        <v>121.63</v>
      </c>
    </row>
    <row r="627" spans="1:9" ht="18.75" customHeight="1">
      <c r="A627" s="2958">
        <v>626</v>
      </c>
      <c r="B627" s="2959" t="s">
        <v>3122</v>
      </c>
      <c r="C627" s="2959" t="s">
        <v>3463</v>
      </c>
      <c r="D627" s="2959" t="s">
        <v>3701</v>
      </c>
      <c r="E627" s="2959" t="s">
        <v>3125</v>
      </c>
      <c r="F627" s="2960">
        <v>1904</v>
      </c>
      <c r="G627" s="2959" t="s">
        <v>3790</v>
      </c>
      <c r="H627" s="2959">
        <v>117.62</v>
      </c>
      <c r="I627" s="2959">
        <v>90.45</v>
      </c>
    </row>
    <row r="628" spans="1:9" ht="18.75" customHeight="1">
      <c r="A628" s="2958">
        <v>627</v>
      </c>
      <c r="B628" s="2959" t="s">
        <v>3122</v>
      </c>
      <c r="C628" s="2959" t="s">
        <v>3463</v>
      </c>
      <c r="D628" s="2959" t="s">
        <v>3701</v>
      </c>
      <c r="E628" s="2959" t="s">
        <v>3125</v>
      </c>
      <c r="F628" s="2960">
        <v>1905</v>
      </c>
      <c r="G628" s="2959" t="s">
        <v>3791</v>
      </c>
      <c r="H628" s="2959">
        <v>117.33</v>
      </c>
      <c r="I628" s="2959">
        <v>90.23</v>
      </c>
    </row>
    <row r="629" spans="1:9" ht="18.75" customHeight="1">
      <c r="A629" s="2958">
        <v>628</v>
      </c>
      <c r="B629" s="2959" t="s">
        <v>3122</v>
      </c>
      <c r="C629" s="2959" t="s">
        <v>3463</v>
      </c>
      <c r="D629" s="2959" t="s">
        <v>3701</v>
      </c>
      <c r="E629" s="2959" t="s">
        <v>3125</v>
      </c>
      <c r="F629" s="2960">
        <v>2001</v>
      </c>
      <c r="G629" s="2959" t="s">
        <v>3792</v>
      </c>
      <c r="H629" s="2959">
        <v>159.24</v>
      </c>
      <c r="I629" s="2959">
        <v>122.46</v>
      </c>
    </row>
    <row r="630" spans="1:9" ht="18.75" customHeight="1">
      <c r="A630" s="2958">
        <v>629</v>
      </c>
      <c r="B630" s="2959" t="s">
        <v>3122</v>
      </c>
      <c r="C630" s="2959" t="s">
        <v>3463</v>
      </c>
      <c r="D630" s="2959" t="s">
        <v>3701</v>
      </c>
      <c r="E630" s="2959" t="s">
        <v>3125</v>
      </c>
      <c r="F630" s="2960">
        <v>2002</v>
      </c>
      <c r="G630" s="2959" t="s">
        <v>3793</v>
      </c>
      <c r="H630" s="2959">
        <v>121.93</v>
      </c>
      <c r="I630" s="2959">
        <v>93.77</v>
      </c>
    </row>
    <row r="631" spans="1:9" ht="18.75" customHeight="1">
      <c r="A631" s="2958">
        <v>630</v>
      </c>
      <c r="B631" s="2959" t="s">
        <v>3122</v>
      </c>
      <c r="C631" s="2959" t="s">
        <v>3463</v>
      </c>
      <c r="D631" s="2959" t="s">
        <v>3701</v>
      </c>
      <c r="E631" s="2959" t="s">
        <v>3125</v>
      </c>
      <c r="F631" s="2960">
        <v>2003</v>
      </c>
      <c r="G631" s="2959" t="s">
        <v>3794</v>
      </c>
      <c r="H631" s="2959">
        <v>159.33000000000001</v>
      </c>
      <c r="I631" s="2959">
        <v>122.53</v>
      </c>
    </row>
    <row r="632" spans="1:9" ht="18.75" customHeight="1">
      <c r="A632" s="2958">
        <v>631</v>
      </c>
      <c r="B632" s="2959" t="s">
        <v>3122</v>
      </c>
      <c r="C632" s="2959" t="s">
        <v>3463</v>
      </c>
      <c r="D632" s="2959" t="s">
        <v>3701</v>
      </c>
      <c r="E632" s="2959" t="s">
        <v>3125</v>
      </c>
      <c r="F632" s="2960">
        <v>2004</v>
      </c>
      <c r="G632" s="2959" t="s">
        <v>3795</v>
      </c>
      <c r="H632" s="2959">
        <v>118.37</v>
      </c>
      <c r="I632" s="2959">
        <v>91.03</v>
      </c>
    </row>
    <row r="633" spans="1:9" ht="18.75" customHeight="1">
      <c r="A633" s="2958">
        <v>632</v>
      </c>
      <c r="B633" s="2959" t="s">
        <v>3122</v>
      </c>
      <c r="C633" s="2959" t="s">
        <v>3463</v>
      </c>
      <c r="D633" s="2959" t="s">
        <v>3701</v>
      </c>
      <c r="E633" s="2959" t="s">
        <v>3125</v>
      </c>
      <c r="F633" s="2960">
        <v>2005</v>
      </c>
      <c r="G633" s="2959" t="s">
        <v>3796</v>
      </c>
      <c r="H633" s="2959">
        <v>117.93</v>
      </c>
      <c r="I633" s="2959">
        <v>90.69</v>
      </c>
    </row>
    <row r="634" spans="1:9" ht="18.75" customHeight="1">
      <c r="A634" s="2958">
        <v>633</v>
      </c>
      <c r="B634" s="2959" t="s">
        <v>3122</v>
      </c>
      <c r="C634" s="2959" t="s">
        <v>3463</v>
      </c>
      <c r="D634" s="2959" t="s">
        <v>3701</v>
      </c>
      <c r="E634" s="2959" t="s">
        <v>3125</v>
      </c>
      <c r="F634" s="2960">
        <v>2101</v>
      </c>
      <c r="G634" s="2959" t="s">
        <v>3797</v>
      </c>
      <c r="H634" s="2959">
        <v>159.24</v>
      </c>
      <c r="I634" s="2959">
        <v>122.46</v>
      </c>
    </row>
    <row r="635" spans="1:9" ht="18.75" customHeight="1">
      <c r="A635" s="2958">
        <v>634</v>
      </c>
      <c r="B635" s="2959" t="s">
        <v>3122</v>
      </c>
      <c r="C635" s="2959" t="s">
        <v>3463</v>
      </c>
      <c r="D635" s="2959" t="s">
        <v>3701</v>
      </c>
      <c r="E635" s="2959" t="s">
        <v>3125</v>
      </c>
      <c r="F635" s="2960">
        <v>2102</v>
      </c>
      <c r="G635" s="2959" t="s">
        <v>3798</v>
      </c>
      <c r="H635" s="2959">
        <v>121.93</v>
      </c>
      <c r="I635" s="2959">
        <v>93.77</v>
      </c>
    </row>
    <row r="636" spans="1:9" ht="18.75" customHeight="1">
      <c r="A636" s="2958">
        <v>635</v>
      </c>
      <c r="B636" s="2959" t="s">
        <v>3122</v>
      </c>
      <c r="C636" s="2959" t="s">
        <v>3463</v>
      </c>
      <c r="D636" s="2959" t="s">
        <v>3701</v>
      </c>
      <c r="E636" s="2959" t="s">
        <v>3125</v>
      </c>
      <c r="F636" s="2960">
        <v>2103</v>
      </c>
      <c r="G636" s="2959" t="s">
        <v>3799</v>
      </c>
      <c r="H636" s="2959">
        <v>159.33000000000001</v>
      </c>
      <c r="I636" s="2959">
        <v>122.53</v>
      </c>
    </row>
    <row r="637" spans="1:9" ht="18.75" customHeight="1">
      <c r="A637" s="2958">
        <v>636</v>
      </c>
      <c r="B637" s="2959" t="s">
        <v>3122</v>
      </c>
      <c r="C637" s="2959" t="s">
        <v>3463</v>
      </c>
      <c r="D637" s="2959" t="s">
        <v>3701</v>
      </c>
      <c r="E637" s="2959" t="s">
        <v>3125</v>
      </c>
      <c r="F637" s="2960">
        <v>2104</v>
      </c>
      <c r="G637" s="2959" t="s">
        <v>3800</v>
      </c>
      <c r="H637" s="2959">
        <v>118.37</v>
      </c>
      <c r="I637" s="2959">
        <v>91.03</v>
      </c>
    </row>
    <row r="638" spans="1:9" ht="18.75" customHeight="1">
      <c r="A638" s="2958">
        <v>637</v>
      </c>
      <c r="B638" s="2959" t="s">
        <v>3122</v>
      </c>
      <c r="C638" s="2959" t="s">
        <v>3463</v>
      </c>
      <c r="D638" s="2959" t="s">
        <v>3701</v>
      </c>
      <c r="E638" s="2959" t="s">
        <v>3125</v>
      </c>
      <c r="F638" s="2960">
        <v>2105</v>
      </c>
      <c r="G638" s="2959" t="s">
        <v>3801</v>
      </c>
      <c r="H638" s="2959">
        <v>117.93</v>
      </c>
      <c r="I638" s="2959">
        <v>90.69</v>
      </c>
    </row>
    <row r="639" spans="1:9" ht="18.75" customHeight="1">
      <c r="A639" s="2958">
        <v>638</v>
      </c>
      <c r="B639" s="2959" t="s">
        <v>3122</v>
      </c>
      <c r="C639" s="2959" t="s">
        <v>3463</v>
      </c>
      <c r="D639" s="2959" t="s">
        <v>3701</v>
      </c>
      <c r="E639" s="2959" t="s">
        <v>3125</v>
      </c>
      <c r="F639" s="2960">
        <v>2201</v>
      </c>
      <c r="G639" s="2959" t="s">
        <v>3802</v>
      </c>
      <c r="H639" s="2959">
        <v>159.24</v>
      </c>
      <c r="I639" s="2959">
        <v>122.46</v>
      </c>
    </row>
    <row r="640" spans="1:9" ht="18.75" customHeight="1">
      <c r="A640" s="2958">
        <v>639</v>
      </c>
      <c r="B640" s="2959" t="s">
        <v>3122</v>
      </c>
      <c r="C640" s="2959" t="s">
        <v>3463</v>
      </c>
      <c r="D640" s="2959" t="s">
        <v>3701</v>
      </c>
      <c r="E640" s="2959" t="s">
        <v>3125</v>
      </c>
      <c r="F640" s="2960">
        <v>2202</v>
      </c>
      <c r="G640" s="2959" t="s">
        <v>3803</v>
      </c>
      <c r="H640" s="2959">
        <v>121.93</v>
      </c>
      <c r="I640" s="2959">
        <v>93.77</v>
      </c>
    </row>
    <row r="641" spans="1:9" ht="18.75" customHeight="1">
      <c r="A641" s="2958">
        <v>640</v>
      </c>
      <c r="B641" s="2959" t="s">
        <v>3122</v>
      </c>
      <c r="C641" s="2959" t="s">
        <v>3463</v>
      </c>
      <c r="D641" s="2959" t="s">
        <v>3701</v>
      </c>
      <c r="E641" s="2959" t="s">
        <v>3125</v>
      </c>
      <c r="F641" s="2960">
        <v>2203</v>
      </c>
      <c r="G641" s="2959" t="s">
        <v>3804</v>
      </c>
      <c r="H641" s="2959">
        <v>159.33000000000001</v>
      </c>
      <c r="I641" s="2959">
        <v>122.53</v>
      </c>
    </row>
    <row r="642" spans="1:9" ht="18.75" customHeight="1">
      <c r="A642" s="2958">
        <v>641</v>
      </c>
      <c r="B642" s="2959" t="s">
        <v>3122</v>
      </c>
      <c r="C642" s="2959" t="s">
        <v>3463</v>
      </c>
      <c r="D642" s="2959" t="s">
        <v>3701</v>
      </c>
      <c r="E642" s="2959" t="s">
        <v>3125</v>
      </c>
      <c r="F642" s="2960">
        <v>2204</v>
      </c>
      <c r="G642" s="2959" t="s">
        <v>3805</v>
      </c>
      <c r="H642" s="2959">
        <v>118.37</v>
      </c>
      <c r="I642" s="2959">
        <v>91.03</v>
      </c>
    </row>
    <row r="643" spans="1:9" ht="18.75" customHeight="1">
      <c r="A643" s="2958">
        <v>642</v>
      </c>
      <c r="B643" s="2959" t="s">
        <v>3122</v>
      </c>
      <c r="C643" s="2959" t="s">
        <v>3463</v>
      </c>
      <c r="D643" s="2959" t="s">
        <v>3701</v>
      </c>
      <c r="E643" s="2959" t="s">
        <v>3125</v>
      </c>
      <c r="F643" s="2960">
        <v>2205</v>
      </c>
      <c r="G643" s="2959" t="s">
        <v>3806</v>
      </c>
      <c r="H643" s="2959">
        <v>117.93</v>
      </c>
      <c r="I643" s="2959">
        <v>90.69</v>
      </c>
    </row>
    <row r="644" spans="1:9" ht="18.75" customHeight="1">
      <c r="A644" s="2958">
        <v>643</v>
      </c>
      <c r="B644" s="2959" t="s">
        <v>3122</v>
      </c>
      <c r="C644" s="2959" t="s">
        <v>3463</v>
      </c>
      <c r="D644" s="2959" t="s">
        <v>3701</v>
      </c>
      <c r="E644" s="2959" t="s">
        <v>3125</v>
      </c>
      <c r="F644" s="2960">
        <v>2301</v>
      </c>
      <c r="G644" s="2959" t="s">
        <v>3807</v>
      </c>
      <c r="H644" s="2959">
        <v>159.24</v>
      </c>
      <c r="I644" s="2959">
        <v>122.46</v>
      </c>
    </row>
    <row r="645" spans="1:9" ht="18.75" customHeight="1">
      <c r="A645" s="2958">
        <v>644</v>
      </c>
      <c r="B645" s="2959" t="s">
        <v>3122</v>
      </c>
      <c r="C645" s="2959" t="s">
        <v>3463</v>
      </c>
      <c r="D645" s="2959" t="s">
        <v>3701</v>
      </c>
      <c r="E645" s="2959" t="s">
        <v>3125</v>
      </c>
      <c r="F645" s="2960">
        <v>2302</v>
      </c>
      <c r="G645" s="2959" t="s">
        <v>3808</v>
      </c>
      <c r="H645" s="2959">
        <v>121.93</v>
      </c>
      <c r="I645" s="2959">
        <v>93.77</v>
      </c>
    </row>
    <row r="646" spans="1:9" ht="18.75" customHeight="1">
      <c r="A646" s="2958">
        <v>645</v>
      </c>
      <c r="B646" s="2959" t="s">
        <v>3122</v>
      </c>
      <c r="C646" s="2959" t="s">
        <v>3463</v>
      </c>
      <c r="D646" s="2959" t="s">
        <v>3701</v>
      </c>
      <c r="E646" s="2959" t="s">
        <v>3125</v>
      </c>
      <c r="F646" s="2960">
        <v>2303</v>
      </c>
      <c r="G646" s="2959" t="s">
        <v>3809</v>
      </c>
      <c r="H646" s="2959">
        <v>159.33000000000001</v>
      </c>
      <c r="I646" s="2959">
        <v>122.53</v>
      </c>
    </row>
    <row r="647" spans="1:9" ht="18.75" customHeight="1">
      <c r="A647" s="2958">
        <v>646</v>
      </c>
      <c r="B647" s="2959" t="s">
        <v>3122</v>
      </c>
      <c r="C647" s="2959" t="s">
        <v>3463</v>
      </c>
      <c r="D647" s="2959" t="s">
        <v>3701</v>
      </c>
      <c r="E647" s="2959" t="s">
        <v>3125</v>
      </c>
      <c r="F647" s="2960">
        <v>2304</v>
      </c>
      <c r="G647" s="2959" t="s">
        <v>3810</v>
      </c>
      <c r="H647" s="2959">
        <v>118.37</v>
      </c>
      <c r="I647" s="2959">
        <v>91.03</v>
      </c>
    </row>
    <row r="648" spans="1:9" ht="18.75" customHeight="1">
      <c r="A648" s="2958">
        <v>647</v>
      </c>
      <c r="B648" s="2959" t="s">
        <v>3122</v>
      </c>
      <c r="C648" s="2959" t="s">
        <v>3463</v>
      </c>
      <c r="D648" s="2959" t="s">
        <v>3701</v>
      </c>
      <c r="E648" s="2959" t="s">
        <v>3125</v>
      </c>
      <c r="F648" s="2960">
        <v>2305</v>
      </c>
      <c r="G648" s="2959" t="s">
        <v>3811</v>
      </c>
      <c r="H648" s="2959">
        <v>117.93</v>
      </c>
      <c r="I648" s="2959">
        <v>90.69</v>
      </c>
    </row>
    <row r="649" spans="1:9" ht="18.75" customHeight="1">
      <c r="A649" s="2958">
        <v>648</v>
      </c>
      <c r="B649" s="2959" t="s">
        <v>3122</v>
      </c>
      <c r="C649" s="2959" t="s">
        <v>3463</v>
      </c>
      <c r="D649" s="2959" t="s">
        <v>3701</v>
      </c>
      <c r="E649" s="2959" t="s">
        <v>3125</v>
      </c>
      <c r="F649" s="2960">
        <v>2401</v>
      </c>
      <c r="G649" s="2959" t="s">
        <v>3812</v>
      </c>
      <c r="H649" s="2959">
        <v>159.24</v>
      </c>
      <c r="I649" s="2959">
        <v>122.46</v>
      </c>
    </row>
    <row r="650" spans="1:9" ht="18.75" customHeight="1">
      <c r="A650" s="2958">
        <v>649</v>
      </c>
      <c r="B650" s="2959" t="s">
        <v>3122</v>
      </c>
      <c r="C650" s="2959" t="s">
        <v>3463</v>
      </c>
      <c r="D650" s="2959" t="s">
        <v>3701</v>
      </c>
      <c r="E650" s="2959" t="s">
        <v>3125</v>
      </c>
      <c r="F650" s="2960">
        <v>2402</v>
      </c>
      <c r="G650" s="2959" t="s">
        <v>3813</v>
      </c>
      <c r="H650" s="2959">
        <v>121.93</v>
      </c>
      <c r="I650" s="2959">
        <v>93.77</v>
      </c>
    </row>
    <row r="651" spans="1:9" ht="18.75" customHeight="1">
      <c r="A651" s="2958">
        <v>650</v>
      </c>
      <c r="B651" s="2959" t="s">
        <v>3122</v>
      </c>
      <c r="C651" s="2959" t="s">
        <v>3463</v>
      </c>
      <c r="D651" s="2959" t="s">
        <v>3701</v>
      </c>
      <c r="E651" s="2959" t="s">
        <v>3125</v>
      </c>
      <c r="F651" s="2960">
        <v>2403</v>
      </c>
      <c r="G651" s="2959" t="s">
        <v>3814</v>
      </c>
      <c r="H651" s="2959">
        <v>159.33000000000001</v>
      </c>
      <c r="I651" s="2959">
        <v>122.53</v>
      </c>
    </row>
    <row r="652" spans="1:9" ht="18.75" customHeight="1">
      <c r="A652" s="2958">
        <v>651</v>
      </c>
      <c r="B652" s="2959" t="s">
        <v>3122</v>
      </c>
      <c r="C652" s="2959" t="s">
        <v>3463</v>
      </c>
      <c r="D652" s="2959" t="s">
        <v>3701</v>
      </c>
      <c r="E652" s="2959" t="s">
        <v>3125</v>
      </c>
      <c r="F652" s="2960">
        <v>2404</v>
      </c>
      <c r="G652" s="2959" t="s">
        <v>3815</v>
      </c>
      <c r="H652" s="2959">
        <v>118.37</v>
      </c>
      <c r="I652" s="2959">
        <v>91.03</v>
      </c>
    </row>
    <row r="653" spans="1:9" ht="18.75" customHeight="1">
      <c r="A653" s="2958">
        <v>652</v>
      </c>
      <c r="B653" s="2959" t="s">
        <v>3122</v>
      </c>
      <c r="C653" s="2959" t="s">
        <v>3463</v>
      </c>
      <c r="D653" s="2959" t="s">
        <v>3701</v>
      </c>
      <c r="E653" s="2959" t="s">
        <v>3125</v>
      </c>
      <c r="F653" s="2960">
        <v>2405</v>
      </c>
      <c r="G653" s="2959" t="s">
        <v>3816</v>
      </c>
      <c r="H653" s="2959">
        <v>117.93</v>
      </c>
      <c r="I653" s="2959">
        <v>90.69</v>
      </c>
    </row>
    <row r="654" spans="1:9" ht="18.75" customHeight="1">
      <c r="A654" s="2958">
        <v>653</v>
      </c>
      <c r="B654" s="2959" t="s">
        <v>3122</v>
      </c>
      <c r="C654" s="2959" t="s">
        <v>3463</v>
      </c>
      <c r="D654" s="2959" t="s">
        <v>3701</v>
      </c>
      <c r="E654" s="2959" t="s">
        <v>3125</v>
      </c>
      <c r="F654" s="2960">
        <v>2501</v>
      </c>
      <c r="G654" s="2959" t="s">
        <v>3817</v>
      </c>
      <c r="H654" s="2959">
        <v>159.24</v>
      </c>
      <c r="I654" s="2959">
        <v>122.46</v>
      </c>
    </row>
    <row r="655" spans="1:9" ht="18.75" customHeight="1">
      <c r="A655" s="2958">
        <v>654</v>
      </c>
      <c r="B655" s="2959" t="s">
        <v>3122</v>
      </c>
      <c r="C655" s="2959" t="s">
        <v>3463</v>
      </c>
      <c r="D655" s="2959" t="s">
        <v>3701</v>
      </c>
      <c r="E655" s="2959" t="s">
        <v>3125</v>
      </c>
      <c r="F655" s="2960">
        <v>2502</v>
      </c>
      <c r="G655" s="2959" t="s">
        <v>3818</v>
      </c>
      <c r="H655" s="2959">
        <v>121.93</v>
      </c>
      <c r="I655" s="2959">
        <v>93.77</v>
      </c>
    </row>
    <row r="656" spans="1:9" ht="18.75" customHeight="1">
      <c r="A656" s="2958">
        <v>655</v>
      </c>
      <c r="B656" s="2959" t="s">
        <v>3122</v>
      </c>
      <c r="C656" s="2959" t="s">
        <v>3463</v>
      </c>
      <c r="D656" s="2959" t="s">
        <v>3701</v>
      </c>
      <c r="E656" s="2959" t="s">
        <v>3125</v>
      </c>
      <c r="F656" s="2960">
        <v>2503</v>
      </c>
      <c r="G656" s="2959" t="s">
        <v>3819</v>
      </c>
      <c r="H656" s="2959">
        <v>159.33000000000001</v>
      </c>
      <c r="I656" s="2959">
        <v>122.53</v>
      </c>
    </row>
    <row r="657" spans="1:9" ht="18.75" customHeight="1">
      <c r="A657" s="2958">
        <v>656</v>
      </c>
      <c r="B657" s="2959" t="s">
        <v>3122</v>
      </c>
      <c r="C657" s="2959" t="s">
        <v>3463</v>
      </c>
      <c r="D657" s="2959" t="s">
        <v>3701</v>
      </c>
      <c r="E657" s="2959" t="s">
        <v>3125</v>
      </c>
      <c r="F657" s="2960">
        <v>2504</v>
      </c>
      <c r="G657" s="2959" t="s">
        <v>3820</v>
      </c>
      <c r="H657" s="2959">
        <v>118.37</v>
      </c>
      <c r="I657" s="2959">
        <v>91.03</v>
      </c>
    </row>
    <row r="658" spans="1:9" ht="18.75" customHeight="1">
      <c r="A658" s="2958">
        <v>657</v>
      </c>
      <c r="B658" s="2959" t="s">
        <v>3122</v>
      </c>
      <c r="C658" s="2959" t="s">
        <v>3463</v>
      </c>
      <c r="D658" s="2959" t="s">
        <v>3701</v>
      </c>
      <c r="E658" s="2959" t="s">
        <v>3125</v>
      </c>
      <c r="F658" s="2960">
        <v>2505</v>
      </c>
      <c r="G658" s="2959" t="s">
        <v>3821</v>
      </c>
      <c r="H658" s="2959">
        <v>117.93</v>
      </c>
      <c r="I658" s="2959">
        <v>90.69</v>
      </c>
    </row>
    <row r="659" spans="1:9" ht="18.75" customHeight="1">
      <c r="A659" s="2958">
        <v>658</v>
      </c>
      <c r="B659" s="2959" t="s">
        <v>3122</v>
      </c>
      <c r="C659" s="2959" t="s">
        <v>3463</v>
      </c>
      <c r="D659" s="2959" t="s">
        <v>3701</v>
      </c>
      <c r="E659" s="2959" t="s">
        <v>3125</v>
      </c>
      <c r="F659" s="2960">
        <v>2601</v>
      </c>
      <c r="G659" s="2959" t="s">
        <v>3822</v>
      </c>
      <c r="H659" s="2959">
        <v>159.24</v>
      </c>
      <c r="I659" s="2959">
        <v>122.46</v>
      </c>
    </row>
    <row r="660" spans="1:9" ht="18.75" customHeight="1">
      <c r="A660" s="2958">
        <v>659</v>
      </c>
      <c r="B660" s="2959" t="s">
        <v>3122</v>
      </c>
      <c r="C660" s="2959" t="s">
        <v>3463</v>
      </c>
      <c r="D660" s="2959" t="s">
        <v>3701</v>
      </c>
      <c r="E660" s="2959" t="s">
        <v>3125</v>
      </c>
      <c r="F660" s="2960">
        <v>2602</v>
      </c>
      <c r="G660" s="2959" t="s">
        <v>3823</v>
      </c>
      <c r="H660" s="2959">
        <v>121.93</v>
      </c>
      <c r="I660" s="2959">
        <v>93.77</v>
      </c>
    </row>
    <row r="661" spans="1:9" ht="18.75" customHeight="1">
      <c r="A661" s="2958">
        <v>660</v>
      </c>
      <c r="B661" s="2959" t="s">
        <v>3122</v>
      </c>
      <c r="C661" s="2959" t="s">
        <v>3463</v>
      </c>
      <c r="D661" s="2959" t="s">
        <v>3701</v>
      </c>
      <c r="E661" s="2959" t="s">
        <v>3125</v>
      </c>
      <c r="F661" s="2960">
        <v>2603</v>
      </c>
      <c r="G661" s="2959" t="s">
        <v>3824</v>
      </c>
      <c r="H661" s="2959">
        <v>159.33000000000001</v>
      </c>
      <c r="I661" s="2959">
        <v>122.53</v>
      </c>
    </row>
    <row r="662" spans="1:9" ht="18.75" customHeight="1">
      <c r="A662" s="2958">
        <v>661</v>
      </c>
      <c r="B662" s="2959" t="s">
        <v>3122</v>
      </c>
      <c r="C662" s="2959" t="s">
        <v>3463</v>
      </c>
      <c r="D662" s="2959" t="s">
        <v>3701</v>
      </c>
      <c r="E662" s="2959" t="s">
        <v>3125</v>
      </c>
      <c r="F662" s="2960">
        <v>2604</v>
      </c>
      <c r="G662" s="2959" t="s">
        <v>3825</v>
      </c>
      <c r="H662" s="2959">
        <v>118.37</v>
      </c>
      <c r="I662" s="2959">
        <v>91.03</v>
      </c>
    </row>
    <row r="663" spans="1:9" ht="18.75" customHeight="1">
      <c r="A663" s="2958">
        <v>662</v>
      </c>
      <c r="B663" s="2959" t="s">
        <v>3122</v>
      </c>
      <c r="C663" s="2959" t="s">
        <v>3463</v>
      </c>
      <c r="D663" s="2959" t="s">
        <v>3701</v>
      </c>
      <c r="E663" s="2959" t="s">
        <v>3125</v>
      </c>
      <c r="F663" s="2960">
        <v>2605</v>
      </c>
      <c r="G663" s="2959" t="s">
        <v>3826</v>
      </c>
      <c r="H663" s="2959">
        <v>117.93</v>
      </c>
      <c r="I663" s="2959">
        <v>90.69</v>
      </c>
    </row>
    <row r="664" spans="1:9" ht="18.75" customHeight="1">
      <c r="A664" s="2958">
        <v>663</v>
      </c>
      <c r="B664" s="2959" t="s">
        <v>3122</v>
      </c>
      <c r="C664" s="2959" t="s">
        <v>3463</v>
      </c>
      <c r="D664" s="2959" t="s">
        <v>3701</v>
      </c>
      <c r="E664" s="2959" t="s">
        <v>3125</v>
      </c>
      <c r="F664" s="2960">
        <v>2701</v>
      </c>
      <c r="G664" s="2959" t="s">
        <v>3827</v>
      </c>
      <c r="H664" s="2959">
        <v>159.24</v>
      </c>
      <c r="I664" s="2959">
        <v>122.46</v>
      </c>
    </row>
    <row r="665" spans="1:9" ht="18.75" customHeight="1">
      <c r="A665" s="2958">
        <v>664</v>
      </c>
      <c r="B665" s="2959" t="s">
        <v>3122</v>
      </c>
      <c r="C665" s="2959" t="s">
        <v>3463</v>
      </c>
      <c r="D665" s="2959" t="s">
        <v>3701</v>
      </c>
      <c r="E665" s="2959" t="s">
        <v>3125</v>
      </c>
      <c r="F665" s="2960">
        <v>2702</v>
      </c>
      <c r="G665" s="2959" t="s">
        <v>3828</v>
      </c>
      <c r="H665" s="2959">
        <v>121.93</v>
      </c>
      <c r="I665" s="2959">
        <v>93.77</v>
      </c>
    </row>
    <row r="666" spans="1:9" ht="18.75" customHeight="1">
      <c r="A666" s="2958">
        <v>665</v>
      </c>
      <c r="B666" s="2959" t="s">
        <v>3122</v>
      </c>
      <c r="C666" s="2959" t="s">
        <v>3463</v>
      </c>
      <c r="D666" s="2959" t="s">
        <v>3701</v>
      </c>
      <c r="E666" s="2959" t="s">
        <v>3125</v>
      </c>
      <c r="F666" s="2960">
        <v>2703</v>
      </c>
      <c r="G666" s="2959" t="s">
        <v>3829</v>
      </c>
      <c r="H666" s="2959">
        <v>159.33000000000001</v>
      </c>
      <c r="I666" s="2959">
        <v>122.53</v>
      </c>
    </row>
    <row r="667" spans="1:9" ht="18.75" customHeight="1">
      <c r="A667" s="2958">
        <v>666</v>
      </c>
      <c r="B667" s="2959" t="s">
        <v>3122</v>
      </c>
      <c r="C667" s="2959" t="s">
        <v>3463</v>
      </c>
      <c r="D667" s="2959" t="s">
        <v>3701</v>
      </c>
      <c r="E667" s="2959" t="s">
        <v>3125</v>
      </c>
      <c r="F667" s="2960">
        <v>2704</v>
      </c>
      <c r="G667" s="2959" t="s">
        <v>3830</v>
      </c>
      <c r="H667" s="2959">
        <v>118.37</v>
      </c>
      <c r="I667" s="2959">
        <v>91.03</v>
      </c>
    </row>
    <row r="668" spans="1:9" ht="18.75" customHeight="1">
      <c r="A668" s="2958">
        <v>667</v>
      </c>
      <c r="B668" s="2959" t="s">
        <v>3122</v>
      </c>
      <c r="C668" s="2959" t="s">
        <v>3463</v>
      </c>
      <c r="D668" s="2959" t="s">
        <v>3701</v>
      </c>
      <c r="E668" s="2959" t="s">
        <v>3125</v>
      </c>
      <c r="F668" s="2960">
        <v>2705</v>
      </c>
      <c r="G668" s="2959" t="s">
        <v>3831</v>
      </c>
      <c r="H668" s="2959">
        <v>117.93</v>
      </c>
      <c r="I668" s="2959">
        <v>90.69</v>
      </c>
    </row>
    <row r="669" spans="1:9" ht="18.75" customHeight="1">
      <c r="A669" s="2958">
        <v>668</v>
      </c>
      <c r="B669" s="2959" t="s">
        <v>3122</v>
      </c>
      <c r="C669" s="2959" t="s">
        <v>3463</v>
      </c>
      <c r="D669" s="2959" t="s">
        <v>3701</v>
      </c>
      <c r="E669" s="2959" t="s">
        <v>3125</v>
      </c>
      <c r="F669" s="2960">
        <v>2801</v>
      </c>
      <c r="G669" s="2959" t="s">
        <v>3832</v>
      </c>
      <c r="H669" s="2959">
        <v>159.24</v>
      </c>
      <c r="I669" s="2959">
        <v>122.46</v>
      </c>
    </row>
    <row r="670" spans="1:9" ht="18.75" customHeight="1">
      <c r="A670" s="2958">
        <v>669</v>
      </c>
      <c r="B670" s="2959" t="s">
        <v>3122</v>
      </c>
      <c r="C670" s="2959" t="s">
        <v>3463</v>
      </c>
      <c r="D670" s="2959" t="s">
        <v>3701</v>
      </c>
      <c r="E670" s="2959" t="s">
        <v>3125</v>
      </c>
      <c r="F670" s="2960">
        <v>2802</v>
      </c>
      <c r="G670" s="2959" t="s">
        <v>3833</v>
      </c>
      <c r="H670" s="2959">
        <v>121.93</v>
      </c>
      <c r="I670" s="2959">
        <v>93.77</v>
      </c>
    </row>
    <row r="671" spans="1:9" ht="18.75" customHeight="1">
      <c r="A671" s="2958">
        <v>670</v>
      </c>
      <c r="B671" s="2959" t="s">
        <v>3122</v>
      </c>
      <c r="C671" s="2959" t="s">
        <v>3463</v>
      </c>
      <c r="D671" s="2959" t="s">
        <v>3701</v>
      </c>
      <c r="E671" s="2959" t="s">
        <v>3125</v>
      </c>
      <c r="F671" s="2960">
        <v>2803</v>
      </c>
      <c r="G671" s="2959" t="s">
        <v>3834</v>
      </c>
      <c r="H671" s="2959">
        <v>159.33000000000001</v>
      </c>
      <c r="I671" s="2959">
        <v>122.53</v>
      </c>
    </row>
    <row r="672" spans="1:9" ht="18.75" customHeight="1">
      <c r="A672" s="2958">
        <v>671</v>
      </c>
      <c r="B672" s="2959" t="s">
        <v>3122</v>
      </c>
      <c r="C672" s="2959" t="s">
        <v>3463</v>
      </c>
      <c r="D672" s="2959" t="s">
        <v>3701</v>
      </c>
      <c r="E672" s="2959" t="s">
        <v>3125</v>
      </c>
      <c r="F672" s="2960">
        <v>2804</v>
      </c>
      <c r="G672" s="2959" t="s">
        <v>3835</v>
      </c>
      <c r="H672" s="2959">
        <v>118.37</v>
      </c>
      <c r="I672" s="2959">
        <v>91.03</v>
      </c>
    </row>
    <row r="673" spans="1:9" ht="18.75" customHeight="1">
      <c r="A673" s="2958">
        <v>672</v>
      </c>
      <c r="B673" s="2959" t="s">
        <v>3122</v>
      </c>
      <c r="C673" s="2959" t="s">
        <v>3463</v>
      </c>
      <c r="D673" s="2959" t="s">
        <v>3701</v>
      </c>
      <c r="E673" s="2959" t="s">
        <v>3125</v>
      </c>
      <c r="F673" s="2960">
        <v>2805</v>
      </c>
      <c r="G673" s="2959" t="s">
        <v>3836</v>
      </c>
      <c r="H673" s="2959">
        <v>117.93</v>
      </c>
      <c r="I673" s="2959">
        <v>90.69</v>
      </c>
    </row>
    <row r="674" spans="1:9" ht="18.75" customHeight="1">
      <c r="A674" s="2958">
        <v>673</v>
      </c>
      <c r="B674" s="2959" t="s">
        <v>3122</v>
      </c>
      <c r="C674" s="2959" t="s">
        <v>3463</v>
      </c>
      <c r="D674" s="2959" t="s">
        <v>3701</v>
      </c>
      <c r="E674" s="2959" t="s">
        <v>3125</v>
      </c>
      <c r="F674" s="2960">
        <v>2901</v>
      </c>
      <c r="G674" s="2959" t="s">
        <v>3837</v>
      </c>
      <c r="H674" s="2959">
        <v>159.24</v>
      </c>
      <c r="I674" s="2959">
        <v>122.46</v>
      </c>
    </row>
    <row r="675" spans="1:9" ht="18.75" customHeight="1">
      <c r="A675" s="2958">
        <v>674</v>
      </c>
      <c r="B675" s="2959" t="s">
        <v>3122</v>
      </c>
      <c r="C675" s="2959" t="s">
        <v>3463</v>
      </c>
      <c r="D675" s="2959" t="s">
        <v>3701</v>
      </c>
      <c r="E675" s="2959" t="s">
        <v>3125</v>
      </c>
      <c r="F675" s="2960">
        <v>2902</v>
      </c>
      <c r="G675" s="2959" t="s">
        <v>3838</v>
      </c>
      <c r="H675" s="2959">
        <v>121.93</v>
      </c>
      <c r="I675" s="2959">
        <v>93.77</v>
      </c>
    </row>
    <row r="676" spans="1:9" ht="18.75" customHeight="1">
      <c r="A676" s="2958">
        <v>675</v>
      </c>
      <c r="B676" s="2959" t="s">
        <v>3122</v>
      </c>
      <c r="C676" s="2959" t="s">
        <v>3463</v>
      </c>
      <c r="D676" s="2959" t="s">
        <v>3701</v>
      </c>
      <c r="E676" s="2959" t="s">
        <v>3125</v>
      </c>
      <c r="F676" s="2960">
        <v>2903</v>
      </c>
      <c r="G676" s="2959" t="s">
        <v>3839</v>
      </c>
      <c r="H676" s="2959">
        <v>159.33000000000001</v>
      </c>
      <c r="I676" s="2959">
        <v>122.53</v>
      </c>
    </row>
    <row r="677" spans="1:9" ht="18.75" customHeight="1">
      <c r="A677" s="2958">
        <v>676</v>
      </c>
      <c r="B677" s="2959" t="s">
        <v>3122</v>
      </c>
      <c r="C677" s="2959" t="s">
        <v>3463</v>
      </c>
      <c r="D677" s="2959" t="s">
        <v>3701</v>
      </c>
      <c r="E677" s="2959" t="s">
        <v>3125</v>
      </c>
      <c r="F677" s="2960">
        <v>2904</v>
      </c>
      <c r="G677" s="2959" t="s">
        <v>3840</v>
      </c>
      <c r="H677" s="2959">
        <v>118.37</v>
      </c>
      <c r="I677" s="2959">
        <v>91.03</v>
      </c>
    </row>
    <row r="678" spans="1:9" ht="18.75" customHeight="1">
      <c r="A678" s="2958">
        <v>677</v>
      </c>
      <c r="B678" s="2959" t="s">
        <v>3122</v>
      </c>
      <c r="C678" s="2959" t="s">
        <v>3463</v>
      </c>
      <c r="D678" s="2959" t="s">
        <v>3701</v>
      </c>
      <c r="E678" s="2959" t="s">
        <v>3125</v>
      </c>
      <c r="F678" s="2960">
        <v>2905</v>
      </c>
      <c r="G678" s="2959" t="s">
        <v>3841</v>
      </c>
      <c r="H678" s="2959">
        <v>117.93</v>
      </c>
      <c r="I678" s="2959">
        <v>90.69</v>
      </c>
    </row>
    <row r="679" spans="1:9" ht="18.75" customHeight="1">
      <c r="A679" s="2958">
        <v>678</v>
      </c>
      <c r="B679" s="2959" t="s">
        <v>3122</v>
      </c>
      <c r="C679" s="2959" t="s">
        <v>3463</v>
      </c>
      <c r="D679" s="2959" t="s">
        <v>3701</v>
      </c>
      <c r="E679" s="2959" t="s">
        <v>3125</v>
      </c>
      <c r="F679" s="2960">
        <v>3001</v>
      </c>
      <c r="G679" s="2959" t="s">
        <v>3842</v>
      </c>
      <c r="H679" s="2959">
        <v>159.24</v>
      </c>
      <c r="I679" s="2959">
        <v>122.46</v>
      </c>
    </row>
    <row r="680" spans="1:9" ht="18.75" customHeight="1">
      <c r="A680" s="2958">
        <v>679</v>
      </c>
      <c r="B680" s="2959" t="s">
        <v>3122</v>
      </c>
      <c r="C680" s="2959" t="s">
        <v>3463</v>
      </c>
      <c r="D680" s="2959" t="s">
        <v>3701</v>
      </c>
      <c r="E680" s="2959" t="s">
        <v>3125</v>
      </c>
      <c r="F680" s="2960">
        <v>3002</v>
      </c>
      <c r="G680" s="2959" t="s">
        <v>3843</v>
      </c>
      <c r="H680" s="2959">
        <v>121.93</v>
      </c>
      <c r="I680" s="2959">
        <v>93.77</v>
      </c>
    </row>
    <row r="681" spans="1:9" ht="18.75" customHeight="1">
      <c r="A681" s="2958">
        <v>680</v>
      </c>
      <c r="B681" s="2959" t="s">
        <v>3122</v>
      </c>
      <c r="C681" s="2959" t="s">
        <v>3463</v>
      </c>
      <c r="D681" s="2959" t="s">
        <v>3701</v>
      </c>
      <c r="E681" s="2959" t="s">
        <v>3125</v>
      </c>
      <c r="F681" s="2960">
        <v>3003</v>
      </c>
      <c r="G681" s="2959" t="s">
        <v>3844</v>
      </c>
      <c r="H681" s="2959">
        <v>159.33000000000001</v>
      </c>
      <c r="I681" s="2959">
        <v>122.53</v>
      </c>
    </row>
    <row r="682" spans="1:9" ht="18.75" customHeight="1">
      <c r="A682" s="2958">
        <v>681</v>
      </c>
      <c r="B682" s="2959" t="s">
        <v>3122</v>
      </c>
      <c r="C682" s="2959" t="s">
        <v>3463</v>
      </c>
      <c r="D682" s="2959" t="s">
        <v>3701</v>
      </c>
      <c r="E682" s="2959" t="s">
        <v>3125</v>
      </c>
      <c r="F682" s="2960">
        <v>3004</v>
      </c>
      <c r="G682" s="2959" t="s">
        <v>3845</v>
      </c>
      <c r="H682" s="2959">
        <v>118.37</v>
      </c>
      <c r="I682" s="2959">
        <v>91.03</v>
      </c>
    </row>
    <row r="683" spans="1:9" ht="18.75" customHeight="1">
      <c r="A683" s="2958">
        <v>682</v>
      </c>
      <c r="B683" s="2959" t="s">
        <v>3122</v>
      </c>
      <c r="C683" s="2959" t="s">
        <v>3463</v>
      </c>
      <c r="D683" s="2959" t="s">
        <v>3701</v>
      </c>
      <c r="E683" s="2959" t="s">
        <v>3125</v>
      </c>
      <c r="F683" s="2960">
        <v>3005</v>
      </c>
      <c r="G683" s="2959" t="s">
        <v>3846</v>
      </c>
      <c r="H683" s="2959">
        <v>117.93</v>
      </c>
      <c r="I683" s="2959">
        <v>90.69</v>
      </c>
    </row>
    <row r="684" spans="1:9" ht="18.75" customHeight="1">
      <c r="A684" s="2958">
        <v>683</v>
      </c>
      <c r="B684" s="2959" t="s">
        <v>3122</v>
      </c>
      <c r="C684" s="2959" t="s">
        <v>3463</v>
      </c>
      <c r="D684" s="2959" t="s">
        <v>3701</v>
      </c>
      <c r="E684" s="2959" t="s">
        <v>3125</v>
      </c>
      <c r="F684" s="2960">
        <v>3101</v>
      </c>
      <c r="G684" s="2959" t="s">
        <v>3847</v>
      </c>
      <c r="H684" s="2959">
        <v>159.24</v>
      </c>
      <c r="I684" s="2959">
        <v>122.46</v>
      </c>
    </row>
    <row r="685" spans="1:9" ht="18.75" customHeight="1">
      <c r="A685" s="2958">
        <v>684</v>
      </c>
      <c r="B685" s="2959" t="s">
        <v>3122</v>
      </c>
      <c r="C685" s="2959" t="s">
        <v>3463</v>
      </c>
      <c r="D685" s="2959" t="s">
        <v>3701</v>
      </c>
      <c r="E685" s="2959" t="s">
        <v>3125</v>
      </c>
      <c r="F685" s="2960">
        <v>3102</v>
      </c>
      <c r="G685" s="2959" t="s">
        <v>3848</v>
      </c>
      <c r="H685" s="2959">
        <v>121.93</v>
      </c>
      <c r="I685" s="2959">
        <v>93.77</v>
      </c>
    </row>
    <row r="686" spans="1:9" ht="18.75" customHeight="1">
      <c r="A686" s="2958">
        <v>685</v>
      </c>
      <c r="B686" s="2959" t="s">
        <v>3122</v>
      </c>
      <c r="C686" s="2959" t="s">
        <v>3463</v>
      </c>
      <c r="D686" s="2959" t="s">
        <v>3701</v>
      </c>
      <c r="E686" s="2959" t="s">
        <v>3125</v>
      </c>
      <c r="F686" s="2960">
        <v>3103</v>
      </c>
      <c r="G686" s="2959" t="s">
        <v>3849</v>
      </c>
      <c r="H686" s="2959">
        <v>159.33000000000001</v>
      </c>
      <c r="I686" s="2959">
        <v>122.53</v>
      </c>
    </row>
    <row r="687" spans="1:9" ht="18.75" customHeight="1">
      <c r="A687" s="2958">
        <v>686</v>
      </c>
      <c r="B687" s="2959" t="s">
        <v>3122</v>
      </c>
      <c r="C687" s="2959" t="s">
        <v>3463</v>
      </c>
      <c r="D687" s="2959" t="s">
        <v>3701</v>
      </c>
      <c r="E687" s="2959" t="s">
        <v>3125</v>
      </c>
      <c r="F687" s="2960">
        <v>3104</v>
      </c>
      <c r="G687" s="2959" t="s">
        <v>3850</v>
      </c>
      <c r="H687" s="2959">
        <v>118.37</v>
      </c>
      <c r="I687" s="2959">
        <v>91.03</v>
      </c>
    </row>
    <row r="688" spans="1:9" ht="18.75" customHeight="1">
      <c r="A688" s="2958">
        <v>687</v>
      </c>
      <c r="B688" s="2959" t="s">
        <v>3122</v>
      </c>
      <c r="C688" s="2959" t="s">
        <v>3463</v>
      </c>
      <c r="D688" s="2959" t="s">
        <v>3701</v>
      </c>
      <c r="E688" s="2959" t="s">
        <v>3125</v>
      </c>
      <c r="F688" s="2960">
        <v>3105</v>
      </c>
      <c r="G688" s="2959" t="s">
        <v>3851</v>
      </c>
      <c r="H688" s="2959">
        <v>117.93</v>
      </c>
      <c r="I688" s="2959">
        <v>90.69</v>
      </c>
    </row>
    <row r="689" spans="1:13" ht="18.75" customHeight="1">
      <c r="A689" s="2958">
        <v>688</v>
      </c>
      <c r="B689" s="2959" t="s">
        <v>3122</v>
      </c>
      <c r="C689" s="2959" t="s">
        <v>3852</v>
      </c>
      <c r="D689" s="2959" t="s">
        <v>3853</v>
      </c>
      <c r="E689" s="2959" t="s">
        <v>3854</v>
      </c>
      <c r="F689" s="2960" t="s">
        <v>3855</v>
      </c>
      <c r="G689" s="2959" t="s">
        <v>3856</v>
      </c>
      <c r="H689" s="2959">
        <v>223.48</v>
      </c>
      <c r="I689" s="2959">
        <v>209.63</v>
      </c>
    </row>
    <row r="690" spans="1:13" ht="18.75" customHeight="1">
      <c r="A690" s="2958">
        <v>689</v>
      </c>
      <c r="B690" s="2959" t="s">
        <v>3122</v>
      </c>
      <c r="C690" s="2959" t="s">
        <v>3852</v>
      </c>
      <c r="D690" s="2959" t="s">
        <v>3853</v>
      </c>
      <c r="E690" s="2959" t="s">
        <v>3857</v>
      </c>
      <c r="F690" s="2960" t="s">
        <v>3858</v>
      </c>
      <c r="G690" s="2959" t="s">
        <v>3859</v>
      </c>
      <c r="H690" s="2959">
        <v>218.43</v>
      </c>
      <c r="I690" s="2959">
        <v>206.22</v>
      </c>
    </row>
    <row r="691" spans="1:13" ht="18.75" customHeight="1">
      <c r="A691" s="2958">
        <v>690</v>
      </c>
      <c r="B691" s="2959" t="s">
        <v>3122</v>
      </c>
      <c r="C691" s="2959" t="s">
        <v>3852</v>
      </c>
      <c r="D691" s="2959" t="s">
        <v>3853</v>
      </c>
      <c r="E691" s="2959" t="s">
        <v>3857</v>
      </c>
      <c r="F691" s="2960" t="s">
        <v>3855</v>
      </c>
      <c r="G691" s="2959" t="s">
        <v>3860</v>
      </c>
      <c r="H691" s="2959">
        <v>218.43</v>
      </c>
      <c r="I691" s="2959">
        <v>206.22</v>
      </c>
    </row>
    <row r="692" spans="1:13" ht="18.75" customHeight="1">
      <c r="A692" s="2958">
        <v>691</v>
      </c>
      <c r="B692" s="2959" t="s">
        <v>3122</v>
      </c>
      <c r="C692" s="2959" t="s">
        <v>3852</v>
      </c>
      <c r="D692" s="2959" t="s">
        <v>3853</v>
      </c>
      <c r="E692" s="2959" t="s">
        <v>3861</v>
      </c>
      <c r="F692" s="2960" t="s">
        <v>3858</v>
      </c>
      <c r="G692" s="2959" t="s">
        <v>3862</v>
      </c>
      <c r="H692" s="2959">
        <v>218.43</v>
      </c>
      <c r="I692" s="2959">
        <v>206.22</v>
      </c>
    </row>
    <row r="693" spans="1:13" s="2963" customFormat="1" ht="37.5" customHeight="1">
      <c r="A693" s="3049" t="s">
        <v>37</v>
      </c>
      <c r="B693" s="3049"/>
      <c r="C693" s="3049"/>
      <c r="D693" s="3049"/>
      <c r="E693" s="3049"/>
      <c r="F693" s="3049"/>
      <c r="G693" s="2961"/>
      <c r="H693" s="2962">
        <f>SUBTOTAL(9,H2:H692)</f>
        <v>69246.850000000224</v>
      </c>
      <c r="I693" s="2962">
        <f>SUBTOTAL(9,I2:I692)</f>
        <v>53668.53999999987</v>
      </c>
    </row>
    <row r="694" spans="1:13">
      <c r="H694" s="2974">
        <f>H693-I693</f>
        <v>15578.310000000354</v>
      </c>
    </row>
    <row r="696" spans="1:13">
      <c r="G696" s="2966" t="s">
        <v>3873</v>
      </c>
      <c r="H696" s="2948">
        <v>34336.839999999997</v>
      </c>
    </row>
    <row r="697" spans="1:13">
      <c r="J697" s="2967">
        <v>69246.850000000006</v>
      </c>
      <c r="L697" s="2957">
        <f>J697-H698</f>
        <v>3545.6299999996991</v>
      </c>
      <c r="M697" s="2957">
        <f>L697*1.6</f>
        <v>5673.0079999995187</v>
      </c>
    </row>
    <row r="698" spans="1:13">
      <c r="G698" s="2966" t="s">
        <v>3872</v>
      </c>
      <c r="H698" s="2948">
        <v>65701.220000000307</v>
      </c>
    </row>
    <row r="700" spans="1:13">
      <c r="G700" s="2966" t="s">
        <v>3871</v>
      </c>
      <c r="H700" s="2948">
        <f>H698-H696</f>
        <v>31364.38000000031</v>
      </c>
    </row>
    <row r="704" spans="1:13">
      <c r="E704" s="2948">
        <v>26522.15</v>
      </c>
      <c r="H704" s="2948">
        <v>104448</v>
      </c>
      <c r="I704" s="2948">
        <f>E704+[1]清单!$E$704</f>
        <v>50873.100000000006</v>
      </c>
    </row>
    <row r="705" spans="3:11" ht="27">
      <c r="C705" s="2964" t="s">
        <v>4021</v>
      </c>
      <c r="D705" s="2948" t="s">
        <v>4022</v>
      </c>
      <c r="E705" s="2948">
        <v>52391</v>
      </c>
      <c r="F705" s="2948">
        <v>49073</v>
      </c>
      <c r="H705" s="2948">
        <f>ROUND(H704/I704*10000,0)</f>
        <v>20531</v>
      </c>
    </row>
    <row r="706" spans="3:11">
      <c r="D706" s="2948" t="s">
        <v>4023</v>
      </c>
      <c r="E706" s="2948">
        <f>ROUND(E705/清单!E704*10000,0)</f>
        <v>19754</v>
      </c>
      <c r="F706" s="2948">
        <f>ROUND(F705/清单!E704*10000,0)</f>
        <v>18503</v>
      </c>
    </row>
    <row r="707" spans="3:11" ht="27">
      <c r="C707" s="2964" t="s">
        <v>4024</v>
      </c>
      <c r="D707" s="2948" t="s">
        <v>4022</v>
      </c>
      <c r="E707" s="2948">
        <v>50732</v>
      </c>
    </row>
    <row r="708" spans="3:11">
      <c r="D708" s="2948" t="s">
        <v>4023</v>
      </c>
      <c r="E708" s="2948">
        <f>ROUND(E707/清单!E704*10000,0)</f>
        <v>19128</v>
      </c>
    </row>
    <row r="711" spans="3:11" ht="54">
      <c r="D711" s="2948" t="s">
        <v>4025</v>
      </c>
      <c r="E711" s="2948" t="s">
        <v>4026</v>
      </c>
      <c r="F711" s="2948" t="s">
        <v>4027</v>
      </c>
      <c r="H711" s="2948" t="s">
        <v>4028</v>
      </c>
      <c r="J711" s="2957" t="s">
        <v>4029</v>
      </c>
    </row>
    <row r="712" spans="3:11">
      <c r="F712" s="2948" t="s">
        <v>4030</v>
      </c>
      <c r="G712" s="2948" t="s">
        <v>4031</v>
      </c>
      <c r="H712" s="2948" t="s">
        <v>4030</v>
      </c>
      <c r="I712" s="2948" t="s">
        <v>4031</v>
      </c>
      <c r="J712" s="2957" t="s">
        <v>4030</v>
      </c>
      <c r="K712" s="2957" t="s">
        <v>4031</v>
      </c>
    </row>
    <row r="713" spans="3:11">
      <c r="D713" s="2948">
        <v>34338.32</v>
      </c>
      <c r="E713" s="2948">
        <v>16074.03</v>
      </c>
      <c r="F713" s="2948">
        <f ca="1">结果表!D118</f>
        <v>27333</v>
      </c>
      <c r="G713" s="2948">
        <f ca="1">ROUND(F713/E704*10000,0)</f>
        <v>10306</v>
      </c>
      <c r="H713" s="2948">
        <f ca="1">结果表!F118</f>
        <v>23471</v>
      </c>
      <c r="I713" s="2948">
        <f ca="1">ROUND(H713/E704*10000,0)</f>
        <v>8850</v>
      </c>
      <c r="J713" s="2957">
        <f ca="1">结果表!H118</f>
        <v>50804</v>
      </c>
      <c r="K713" s="2957">
        <f ca="1">ROUND(J713/E704*10000,0)</f>
        <v>19155</v>
      </c>
    </row>
    <row r="717" spans="3:11">
      <c r="E717" s="2948">
        <f>E713+[1]清单!$E$713</f>
        <v>30832.18</v>
      </c>
    </row>
  </sheetData>
  <mergeCells count="1">
    <mergeCell ref="A693:F693"/>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61" t="s">
        <v>1936</v>
      </c>
      <c r="B2" s="3061"/>
      <c r="C2" s="3061"/>
      <c r="D2" s="970" t="s">
        <v>1912</v>
      </c>
      <c r="E2" s="2230" t="s">
        <v>1913</v>
      </c>
      <c r="F2" s="1395"/>
      <c r="G2" s="2231"/>
      <c r="H2" s="2232"/>
      <c r="I2" s="2233" t="s">
        <v>1937</v>
      </c>
      <c r="J2" s="1395"/>
      <c r="K2" s="1395"/>
      <c r="L2" s="1395"/>
      <c r="M2" s="1395"/>
      <c r="N2" s="1430"/>
      <c r="O2" s="1395"/>
      <c r="P2" s="1395"/>
    </row>
    <row r="3" spans="1:16" ht="15.75" thickBot="1">
      <c r="A3" s="3062" t="s">
        <v>1910</v>
      </c>
      <c r="B3" s="3062"/>
      <c r="C3" s="3062"/>
      <c r="D3" s="46">
        <f>'数据-基础表'!AY6</f>
        <v>16074.03</v>
      </c>
      <c r="E3" s="46">
        <f>'数据-基础表'!AZ5</f>
        <v>34338.32</v>
      </c>
      <c r="F3" s="1395"/>
      <c r="G3" s="1402"/>
      <c r="H3" s="1250" t="s">
        <v>1911</v>
      </c>
      <c r="I3" s="55">
        <f>ROUND('数据-基础表'!B3/'数据-基础表'!A3,2)</f>
        <v>2.14</v>
      </c>
      <c r="J3" s="1395"/>
      <c r="K3" s="1395"/>
      <c r="L3" s="1395"/>
      <c r="M3" s="1395"/>
      <c r="N3" s="1430"/>
      <c r="O3" s="1395"/>
      <c r="P3" s="1395"/>
    </row>
    <row r="4" spans="1:16" ht="15">
      <c r="A4" s="3063"/>
      <c r="B4" s="3064"/>
      <c r="C4" s="3065"/>
      <c r="D4" s="2234" t="s">
        <v>1912</v>
      </c>
      <c r="E4" s="2235" t="s">
        <v>1913</v>
      </c>
      <c r="F4" s="1395"/>
      <c r="G4" s="2236" t="s">
        <v>1938</v>
      </c>
      <c r="H4" s="1250" t="s">
        <v>1918</v>
      </c>
      <c r="I4" s="55">
        <f>ROUND(SUMIF('数据-基础表'!I9:AS9,"地上",'数据-基础表'!I5:AS5)/'数据-基础表'!A3,2)</f>
        <v>2.14</v>
      </c>
      <c r="J4" s="1395"/>
      <c r="K4" s="1395"/>
      <c r="L4" s="1395"/>
      <c r="M4" s="1395"/>
      <c r="N4" s="1430"/>
      <c r="O4" s="1395"/>
      <c r="P4" s="1395"/>
    </row>
    <row r="5" spans="1:16">
      <c r="A5" s="47" t="s">
        <v>1914</v>
      </c>
      <c r="B5" s="3066" t="s">
        <v>1915</v>
      </c>
      <c r="C5" s="3066"/>
      <c r="D5" s="48">
        <f>ROUND($D$3*E5/$E$3,2)</f>
        <v>16074.03</v>
      </c>
      <c r="E5" s="49">
        <f>SUMIF('数据-基础表'!$11:$11,"住宅",'数据-基础表'!$5:$5)</f>
        <v>34338.32</v>
      </c>
      <c r="F5" s="1395"/>
      <c r="G5" s="1402"/>
      <c r="H5" s="1250" t="s">
        <v>1911</v>
      </c>
      <c r="I5" s="55">
        <f>ROUND(E31/D31,2)</f>
        <v>2.14</v>
      </c>
      <c r="J5" s="1395"/>
      <c r="K5" s="1395"/>
      <c r="L5" s="1395"/>
      <c r="M5" s="1395"/>
      <c r="N5" s="1395"/>
      <c r="O5" s="1395"/>
      <c r="P5" s="1395"/>
    </row>
    <row r="6" spans="1:16" ht="15" thickBot="1">
      <c r="A6" s="2237"/>
      <c r="B6" s="3066" t="s">
        <v>1916</v>
      </c>
      <c r="C6" s="3066"/>
      <c r="D6" s="48">
        <f>ROUND($D$3*E6/$E$3,2)</f>
        <v>0</v>
      </c>
      <c r="E6" s="49">
        <f>E3-E5</f>
        <v>0</v>
      </c>
      <c r="F6" s="1395"/>
      <c r="G6" s="2238" t="s">
        <v>1917</v>
      </c>
      <c r="H6" s="1402" t="s">
        <v>1918</v>
      </c>
      <c r="I6" s="942">
        <f>ROUND(F31/D31,2)</f>
        <v>2.14</v>
      </c>
      <c r="J6" s="1395"/>
      <c r="K6" s="1395"/>
      <c r="L6" s="1395"/>
      <c r="M6" s="1395"/>
      <c r="N6" s="1395"/>
      <c r="O6" s="1395"/>
      <c r="P6" s="1395"/>
    </row>
    <row r="7" spans="1:16" ht="15">
      <c r="A7" s="3058"/>
      <c r="B7" s="3059"/>
      <c r="C7" s="3060"/>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16074.03</v>
      </c>
      <c r="E8" s="51">
        <f>SUMIF('数据-基础表'!BB10:BK10,"地上",'数据-基础表'!BB5:BK5)</f>
        <v>34338.32</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16074.03</v>
      </c>
      <c r="E16" s="53">
        <f>SUM(E8:E15)</f>
        <v>34338.32</v>
      </c>
      <c r="F16" s="1395"/>
      <c r="G16" s="2240"/>
      <c r="H16" s="2243" t="s">
        <v>1940</v>
      </c>
      <c r="I16" s="2244"/>
      <c r="J16" s="1395"/>
      <c r="K16" s="3055" t="s">
        <v>1940</v>
      </c>
      <c r="L16" s="3056"/>
      <c r="M16" s="3056"/>
      <c r="N16" s="3056"/>
      <c r="O16" s="3056"/>
      <c r="P16" s="3057"/>
    </row>
    <row r="17" spans="1:19" ht="15">
      <c r="A17" s="2245" t="s">
        <v>1941</v>
      </c>
      <c r="B17" s="2246" t="s">
        <v>1942</v>
      </c>
      <c r="C17" s="2247" t="s">
        <v>1943</v>
      </c>
      <c r="D17" s="2248" t="s">
        <v>1931</v>
      </c>
      <c r="E17" s="2249" t="s">
        <v>1932</v>
      </c>
      <c r="F17" s="2250"/>
      <c r="G17" s="2251"/>
      <c r="H17" s="2252" t="s">
        <v>1944</v>
      </c>
      <c r="I17" s="2253" t="s">
        <v>1929</v>
      </c>
      <c r="J17" s="1395"/>
      <c r="K17" s="3052" t="s">
        <v>1945</v>
      </c>
      <c r="L17" s="3053"/>
      <c r="M17" s="3054"/>
      <c r="N17" s="3052" t="s">
        <v>1946</v>
      </c>
      <c r="O17" s="3053"/>
      <c r="P17" s="3054"/>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965" t="s">
        <v>3869</v>
      </c>
      <c r="D19" s="48">
        <f>ROUND($D$3*E19/$E$3,2)</f>
        <v>16074.03</v>
      </c>
      <c r="E19" s="56">
        <f t="shared" ref="E19:E26" si="1">SUM(F19:G19)</f>
        <v>34338.32</v>
      </c>
      <c r="F19" s="57">
        <f>'数据-基础表'!I13</f>
        <v>34338.32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16074.03</v>
      </c>
      <c r="S19" s="1251">
        <f t="shared" si="5"/>
        <v>34338.32</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16074.03</v>
      </c>
      <c r="E27" s="1397">
        <f>IF(SUM(E19:E26)='数据-基础表'!BA5,SUM(E19:E26),IF(F27="地上面积有误","面积有误","地下面积有误"))</f>
        <v>34338.32</v>
      </c>
      <c r="F27" s="1396">
        <f>IF(SUM(F19:F26)=E8,SUM(F19:F26),"地上面积有误")</f>
        <v>34338.32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16074.03</v>
      </c>
      <c r="S27" s="1250">
        <f>IF(SUM(S19:S26)=$E$3,SUM(S19:S26),SUM(S19:S26)&amp;"误差"&amp;ROUND(SUM(S19:S26)-E3,2))</f>
        <v>34338.32</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16074.03</v>
      </c>
      <c r="E31" s="729">
        <f>E27+E30</f>
        <v>34338.32</v>
      </c>
      <c r="F31" s="730">
        <f>F27+F30</f>
        <v>34338.32</v>
      </c>
      <c r="G31" s="731">
        <f>G27+G30</f>
        <v>0</v>
      </c>
      <c r="H31" s="1395"/>
      <c r="I31" s="1395"/>
      <c r="J31" s="1395"/>
      <c r="K31" s="1395"/>
      <c r="L31" s="1395"/>
      <c r="M31" s="1395"/>
      <c r="N31" s="1395"/>
      <c r="O31" s="1395"/>
      <c r="P31" s="1395"/>
    </row>
    <row r="32" spans="1:19">
      <c r="A32" s="2236"/>
      <c r="B32" s="2236" t="s">
        <v>1964</v>
      </c>
      <c r="C32" s="2236"/>
      <c r="D32" s="2236"/>
      <c r="E32" s="1277">
        <f>SUMIF(C19:C26,"*住宅*",E19:E26)</f>
        <v>34338.32</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43689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1986</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3868</v>
      </c>
      <c r="D6" s="1054">
        <f>SUMIF(项目基本情况!D$12:I$12,C6,项目基本情况!D$14:I$14)</f>
        <v>70</v>
      </c>
      <c r="E6" s="1051">
        <f>IF(B6="","",SUMIF(项目基本情况!D$12:I$12,C6,项目基本情况!D$13:I$13))</f>
        <v>59849</v>
      </c>
      <c r="F6" s="72">
        <f>SUMIF(项目基本情况!D$12:I$12,C6,项目基本情况!D$15:I$15)</f>
        <v>44.27</v>
      </c>
      <c r="G6" s="73">
        <f>IF(ISERROR(ROUND(POWER(1+H6,D6-F6)*(POWER(1+H6,F6)-1)/(POWER(1+H6,D6)-1),3)),0,ROUND(POWER(1+H6,D6-F6)*(POWER(1+H6,F6)-1)/(POWER(1+H6,D6)-1),3))</f>
        <v>0.89900000000000002</v>
      </c>
      <c r="H6" s="802">
        <v>4.4999999999999998E-2</v>
      </c>
      <c r="I6" s="802">
        <v>0.05</v>
      </c>
      <c r="J6" s="74">
        <v>8.5000000000000006E-2</v>
      </c>
      <c r="K6" s="1254">
        <f>SUMIF('数据-汇总表'!C$19:C$33,A6,'数据-汇总表'!E$19:E$33)</f>
        <v>34338.32</v>
      </c>
      <c r="L6" s="803">
        <v>4250</v>
      </c>
      <c r="M6" s="75">
        <f t="shared" ref="M6:M14" si="0">ROUND(K6*L6/10000,0)</f>
        <v>14594</v>
      </c>
      <c r="N6" s="801">
        <v>0.85</v>
      </c>
      <c r="O6" s="75">
        <f>IF($N$5="成新度","——",ROUND(M6*N6,0))</f>
        <v>12405</v>
      </c>
      <c r="P6" s="76">
        <f>IF($N$5="成新度","——",M6-O6)</f>
        <v>2189</v>
      </c>
      <c r="Q6" s="804">
        <v>0.35</v>
      </c>
      <c r="R6" s="77">
        <f ca="1">SUMIF('数据-汇总表'!C$19:C$33,A6,'数据-汇总表'!R$19:R$27)</f>
        <v>16074.03</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12"/>
      <c r="AO6" s="55" t="e">
        <f ca="1">SUMIF(INDIRECT("'"&amp;AN6&amp;"'"&amp;"!A:A"),"总价",INDIRECT("'"&amp;AN6&amp;"'"&amp;"!B:B"))</f>
        <v>#REF!</v>
      </c>
      <c r="AP6" s="2313">
        <f>IF(C6="住宅",K6*L6,0)</f>
        <v>145937860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2011</v>
      </c>
      <c r="B14" s="2310" t="s">
        <v>2012</v>
      </c>
      <c r="C14" s="2315"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2015</v>
      </c>
      <c r="B16" s="97"/>
      <c r="C16" s="1008"/>
      <c r="D16" s="2317"/>
      <c r="E16" s="97"/>
      <c r="F16" s="97"/>
      <c r="G16" s="98">
        <f>ROUND(SUMPRODUCT(G6:G13,K6:K13)/SUMPRODUCT((G6:G13&gt;0)*(K6:K13)),3)</f>
        <v>0.89900000000000002</v>
      </c>
      <c r="H16" s="99">
        <f>ROUND(SUMPRODUCT(H6:H13,K6:K13)/SUMPRODUCT((H6:H13&gt;0)*(K6:K13)),3)</f>
        <v>4.4999999999999998E-2</v>
      </c>
      <c r="I16" s="100"/>
      <c r="J16" s="100"/>
      <c r="K16" s="101">
        <f>SUM(K6:K15)</f>
        <v>34338.32</v>
      </c>
      <c r="L16" s="102">
        <f>ROUND(M16*10000/SUM(K6:K14),0)</f>
        <v>4250</v>
      </c>
      <c r="M16" s="102">
        <f>SUM(M6:M14)</f>
        <v>14594</v>
      </c>
      <c r="N16" s="103">
        <f>ROUND(SUMPRODUCT(M6:M14,N6:N14)/M16,3)</f>
        <v>0.85</v>
      </c>
      <c r="O16" s="102">
        <f>SUM(O6:O14)</f>
        <v>12405</v>
      </c>
      <c r="P16" s="102">
        <f>SUM(P6:P14)</f>
        <v>2189</v>
      </c>
      <c r="Q16" s="104">
        <f>ROUND(SUMPRODUCT(Q6:Q13,K6:K13)/SUMPRODUCT((Q6:Q13&gt;0)*(K6:K13)),2)</f>
        <v>0.35</v>
      </c>
      <c r="R16" s="1258">
        <f ca="1">SUM(R6:R13)</f>
        <v>16074.03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2017</v>
      </c>
      <c r="B19" s="112">
        <v>0</v>
      </c>
      <c r="C19" s="2280" t="s">
        <v>2018</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2019</v>
      </c>
      <c r="B20" s="113">
        <v>3</v>
      </c>
      <c r="C20" s="2280" t="s">
        <v>2020</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2021</v>
      </c>
      <c r="B21" s="113">
        <v>2.8</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2022</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2023</v>
      </c>
      <c r="B23" s="114">
        <f>B19+B21</f>
        <v>2.8</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2024</v>
      </c>
      <c r="B24" s="115">
        <f>B20-B21</f>
        <v>0.20000000000000018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2025</v>
      </c>
      <c r="B26" s="2323" t="s">
        <v>2026</v>
      </c>
      <c r="C26" s="2324" t="s">
        <v>2027</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2028</v>
      </c>
      <c r="B27" s="116">
        <v>220</v>
      </c>
      <c r="C27" s="1766" t="s">
        <v>2029</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119">
        <v>220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1">
        <f ca="1">成本法!C9</f>
        <v>755</v>
      </c>
      <c r="C29" s="1766" t="s">
        <v>2032</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0.05</v>
      </c>
      <c r="C33" s="1765" t="s">
        <v>2037</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2">
        <v>0.1</v>
      </c>
      <c r="C34" s="1765" t="s">
        <v>2039</v>
      </c>
      <c r="D34" s="2281" t="s">
        <v>2040</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9">
        <v>200</v>
      </c>
      <c r="C35" s="1765" t="s">
        <v>2042</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3">
        <v>1.4999999999999999E-2</v>
      </c>
      <c r="C36" s="1765" t="s">
        <v>2044</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2045</v>
      </c>
      <c r="B37" s="124">
        <v>0.03</v>
      </c>
      <c r="C37" s="1765" t="s">
        <v>2046</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2047</v>
      </c>
      <c r="B38" s="122">
        <v>0.03</v>
      </c>
      <c r="C38" s="1765" t="s">
        <v>2046</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2048</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2049</v>
      </c>
      <c r="B40" s="1303">
        <f ca="1">存贷款利率!G1</f>
        <v>4.7500000000000001E-2</v>
      </c>
      <c r="C40" s="1765" t="s">
        <v>2050</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2051</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2052</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2053</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2054</v>
      </c>
      <c r="B44" s="128">
        <v>7.0000000000000007E-2</v>
      </c>
      <c r="C44" s="1765" t="s">
        <v>2055</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2056</v>
      </c>
      <c r="B45" s="126">
        <v>0.03</v>
      </c>
      <c r="C45" s="1766" t="s">
        <v>2057</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2058</v>
      </c>
      <c r="B46" s="126">
        <v>0.02</v>
      </c>
      <c r="C46" s="1766" t="s">
        <v>2059</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2060</v>
      </c>
      <c r="B47" s="129"/>
      <c r="C47" s="1766" t="s">
        <v>2061</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2062</v>
      </c>
      <c r="B48" s="130">
        <v>0.04</v>
      </c>
      <c r="C48" s="1773" t="s">
        <v>2063</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2064</v>
      </c>
      <c r="B49" s="126">
        <v>5.0000000000000001E-4</v>
      </c>
      <c r="C49" s="1773" t="s">
        <v>2065</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2066</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2067</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2068</v>
      </c>
      <c r="B52" s="133">
        <f>SUMIF(A54:A63,B53,B54:B63)</f>
        <v>0</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2069</v>
      </c>
      <c r="B53" s="2339"/>
      <c r="C53" s="1430" t="s">
        <v>2070</v>
      </c>
      <c r="D53" s="2340" t="s">
        <v>2071</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2072</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2073</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2074</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2075</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2076</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2077</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2078</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2079</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2080</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2081</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7" t="s">
        <v>2082</v>
      </c>
      <c r="B1" s="3068"/>
      <c r="C1" s="3068"/>
      <c r="D1" s="3068"/>
      <c r="E1" s="3068"/>
      <c r="F1" s="3068"/>
      <c r="G1" s="306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376" t="s">
        <v>2089</v>
      </c>
      <c r="H3" s="2371"/>
      <c r="I3" s="2371"/>
      <c r="J3" s="2371"/>
      <c r="K3" s="2371"/>
      <c r="L3" s="2371"/>
      <c r="M3" s="2371"/>
      <c r="N3" s="2371"/>
      <c r="O3" s="2371"/>
      <c r="P3" s="2371"/>
      <c r="Q3" s="2371"/>
      <c r="R3" s="2371"/>
    </row>
    <row r="4" spans="1:29" ht="41.25">
      <c r="A4" s="431"/>
      <c r="B4" s="1797" t="s">
        <v>2090</v>
      </c>
      <c r="C4" s="2377" t="s">
        <v>2091</v>
      </c>
      <c r="D4" s="2374"/>
      <c r="E4" s="2378"/>
      <c r="F4" s="42" t="s">
        <v>2092</v>
      </c>
      <c r="G4" s="2379" t="s">
        <v>2093</v>
      </c>
      <c r="H4" s="2371"/>
      <c r="I4" s="2371"/>
      <c r="J4" s="2371"/>
      <c r="K4" s="2371"/>
      <c r="L4" s="2371"/>
      <c r="M4" s="2371"/>
      <c r="N4" s="2371"/>
      <c r="O4" s="2371"/>
      <c r="P4" s="2371"/>
      <c r="Q4" s="2371"/>
      <c r="R4" s="2371"/>
    </row>
    <row r="5" spans="1:29" ht="41.25">
      <c r="A5" s="431"/>
      <c r="B5" s="1797" t="s">
        <v>2094</v>
      </c>
      <c r="C5" s="2377" t="s">
        <v>2095</v>
      </c>
      <c r="D5" s="2374"/>
      <c r="E5" s="2378"/>
      <c r="F5" s="1797" t="s">
        <v>2096</v>
      </c>
      <c r="G5" s="2379" t="s">
        <v>2097</v>
      </c>
      <c r="H5" s="2371"/>
      <c r="I5" s="2371"/>
      <c r="J5" s="2371"/>
      <c r="K5" s="2371"/>
      <c r="L5" s="2371"/>
      <c r="M5" s="2371"/>
      <c r="N5" s="2371"/>
      <c r="O5" s="2371"/>
      <c r="P5" s="2371"/>
      <c r="Q5" s="2371"/>
      <c r="R5" s="2371"/>
    </row>
    <row r="6" spans="1:29" ht="54">
      <c r="A6" s="431"/>
      <c r="B6" s="1797" t="s">
        <v>2098</v>
      </c>
      <c r="C6" s="2379" t="s">
        <v>2093</v>
      </c>
      <c r="D6" s="2374"/>
      <c r="E6" s="2378"/>
      <c r="F6" s="1797" t="s">
        <v>2099</v>
      </c>
      <c r="G6" s="2379" t="s">
        <v>2100</v>
      </c>
      <c r="H6" s="2371"/>
      <c r="I6" s="2371"/>
      <c r="J6" s="2371"/>
      <c r="K6" s="2371"/>
      <c r="L6" s="2371"/>
      <c r="M6" s="2371"/>
      <c r="N6" s="2371"/>
      <c r="O6" s="2371"/>
      <c r="P6" s="2371"/>
      <c r="Q6" s="2371"/>
      <c r="R6" s="2371"/>
    </row>
    <row r="7" spans="1:29" ht="41.25" thickBot="1">
      <c r="A7" s="431"/>
      <c r="B7" s="1797" t="s">
        <v>2096</v>
      </c>
      <c r="C7" s="2379" t="s">
        <v>2097</v>
      </c>
      <c r="D7" s="2380"/>
      <c r="E7" s="2381"/>
      <c r="F7" s="2382" t="s">
        <v>2101</v>
      </c>
      <c r="G7" s="2383" t="s">
        <v>2102</v>
      </c>
      <c r="H7" s="2371"/>
      <c r="I7" s="2371"/>
      <c r="J7" s="2371"/>
      <c r="K7" s="2371"/>
      <c r="L7" s="2371"/>
      <c r="M7" s="2371"/>
      <c r="N7" s="2371"/>
      <c r="O7" s="2371"/>
      <c r="P7" s="2371"/>
      <c r="Q7" s="2371"/>
      <c r="R7" s="2371"/>
    </row>
    <row r="8" spans="1:29" ht="27">
      <c r="A8" s="431"/>
      <c r="B8" s="1797" t="s">
        <v>2099</v>
      </c>
      <c r="C8" s="2379" t="s">
        <v>2100</v>
      </c>
      <c r="D8" s="2380"/>
      <c r="E8" s="2380"/>
      <c r="F8" s="1136"/>
      <c r="G8" s="1136"/>
      <c r="H8" s="2371"/>
      <c r="I8" s="2371"/>
      <c r="J8" s="2371"/>
      <c r="K8" s="2371"/>
      <c r="L8" s="2371"/>
      <c r="M8" s="2371"/>
      <c r="N8" s="2371"/>
      <c r="O8" s="2371"/>
      <c r="P8" s="2371"/>
      <c r="Q8" s="2371"/>
      <c r="R8" s="2371"/>
    </row>
    <row r="9" spans="1:29" ht="27">
      <c r="A9" s="431"/>
      <c r="B9" s="1797" t="s">
        <v>2103</v>
      </c>
      <c r="C9" s="2377" t="s">
        <v>2104</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2106</v>
      </c>
      <c r="B13" s="2391"/>
      <c r="C13" s="2391"/>
      <c r="D13" s="2398"/>
      <c r="E13" s="2391"/>
      <c r="F13" s="2391"/>
      <c r="G13" s="2391"/>
    </row>
    <row r="14" spans="1:29" ht="15.75" thickBot="1">
      <c r="A14" s="2402"/>
      <c r="B14" s="2403"/>
      <c r="C14" s="2404" t="s">
        <v>2107</v>
      </c>
      <c r="D14" s="2374"/>
      <c r="E14" s="2405"/>
      <c r="F14" s="2405"/>
      <c r="G14" s="2368" t="s">
        <v>2108</v>
      </c>
    </row>
    <row r="15" spans="1:29" ht="57">
      <c r="A15" s="68" t="s">
        <v>2109</v>
      </c>
      <c r="B15" s="1270" t="s">
        <v>2086</v>
      </c>
      <c r="C15" s="2406" t="str">
        <f>C3</f>
        <v>估价对象周边居住用地比例、居住小区规模和社区发展完善程度，综合评价居住社区成熟度一般</v>
      </c>
      <c r="D15" s="2374"/>
      <c r="E15" s="2407" t="s">
        <v>2110</v>
      </c>
      <c r="F15" s="1270" t="s">
        <v>2111</v>
      </c>
      <c r="G15" s="135" t="str">
        <f>G3</f>
        <v>估价对象位于XX开发区，园区建设成熟度XX，产业集聚程度XX</v>
      </c>
    </row>
    <row r="16" spans="1:29" ht="42.75">
      <c r="A16" s="645"/>
      <c r="B16" s="2408" t="s">
        <v>2090</v>
      </c>
      <c r="C16" s="2409" t="str">
        <f>C4</f>
        <v>估价对象位于XX商圈，周边商业氛围成熟，人流量大，商业繁华度好</v>
      </c>
      <c r="D16" s="2374"/>
      <c r="E16" s="2410"/>
      <c r="F16" s="2411" t="s">
        <v>2092</v>
      </c>
      <c r="G16" s="136" t="str">
        <f>G4</f>
        <v>估价对象周边道路状况、公共交通通达情况、停车便捷程度，综合评价交通便捷度较好</v>
      </c>
    </row>
    <row r="17" spans="1:18" ht="42.75">
      <c r="A17" s="645"/>
      <c r="B17" s="2408" t="s">
        <v>2094</v>
      </c>
      <c r="C17" s="2409" t="str">
        <f>C5</f>
        <v>估价对象位于XX商圈，周边办公楼项目较多，入驻率高，办公集聚程度较好</v>
      </c>
      <c r="D17" s="2380"/>
      <c r="E17" s="2410"/>
      <c r="F17" s="2411" t="s">
        <v>2112</v>
      </c>
      <c r="G17" s="1571"/>
    </row>
    <row r="18" spans="1:18" ht="57">
      <c r="A18" s="645"/>
      <c r="B18" s="2411" t="s">
        <v>2098</v>
      </c>
      <c r="C18" s="136" t="str">
        <f>C6</f>
        <v>估价对象周边道路状况、公共交通通达情况、停车便捷程度，综合评价交通便捷度较好</v>
      </c>
      <c r="D18" s="2380"/>
      <c r="E18" s="2410"/>
      <c r="F18" s="2411" t="s">
        <v>2101</v>
      </c>
      <c r="G18" s="136" t="str">
        <f>G7</f>
        <v>该园区内是否有污染型企业，绿化情况，卫生条件，整体环境状况判断</v>
      </c>
    </row>
    <row r="19" spans="1:18" ht="28.5">
      <c r="A19" s="645"/>
      <c r="B19" s="2411" t="s">
        <v>2113</v>
      </c>
      <c r="C19" s="1571"/>
      <c r="D19" s="2374"/>
      <c r="E19" s="2410"/>
      <c r="F19" s="1797" t="s">
        <v>2096</v>
      </c>
      <c r="G19" s="136" t="str">
        <f>G5</f>
        <v>估价对象所在区域公共配套设施齐备情况</v>
      </c>
    </row>
    <row r="20" spans="1:18" ht="28.5">
      <c r="A20" s="645"/>
      <c r="B20" s="2411" t="s">
        <v>2114</v>
      </c>
      <c r="C20" s="2409" t="str">
        <f>C9</f>
        <v>区域自然环境：；人文环境；综合评价环境状况一般</v>
      </c>
      <c r="D20" s="2380"/>
      <c r="E20" s="2410"/>
      <c r="F20" s="1797" t="s">
        <v>2115</v>
      </c>
      <c r="G20" s="136" t="str">
        <f>G6</f>
        <v>估价对象所在区域基础设施水平</v>
      </c>
    </row>
    <row r="21" spans="1:18" ht="28.5">
      <c r="A21" s="645"/>
      <c r="B21" s="1797" t="s">
        <v>2096</v>
      </c>
      <c r="C21" s="136" t="str">
        <f>C7</f>
        <v>估价对象所在区域公共配套设施齐备情况</v>
      </c>
      <c r="D21" s="2374"/>
      <c r="E21" s="2410"/>
      <c r="F21" s="2411" t="s">
        <v>2116</v>
      </c>
      <c r="G21" s="2412"/>
    </row>
    <row r="22" spans="1:18" ht="13.5" customHeight="1">
      <c r="A22" s="645"/>
      <c r="B22" s="1797" t="s">
        <v>2099</v>
      </c>
      <c r="C22" s="136" t="str">
        <f>C8</f>
        <v>估价对象所在区域基础设施水平</v>
      </c>
      <c r="D22" s="2374"/>
      <c r="E22" s="2410"/>
      <c r="F22" s="2411" t="s">
        <v>2105</v>
      </c>
      <c r="G22" s="1571"/>
    </row>
    <row r="23" spans="1:18" s="2371"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1"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65702.700000000303</v>
      </c>
      <c r="C1" s="1744"/>
      <c r="D1" s="1744"/>
      <c r="E1" s="1744"/>
      <c r="F1" s="1744"/>
      <c r="G1" s="1742"/>
    </row>
    <row r="2" spans="1:10" ht="16.5">
      <c r="A2" s="1745" t="s">
        <v>1349</v>
      </c>
      <c r="B2" s="1745">
        <f>SUM(C14:C23)</f>
        <v>30830.38</v>
      </c>
      <c r="C2" s="1744"/>
      <c r="D2" s="1744"/>
      <c r="E2" s="1744"/>
      <c r="F2" s="1744"/>
      <c r="G2" s="1742"/>
    </row>
    <row r="3" spans="1:10" ht="16.5">
      <c r="A3" s="1745" t="s">
        <v>1358</v>
      </c>
      <c r="B3" s="1746">
        <f>项目基本情况!D3</f>
        <v>43689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104584</v>
      </c>
      <c r="C5" s="1745">
        <f ca="1">ROUND(B5*10000/$B$1,0)</f>
        <v>15918</v>
      </c>
      <c r="D5" s="1745">
        <f ca="1">ROUND(B5*10000/$B$2,0)</f>
        <v>33922</v>
      </c>
      <c r="E5" s="1744"/>
      <c r="F5" s="1742"/>
      <c r="G5" s="1742"/>
    </row>
    <row r="6" spans="1:10" ht="16.5">
      <c r="A6" s="1745" t="s">
        <v>1352</v>
      </c>
      <c r="B6" s="1745">
        <f ca="1">SUM(G14:G23)</f>
        <v>104584</v>
      </c>
      <c r="C6" s="1745">
        <f ca="1">ROUND(B6*10000/$B$1,0)</f>
        <v>15918</v>
      </c>
      <c r="D6" s="1745">
        <f ca="1">ROUND(B6*10000/$B$2,0)</f>
        <v>33922</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34338.32</v>
      </c>
      <c r="C14" s="1743">
        <f>结果表!C118</f>
        <v>16074.03</v>
      </c>
      <c r="D14" s="1743">
        <f ca="1">结果表!H118</f>
        <v>50804</v>
      </c>
      <c r="E14" s="1743">
        <f ca="1">ROUND(D14*10000/B14,0)</f>
        <v>14795</v>
      </c>
      <c r="F14" s="1743">
        <f ca="1">ROUND(D14*10000/C14,0)</f>
        <v>31606</v>
      </c>
      <c r="G14" s="1743">
        <f ca="1">结果表!D122</f>
        <v>50804</v>
      </c>
      <c r="H14" s="1743" t="str">
        <f>结果表!D124</f>
        <v>——</v>
      </c>
      <c r="I14" s="1743" t="str">
        <f>结果表!D126</f>
        <v>——</v>
      </c>
      <c r="J14" s="1742"/>
    </row>
    <row r="15" spans="1:10" ht="16.5">
      <c r="A15" s="1741" t="s">
        <v>1345</v>
      </c>
      <c r="B15" s="1748">
        <f>[1]系统读取表!$B$14</f>
        <v>31364.38000000031</v>
      </c>
      <c r="C15" s="1748">
        <f>[1]系统读取表!$C$14</f>
        <v>14756.35</v>
      </c>
      <c r="D15" s="1748">
        <f>[1]系统读取表!$D$14</f>
        <v>53780</v>
      </c>
      <c r="E15" s="1743">
        <f t="shared" ref="E15:E23" si="0">ROUND(D15*10000/B15,0)</f>
        <v>17147</v>
      </c>
      <c r="F15" s="1743">
        <f t="shared" ref="F15:F23" si="1">ROUND(D15*10000/C15,0)</f>
        <v>36445</v>
      </c>
      <c r="G15" s="1749">
        <f>D15</f>
        <v>53780</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118" sqref="H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2119</v>
      </c>
      <c r="B1" s="2422"/>
      <c r="C1" s="2423"/>
      <c r="D1" s="2422"/>
      <c r="E1" s="2422"/>
      <c r="F1" s="2424" t="s">
        <v>2120</v>
      </c>
      <c r="G1" s="2073" t="s">
        <v>2121</v>
      </c>
      <c r="H1" s="2425" t="str">
        <f>IF(G1="现房","——","估价对象范围")</f>
        <v>估价对象范围</v>
      </c>
      <c r="I1" s="2426"/>
    </row>
    <row r="2" spans="1:12" ht="21.75" customHeight="1" thickBot="1">
      <c r="A2" s="3141" t="str">
        <f>项目基本情况!S2</f>
        <v>出让国有建设用地使用权及在建建筑物房地产</v>
      </c>
      <c r="B2" s="3142"/>
      <c r="C2" s="3142"/>
      <c r="D2" s="3142"/>
      <c r="E2" s="3142"/>
      <c r="F2" s="3142"/>
      <c r="G2" s="3142"/>
      <c r="H2" s="3142"/>
      <c r="I2" s="3143"/>
    </row>
    <row r="3" spans="1:12" ht="12.75">
      <c r="A3" s="3144" t="s">
        <v>2122</v>
      </c>
      <c r="B3" s="3145"/>
      <c r="C3" s="3145"/>
      <c r="D3" s="3145"/>
      <c r="E3" s="3145"/>
      <c r="F3" s="3145"/>
      <c r="G3" s="3145"/>
      <c r="H3" s="3145"/>
      <c r="I3" s="3145"/>
    </row>
    <row r="4" spans="1:12" ht="14.25">
      <c r="A4" s="2429" t="s">
        <v>2123</v>
      </c>
      <c r="B4" s="2430" t="s">
        <v>2124</v>
      </c>
      <c r="C4" s="2431" t="s">
        <v>3866</v>
      </c>
      <c r="D4" s="2431" t="s">
        <v>3867</v>
      </c>
      <c r="E4" s="3125" t="s">
        <v>2125</v>
      </c>
      <c r="F4" s="3138"/>
      <c r="G4" s="3138"/>
      <c r="H4" s="3138"/>
      <c r="I4" s="3126"/>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41">
        <v>25</v>
      </c>
      <c r="C5" s="3146"/>
      <c r="D5" s="3134"/>
      <c r="E5" s="140" t="s">
        <v>2127</v>
      </c>
      <c r="F5" s="2433"/>
      <c r="G5" s="2433"/>
      <c r="H5" s="2433"/>
      <c r="I5" s="1833"/>
    </row>
    <row r="6" spans="1:12" ht="12.75">
      <c r="A6" s="3116"/>
      <c r="B6" s="3041"/>
      <c r="C6" s="3148"/>
      <c r="D6" s="3134"/>
      <c r="E6" s="140" t="s">
        <v>2128</v>
      </c>
      <c r="F6" s="2433"/>
      <c r="G6" s="2433"/>
      <c r="H6" s="2433"/>
      <c r="I6" s="1833"/>
    </row>
    <row r="7" spans="1:12" ht="12.75">
      <c r="A7" s="3116"/>
      <c r="B7" s="3041"/>
      <c r="C7" s="3147"/>
      <c r="D7" s="3134"/>
      <c r="E7" s="140" t="s">
        <v>2129</v>
      </c>
      <c r="F7" s="2433"/>
      <c r="G7" s="2433"/>
      <c r="H7" s="2433"/>
      <c r="I7" s="1833"/>
    </row>
    <row r="8" spans="1:12" ht="12.75">
      <c r="A8" s="3116" t="s">
        <v>2130</v>
      </c>
      <c r="B8" s="3041">
        <v>15</v>
      </c>
      <c r="C8" s="3146"/>
      <c r="D8" s="3134"/>
      <c r="E8" s="140" t="s">
        <v>2131</v>
      </c>
      <c r="F8" s="2433"/>
      <c r="G8" s="2433"/>
      <c r="H8" s="2433"/>
      <c r="I8" s="1833"/>
    </row>
    <row r="9" spans="1:12" ht="12.75">
      <c r="A9" s="3116"/>
      <c r="B9" s="3041"/>
      <c r="C9" s="3147"/>
      <c r="D9" s="3134"/>
      <c r="E9" s="140" t="s">
        <v>2132</v>
      </c>
      <c r="F9" s="2433"/>
      <c r="G9" s="2433"/>
      <c r="H9" s="2433"/>
      <c r="I9" s="1833"/>
    </row>
    <row r="10" spans="1:12" ht="12.75">
      <c r="A10" s="3116" t="s">
        <v>2133</v>
      </c>
      <c r="B10" s="3041">
        <v>15</v>
      </c>
      <c r="C10" s="3146"/>
      <c r="D10" s="3134"/>
      <c r="E10" s="140" t="s">
        <v>2134</v>
      </c>
      <c r="F10" s="2433"/>
      <c r="G10" s="2433"/>
      <c r="H10" s="2433"/>
      <c r="I10" s="1833"/>
    </row>
    <row r="11" spans="1:12" ht="12.75">
      <c r="A11" s="3116"/>
      <c r="B11" s="3041"/>
      <c r="C11" s="3147"/>
      <c r="D11" s="3134"/>
      <c r="E11" s="140" t="s">
        <v>2135</v>
      </c>
      <c r="F11" s="2433"/>
      <c r="G11" s="2433"/>
      <c r="H11" s="2433"/>
      <c r="I11" s="1833"/>
    </row>
    <row r="12" spans="1:12" ht="12.75">
      <c r="A12" s="3116" t="s">
        <v>2136</v>
      </c>
      <c r="B12" s="3041">
        <v>15</v>
      </c>
      <c r="C12" s="3146"/>
      <c r="D12" s="3134"/>
      <c r="E12" s="140" t="s">
        <v>2137</v>
      </c>
      <c r="F12" s="2433"/>
      <c r="G12" s="2433"/>
      <c r="H12" s="2433"/>
      <c r="I12" s="1833"/>
    </row>
    <row r="13" spans="1:12" ht="12.75">
      <c r="A13" s="3116"/>
      <c r="B13" s="3041"/>
      <c r="C13" s="3147"/>
      <c r="D13" s="3134"/>
      <c r="E13" s="140" t="s">
        <v>2138</v>
      </c>
      <c r="F13" s="2433"/>
      <c r="G13" s="2433"/>
      <c r="H13" s="2433"/>
      <c r="I13" s="1833"/>
    </row>
    <row r="14" spans="1:12" ht="12.75">
      <c r="A14" s="3116" t="s">
        <v>2139</v>
      </c>
      <c r="B14" s="3041">
        <v>30</v>
      </c>
      <c r="C14" s="3146">
        <v>5</v>
      </c>
      <c r="D14" s="3134">
        <v>5</v>
      </c>
      <c r="E14" s="140" t="s">
        <v>2140</v>
      </c>
      <c r="F14" s="2433"/>
      <c r="G14" s="2433"/>
      <c r="H14" s="2433"/>
      <c r="I14" s="1833"/>
    </row>
    <row r="15" spans="1:12" ht="12.75">
      <c r="A15" s="3116"/>
      <c r="B15" s="3041"/>
      <c r="C15" s="3148"/>
      <c r="D15" s="3134"/>
      <c r="E15" s="140" t="s">
        <v>2141</v>
      </c>
      <c r="F15" s="2433"/>
      <c r="G15" s="2433"/>
      <c r="H15" s="2433"/>
      <c r="I15" s="1833"/>
    </row>
    <row r="16" spans="1:12" ht="12.75">
      <c r="A16" s="3116"/>
      <c r="B16" s="3041"/>
      <c r="C16" s="3147"/>
      <c r="D16" s="3134"/>
      <c r="E16" s="140" t="s">
        <v>2142</v>
      </c>
      <c r="F16" s="2433"/>
      <c r="G16" s="2433"/>
      <c r="H16" s="2433"/>
      <c r="I16" s="1833"/>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34338.32</v>
      </c>
      <c r="M18" s="2432">
        <f>IF(C1="",'数据-汇总表'!E3,SUMIF(项目类型,C1,'数据-汇总表'!E17:E26))</f>
        <v>34338.32</v>
      </c>
    </row>
    <row r="19" spans="1:35" ht="15">
      <c r="A19" s="2438" t="s">
        <v>2148</v>
      </c>
      <c r="B19" s="2439" t="s">
        <v>2149</v>
      </c>
      <c r="C19" s="143">
        <f ca="1">SUMIF(INDIRECT("'"&amp;C4&amp;"'"&amp;"!A:A"),结果表!B19,INDIRECT("'"&amp;C4&amp;"'"&amp;"!B:B"))</f>
        <v>52535</v>
      </c>
      <c r="D19" s="144">
        <f ca="1">SUMIF(INDIRECT("'"&amp;D4&amp;"'"&amp;"!A:A"),结果表!B19,INDIRECT("'"&amp;D4&amp;"'"&amp;"!B:B"))</f>
        <v>49073</v>
      </c>
      <c r="E19" s="2438" t="s">
        <v>2150</v>
      </c>
      <c r="F19" s="2439" t="s">
        <v>2149</v>
      </c>
      <c r="G19" s="145">
        <f ca="1">ROUND(C19*$C$18+D19*$D$18,0)</f>
        <v>50804</v>
      </c>
      <c r="H19" s="2440" t="s">
        <v>2151</v>
      </c>
      <c r="I19" s="138"/>
      <c r="K19" s="2432" t="s">
        <v>2152</v>
      </c>
      <c r="L19" s="2432">
        <f>IF(C1="",'数据-汇总表'!D3,SUMIF(项目类型,C1,'数据-汇总表'!D17:D26)+SUMIF(项目类型,C1,'数据-汇总表'!H17:H27))</f>
        <v>16074.03</v>
      </c>
      <c r="M19" s="2432">
        <f>IF(C1="",'数据-汇总表'!D3,SUMIF(项目类型,C1,'数据-汇总表'!D17:D26))</f>
        <v>16074.03</v>
      </c>
    </row>
    <row r="20" spans="1:35" ht="15">
      <c r="A20" s="2441"/>
      <c r="B20" s="1250" t="s">
        <v>2153</v>
      </c>
      <c r="C20" s="146">
        <f ca="1">SUMIF(INDIRECT("'"&amp;C4&amp;"'"&amp;"!A:A"),结果表!B20,INDIRECT("'"&amp;C4&amp;"'"&amp;"!B:B"))</f>
        <v>15299</v>
      </c>
      <c r="D20" s="147">
        <f ca="1">SUMIF(INDIRECT("'"&amp;D4&amp;"'"&amp;"!A:A"),结果表!B20,INDIRECT("'"&amp;D4&amp;"'"&amp;"!B:B"))</f>
        <v>14291</v>
      </c>
      <c r="E20" s="2441"/>
      <c r="F20" s="1250" t="s">
        <v>2153</v>
      </c>
      <c r="G20" s="148">
        <f ca="1">ROUND(C20*$C$18+D20*$D$18,0)</f>
        <v>14795</v>
      </c>
      <c r="H20" s="983" t="s">
        <v>2154</v>
      </c>
      <c r="I20" s="138"/>
    </row>
    <row r="21" spans="1:35" ht="15" customHeight="1" thickBot="1">
      <c r="A21" s="1003"/>
      <c r="B21" s="2442" t="s">
        <v>2155</v>
      </c>
      <c r="C21" s="789">
        <f ca="1">ROUND(C19*10000/L19,0)</f>
        <v>32683</v>
      </c>
      <c r="D21" s="790">
        <f ca="1">ROUND(D19*10000/L19,0)</f>
        <v>30529</v>
      </c>
      <c r="E21" s="1003"/>
      <c r="F21" s="2442" t="s">
        <v>2155</v>
      </c>
      <c r="G21" s="149">
        <f ca="1">ROUND(G19*10000/L19,0)</f>
        <v>31606</v>
      </c>
      <c r="H21" s="2443" t="s">
        <v>2154</v>
      </c>
      <c r="I21" s="138"/>
    </row>
    <row r="22" spans="1:35" ht="15" thickBot="1">
      <c r="A22" s="2284" t="s">
        <v>2156</v>
      </c>
      <c r="B22" s="2444"/>
      <c r="C22" s="2445"/>
      <c r="D22" s="791">
        <f ca="1">IF(C19&lt;D19,D19/C19-1,C19/D19-1)</f>
        <v>7.0547959162879703E-2</v>
      </c>
      <c r="E22" s="138"/>
      <c r="F22" s="138"/>
      <c r="G22" s="138"/>
      <c r="H22" s="138"/>
      <c r="I22" s="138"/>
    </row>
    <row r="23" spans="1:35" ht="13.5" thickBot="1">
      <c r="A23" s="2422"/>
      <c r="B23" s="2422"/>
      <c r="C23" s="2422"/>
      <c r="D23" s="2422"/>
      <c r="E23" s="138"/>
      <c r="F23" s="138"/>
      <c r="G23" s="138"/>
      <c r="H23" s="138"/>
      <c r="I23" s="138"/>
    </row>
    <row r="24" spans="1:35" ht="14.25">
      <c r="A24" s="3155" t="s">
        <v>2157</v>
      </c>
      <c r="B24" s="2439" t="s">
        <v>2149</v>
      </c>
      <c r="C24" s="145">
        <f>IF(B30=0,0,D30)</f>
        <v>0</v>
      </c>
      <c r="D24" s="2446"/>
      <c r="E24" s="138"/>
      <c r="F24" s="138"/>
      <c r="G24" s="138"/>
      <c r="H24" s="138"/>
      <c r="I24" s="138"/>
    </row>
    <row r="25" spans="1:35" ht="14.25">
      <c r="A25" s="3156"/>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29" t="s">
        <v>3038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50804</v>
      </c>
      <c r="D32" s="2453" t="s">
        <v>2164</v>
      </c>
      <c r="E32" s="138"/>
      <c r="F32" s="138"/>
      <c r="G32" s="138"/>
      <c r="H32" s="138"/>
      <c r="I32" s="138"/>
    </row>
    <row r="33" spans="1:15" ht="15">
      <c r="A33" s="960" t="s">
        <v>2165</v>
      </c>
      <c r="B33" s="2454"/>
      <c r="C33" s="2455" t="s">
        <v>4019</v>
      </c>
      <c r="D33" s="2456" t="s">
        <v>3866</v>
      </c>
      <c r="E33" s="2457" t="s">
        <v>2166</v>
      </c>
      <c r="F33" s="2458" t="str">
        <f>IF(D32="楼面单价","取值（单价）","取值（总价）")</f>
        <v>取值（总价）</v>
      </c>
      <c r="G33" s="138"/>
      <c r="H33" s="138"/>
      <c r="I33" s="138"/>
    </row>
    <row r="34" spans="1:15" ht="15">
      <c r="A34" s="2459"/>
      <c r="B34" s="2460" t="s">
        <v>2167</v>
      </c>
      <c r="C34" s="157">
        <f ca="1">IF(C33="自定义",F34,C32-C35)</f>
        <v>27333</v>
      </c>
      <c r="D34" s="1058">
        <f ca="1">IF(C33="自定义",ROUND(C34/C32,3),IF(C33="收益比率",SUMIF(INDIRECT("'"&amp;D33&amp;"'"&amp;"!b:b"),"土地收益比率",INDIRECT("'"&amp;D33&amp;"'"&amp;"!c:c")),SUMIF(INDIRECT("'"&amp;D33&amp;"'"&amp;"!b:b"),"土地成本比率",INDIRECT("'"&amp;D33&amp;"'"&amp;"!c:c"))))</f>
        <v>0.53800000000000003</v>
      </c>
      <c r="E34" s="2461" t="s">
        <v>2168</v>
      </c>
      <c r="F34" s="1738"/>
      <c r="G34" s="138"/>
      <c r="H34" s="138"/>
      <c r="I34" s="138"/>
    </row>
    <row r="35" spans="1:15" ht="15.75" thickBot="1">
      <c r="A35" s="2462"/>
      <c r="B35" s="2463" t="s">
        <v>2169</v>
      </c>
      <c r="C35" s="1444">
        <f ca="1">IF(C33="自定义",F35,ROUND(C32*D35,0))</f>
        <v>23471</v>
      </c>
      <c r="D35" s="1445">
        <f ca="1">IF(C33="自定义",ROUND(C35/C32,3),IF(C33="收益比率",SUMIF(INDIRECT("'"&amp;D33&amp;"'"&amp;"!b:b"),"建筑物收益比率",INDIRECT("'"&amp;D33&amp;"'"&amp;"!c:c")),SUMIF(INDIRECT("'"&amp;D33&amp;"'"&amp;"!b:b"),"建筑物成本比率",INDIRECT("'"&amp;D33&amp;"'"&amp;"!c:c"))))</f>
        <v>0.46200000000000002</v>
      </c>
      <c r="E35" s="2464" t="s">
        <v>2170</v>
      </c>
      <c r="F35" s="163"/>
      <c r="G35" s="138"/>
      <c r="H35" s="138"/>
      <c r="I35" s="138"/>
    </row>
    <row r="36" spans="1:15" ht="15.75" thickBot="1">
      <c r="A36" s="3135" t="s">
        <v>2171</v>
      </c>
      <c r="B36" s="2465" t="s">
        <v>2172</v>
      </c>
      <c r="C36" s="154"/>
      <c r="D36" s="2466"/>
      <c r="E36" s="2467"/>
      <c r="F36" s="2468"/>
      <c r="G36" s="138"/>
      <c r="H36" s="138"/>
      <c r="I36" s="138"/>
    </row>
    <row r="37" spans="1:15" ht="15.75" thickBot="1">
      <c r="A37" s="3136"/>
      <c r="B37" s="2270" t="s">
        <v>2173</v>
      </c>
      <c r="C37" s="156"/>
      <c r="D37" s="1395"/>
      <c r="E37" s="1395"/>
      <c r="F37" s="2468"/>
      <c r="G37" s="138"/>
      <c r="H37" s="138"/>
      <c r="I37" s="138"/>
    </row>
    <row r="38" spans="1:15" ht="15.75" thickBot="1">
      <c r="A38" s="3137"/>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52" t="s">
        <v>2185</v>
      </c>
      <c r="B45" s="3153"/>
      <c r="C45" s="3154"/>
      <c r="D45" s="164">
        <f ca="1">ROUND(H101*F45,0)</f>
        <v>50804</v>
      </c>
      <c r="E45" s="165" t="s">
        <v>2186</v>
      </c>
      <c r="F45" s="166">
        <v>1</v>
      </c>
      <c r="G45" s="167" t="s">
        <v>2187</v>
      </c>
      <c r="H45" s="138"/>
      <c r="I45" s="138"/>
      <c r="J45" s="3071" t="s">
        <v>2188</v>
      </c>
      <c r="K45" s="3071"/>
      <c r="L45" s="3071"/>
      <c r="M45" s="3071"/>
      <c r="N45" s="3071"/>
      <c r="O45" s="3071"/>
    </row>
    <row r="46" spans="1:15" ht="14.25" customHeight="1">
      <c r="A46" s="3149" t="s">
        <v>2189</v>
      </c>
      <c r="B46" s="3150"/>
      <c r="C46" s="3150"/>
      <c r="D46" s="3150"/>
      <c r="E46" s="3150"/>
      <c r="F46" s="3150"/>
      <c r="G46" s="3151"/>
      <c r="H46" s="2484"/>
      <c r="I46" s="168"/>
      <c r="J46" s="1811">
        <v>1</v>
      </c>
      <c r="K46" s="3071" t="s">
        <v>2190</v>
      </c>
      <c r="L46" s="3071"/>
      <c r="M46" s="3072"/>
      <c r="N46" s="3072"/>
      <c r="O46" s="3072"/>
    </row>
    <row r="47" spans="1:15" ht="12" customHeight="1">
      <c r="A47" s="169" t="s">
        <v>2191</v>
      </c>
      <c r="B47" s="170"/>
      <c r="C47" s="171"/>
      <c r="D47" s="172" t="s">
        <v>2192</v>
      </c>
      <c r="E47" s="24" t="s">
        <v>2193</v>
      </c>
      <c r="F47" s="173" t="s">
        <v>2194</v>
      </c>
      <c r="G47" s="174" t="s">
        <v>2195</v>
      </c>
      <c r="H47" s="2484"/>
      <c r="I47" s="168"/>
      <c r="J47" s="1811">
        <v>2</v>
      </c>
      <c r="K47" s="3071" t="s">
        <v>2196</v>
      </c>
      <c r="L47" s="3071"/>
      <c r="M47" s="3073">
        <f>'数据-取费表'!B2</f>
        <v>43689</v>
      </c>
      <c r="N47" s="3073"/>
      <c r="O47" s="3073"/>
    </row>
    <row r="48" spans="1:15" ht="25.5">
      <c r="A48" s="3139" t="s">
        <v>2197</v>
      </c>
      <c r="B48" s="3140"/>
      <c r="C48" s="3140"/>
      <c r="D48" s="140">
        <f>IF(H48="情况1",0,IF(H48="情况2",D52,IF(H48="情况3",D53,IF(H48="情况4",D54))))</f>
        <v>0</v>
      </c>
      <c r="E48" s="1800" t="str">
        <f>IF(H48="情况4","(销售额-原购置价)×税（费）率","销售额×税（费）率")</f>
        <v>销售额×税（费）率</v>
      </c>
      <c r="F48" s="175" t="str">
        <f>IF(H48="情况1","免征",'数据-取费表'!B41)</f>
        <v>免征</v>
      </c>
      <c r="G48" s="2485" t="s">
        <v>2198</v>
      </c>
      <c r="H48" s="2486" t="s">
        <v>2199</v>
      </c>
      <c r="I48" s="2484"/>
      <c r="J48" s="1811">
        <v>3</v>
      </c>
      <c r="K48" s="3071" t="s">
        <v>2200</v>
      </c>
      <c r="L48" s="3071"/>
      <c r="M48" s="3074">
        <f ca="1">H101</f>
        <v>50804</v>
      </c>
      <c r="N48" s="3074"/>
      <c r="O48" s="3074"/>
    </row>
    <row r="49" spans="1:35" ht="25.5" customHeight="1">
      <c r="A49" s="176" t="s">
        <v>2201</v>
      </c>
      <c r="B49" s="3119" t="s">
        <v>2202</v>
      </c>
      <c r="C49" s="3119"/>
      <c r="D49" s="177">
        <v>0</v>
      </c>
      <c r="E49" s="23" t="s">
        <v>2203</v>
      </c>
      <c r="F49" s="28" t="s">
        <v>34</v>
      </c>
      <c r="G49" s="3100"/>
      <c r="H49" s="138"/>
      <c r="I49" s="2487"/>
      <c r="J49" s="1811">
        <v>4</v>
      </c>
      <c r="K49" s="3071" t="str">
        <f>IF(项目基本情况!E8="房地产抵押价值","房地产抵押价值","抵押担保权已注销时的房地产抵押价值")</f>
        <v>抵押担保权已注销时的房地产抵押价值</v>
      </c>
      <c r="L49" s="3071"/>
      <c r="M49" s="3074" t="str">
        <f>IF(项目基本情况!E8="房地产抵押价值",H107,H109)</f>
        <v>——</v>
      </c>
      <c r="N49" s="3074"/>
      <c r="O49" s="3074"/>
    </row>
    <row r="50" spans="1:35" ht="25.5" customHeight="1">
      <c r="A50" s="178"/>
      <c r="B50" s="3119" t="s">
        <v>2204</v>
      </c>
      <c r="C50" s="3119"/>
      <c r="D50" s="179"/>
      <c r="E50" s="31"/>
      <c r="F50" s="180"/>
      <c r="G50" s="3101"/>
      <c r="H50" s="138"/>
      <c r="I50" s="2487"/>
      <c r="J50" s="3071" t="s">
        <v>2205</v>
      </c>
      <c r="K50" s="3071"/>
      <c r="L50" s="3071"/>
      <c r="M50" s="3071"/>
      <c r="N50" s="3071"/>
      <c r="O50" s="3071"/>
    </row>
    <row r="51" spans="1:35" ht="12" customHeight="1">
      <c r="A51" s="181"/>
      <c r="B51" s="3119" t="s">
        <v>2206</v>
      </c>
      <c r="C51" s="3119"/>
      <c r="D51" s="182"/>
      <c r="E51" s="30"/>
      <c r="F51" s="180"/>
      <c r="G51" s="3102"/>
      <c r="H51" s="138"/>
      <c r="I51" s="2487"/>
      <c r="J51" s="2488" t="s">
        <v>2207</v>
      </c>
      <c r="K51" s="3071" t="s">
        <v>2208</v>
      </c>
      <c r="L51" s="3071"/>
      <c r="M51" s="2488" t="s">
        <v>2209</v>
      </c>
      <c r="N51" s="2488" t="s">
        <v>2210</v>
      </c>
      <c r="O51" s="2488" t="s">
        <v>2211</v>
      </c>
    </row>
    <row r="52" spans="1:35" ht="24" customHeight="1">
      <c r="A52" s="183" t="s">
        <v>2212</v>
      </c>
      <c r="B52" s="3119" t="s">
        <v>2213</v>
      </c>
      <c r="C52" s="3119"/>
      <c r="D52" s="182">
        <f ca="1">ROUND(D45*'数据-取费表'!B41/(1+'数据-取费表'!C42),0)</f>
        <v>2710</v>
      </c>
      <c r="E52" s="11" t="s">
        <v>2214</v>
      </c>
      <c r="F52" s="184">
        <f>'数据-取费表'!B41</f>
        <v>5.6000000000000001E-2</v>
      </c>
      <c r="G52" s="2489"/>
      <c r="H52" s="138"/>
      <c r="I52" s="2487"/>
      <c r="J52" s="1811">
        <v>1</v>
      </c>
      <c r="K52" s="3094" t="s">
        <v>2215</v>
      </c>
      <c r="L52" s="3094"/>
      <c r="M52" s="1753">
        <f>D48</f>
        <v>0</v>
      </c>
      <c r="N52" s="1811" t="str">
        <f>E48</f>
        <v>销售额×税（费）率</v>
      </c>
      <c r="O52" s="1754" t="str">
        <f>F48</f>
        <v>免征</v>
      </c>
    </row>
    <row r="53" spans="1:35" ht="12" customHeight="1">
      <c r="A53" s="183" t="s">
        <v>2216</v>
      </c>
      <c r="B53" s="3120" t="s">
        <v>2217</v>
      </c>
      <c r="C53" s="3121"/>
      <c r="D53" s="182">
        <f ca="1">ROUND(D45*'数据-取费表'!B41/(1+'数据-取费表'!C42),0)</f>
        <v>2710</v>
      </c>
      <c r="E53" s="11" t="s">
        <v>2214</v>
      </c>
      <c r="F53" s="184">
        <f>'数据-取费表'!B41</f>
        <v>5.6000000000000001E-2</v>
      </c>
      <c r="G53" s="2489"/>
      <c r="H53" s="138"/>
      <c r="I53" s="2487"/>
      <c r="J53" s="1811">
        <v>2</v>
      </c>
      <c r="K53" s="3094" t="s">
        <v>2218</v>
      </c>
      <c r="L53" s="3094"/>
      <c r="M53" s="1753">
        <f t="shared" ref="M53:O54" ca="1" si="0">D55</f>
        <v>25</v>
      </c>
      <c r="N53" s="1811" t="str">
        <f t="shared" si="0"/>
        <v>销售额×税（费）率</v>
      </c>
      <c r="O53" s="1754">
        <f t="shared" si="0"/>
        <v>5.0000000000000001E-4</v>
      </c>
    </row>
    <row r="54" spans="1:35" ht="12" customHeight="1">
      <c r="A54" s="183" t="s">
        <v>2219</v>
      </c>
      <c r="B54" s="3120" t="s">
        <v>2220</v>
      </c>
      <c r="C54" s="3121"/>
      <c r="D54" s="182">
        <f ca="1">C68</f>
        <v>2710</v>
      </c>
      <c r="E54" s="30" t="s">
        <v>2221</v>
      </c>
      <c r="F54" s="184">
        <f>'数据-取费表'!B41</f>
        <v>5.6000000000000001E-2</v>
      </c>
      <c r="G54" s="2489"/>
      <c r="H54" s="2490"/>
      <c r="I54" s="2487"/>
      <c r="J54" s="1811">
        <v>3</v>
      </c>
      <c r="K54" s="3094" t="s">
        <v>2222</v>
      </c>
      <c r="L54" s="3094"/>
      <c r="M54" s="1753">
        <f t="shared" ca="1" si="0"/>
        <v>28756</v>
      </c>
      <c r="N54" s="1811" t="str">
        <f t="shared" si="0"/>
        <v>增值额×税（费）率</v>
      </c>
      <c r="O54" s="1755" t="str">
        <f t="shared" si="0"/>
        <v>——</v>
      </c>
    </row>
    <row r="55" spans="1:35" ht="24" customHeight="1">
      <c r="A55" s="3158" t="s">
        <v>2223</v>
      </c>
      <c r="B55" s="3140"/>
      <c r="C55" s="3140"/>
      <c r="D55" s="185">
        <f ca="1">IF(H55="个人住宅",0,ROUND(D45*I55,0))</f>
        <v>25</v>
      </c>
      <c r="E55" s="11" t="s">
        <v>2224</v>
      </c>
      <c r="F55" s="184">
        <f>IF(H55="正常",I55,"免征")</f>
        <v>5.0000000000000001E-4</v>
      </c>
      <c r="G55" s="2489"/>
      <c r="H55" s="2486" t="s">
        <v>2225</v>
      </c>
      <c r="I55" s="186">
        <f>'数据-取费表'!B49</f>
        <v>5.0000000000000001E-4</v>
      </c>
      <c r="J55" s="1811" t="str">
        <f>IF(H59="非个人房产","",4)</f>
        <v/>
      </c>
      <c r="K55" s="3094" t="str">
        <f>IF(H59="非个人房产","——","个人所得税")</f>
        <v>——</v>
      </c>
      <c r="L55" s="3094"/>
      <c r="M55" s="1756" t="str">
        <f>D59</f>
        <v>——</v>
      </c>
      <c r="N55" s="1809" t="str">
        <f>E59</f>
        <v>——</v>
      </c>
      <c r="O55" s="1757" t="str">
        <f>F59</f>
        <v>——</v>
      </c>
    </row>
    <row r="56" spans="1:35" ht="24.75">
      <c r="A56" s="3158" t="s">
        <v>2226</v>
      </c>
      <c r="B56" s="3140"/>
      <c r="C56" s="3140"/>
      <c r="D56" s="185">
        <f ca="1">IF(H56="个人住宅",D57,D58)</f>
        <v>28756</v>
      </c>
      <c r="E56" s="11" t="s">
        <v>2227</v>
      </c>
      <c r="F56" s="184" t="str">
        <f>IF(H56="正常",F58,"免征")</f>
        <v>——</v>
      </c>
      <c r="G56" s="2491" t="s">
        <v>2228</v>
      </c>
      <c r="H56" s="2492" t="s">
        <v>2225</v>
      </c>
      <c r="I56" s="2493"/>
      <c r="J56" s="1811" t="str">
        <f>IF(项目基本情况!K6="上海银行",IF(J55="",4,J55+1),"")</f>
        <v/>
      </c>
      <c r="K56" s="3077" t="str">
        <f>IF(项目基本情况!K6="上海银行","其他处置费用","")</f>
        <v/>
      </c>
      <c r="L56" s="3078"/>
      <c r="M56" s="1753" t="str">
        <f>IF(项目基本情况!K6="上海银行",M69,"")</f>
        <v/>
      </c>
      <c r="N56" s="3080" t="str">
        <f>IF(项目基本情况!K6="上海银行","包含处置中涉及的律师、诉讼、拍卖、评估等费用","")</f>
        <v/>
      </c>
      <c r="O56" s="3081"/>
    </row>
    <row r="57" spans="1:35" ht="12.75">
      <c r="A57" s="183" t="s">
        <v>2201</v>
      </c>
      <c r="B57" s="3125" t="s">
        <v>2229</v>
      </c>
      <c r="C57" s="3126"/>
      <c r="D57" s="187">
        <v>0</v>
      </c>
      <c r="E57" s="23" t="s">
        <v>2203</v>
      </c>
      <c r="F57" s="155"/>
      <c r="G57" s="2489"/>
      <c r="H57" s="2493"/>
      <c r="I57" s="2493"/>
      <c r="J57" s="3094">
        <f>IF(AND(J55="",J56=""),4,IF(项目基本情况!K6="上海银行",结果表!J56+1,结果表!J55+1))</f>
        <v>4</v>
      </c>
      <c r="K57" s="3094" t="s">
        <v>2230</v>
      </c>
      <c r="L57" s="2494" t="s">
        <v>2231</v>
      </c>
      <c r="M57" s="1758"/>
      <c r="N57" s="1759">
        <f ca="1">SUMIF(M52:M56,"&lt;9e307")</f>
        <v>28781</v>
      </c>
      <c r="O57" s="2495"/>
      <c r="P57" s="1752" t="e">
        <f ca="1">N57/M49</f>
        <v>#VALUE!</v>
      </c>
    </row>
    <row r="58" spans="1:35" ht="24.75">
      <c r="A58" s="183" t="s">
        <v>2212</v>
      </c>
      <c r="B58" s="3125" t="s">
        <v>2232</v>
      </c>
      <c r="C58" s="3138"/>
      <c r="D58" s="185">
        <f ca="1">IF(H58="转让取得",C81,C97)</f>
        <v>28756</v>
      </c>
      <c r="E58" s="11" t="s">
        <v>2227</v>
      </c>
      <c r="F58" s="24" t="s">
        <v>34</v>
      </c>
      <c r="G58" s="2489"/>
      <c r="H58" s="2492" t="s">
        <v>2233</v>
      </c>
      <c r="I58" s="2493"/>
      <c r="J58" s="3094"/>
      <c r="K58" s="3094"/>
      <c r="L58" s="2494" t="s">
        <v>2234</v>
      </c>
      <c r="M58" s="1760"/>
      <c r="N58" s="2496" t="str">
        <f ca="1">NUMBERSTRING(INT(N57*10000),2)&amp;"元整"</f>
        <v>贰亿捌仟柒佰捌拾壹万元整</v>
      </c>
      <c r="O58" s="2497"/>
    </row>
    <row r="59" spans="1:35" ht="24.75" thickBot="1">
      <c r="A59" s="3098" t="s">
        <v>2235</v>
      </c>
      <c r="B59" s="3099"/>
      <c r="C59" s="3099"/>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096">
        <f>J57+1</f>
        <v>5</v>
      </c>
      <c r="K59" s="3094" t="s">
        <v>2237</v>
      </c>
      <c r="L59" s="1811" t="s">
        <v>2231</v>
      </c>
      <c r="M59" s="1761"/>
      <c r="N59" s="1762" t="e">
        <f ca="1">M49-N57</f>
        <v>#VALUE!</v>
      </c>
      <c r="O59" s="2499"/>
    </row>
    <row r="60" spans="1:35" ht="12" customHeight="1">
      <c r="A60" s="2500"/>
      <c r="B60" s="2422"/>
      <c r="C60" s="2422"/>
      <c r="D60" s="2422"/>
      <c r="E60" s="2169"/>
      <c r="F60" s="2493"/>
      <c r="G60" s="2493"/>
      <c r="H60" s="2501"/>
      <c r="I60" s="138"/>
      <c r="J60" s="3097"/>
      <c r="K60" s="3094"/>
      <c r="L60" s="2494" t="s">
        <v>2234</v>
      </c>
      <c r="M60" s="1760"/>
      <c r="N60" s="2496" t="e">
        <f ca="1">NUMBERSTRING(INT(N59*10000),2)&amp;"元整"</f>
        <v>#VALUE!</v>
      </c>
      <c r="O60" s="2497"/>
    </row>
    <row r="61" spans="1:35" ht="13.5" thickBot="1">
      <c r="A61" s="3157" t="s">
        <v>2238</v>
      </c>
      <c r="B61" s="3157"/>
      <c r="C61" s="3157"/>
      <c r="D61" s="3157"/>
      <c r="E61" s="3157"/>
      <c r="F61" s="2493"/>
      <c r="G61" s="2493"/>
      <c r="H61" s="2501"/>
      <c r="I61" s="138"/>
      <c r="J61" s="1811">
        <f>J59+1</f>
        <v>6</v>
      </c>
      <c r="K61" s="3094" t="s">
        <v>2239</v>
      </c>
      <c r="L61" s="3094"/>
      <c r="M61" s="1763"/>
      <c r="N61" s="1764" t="e">
        <f ca="1">ROUND(N59*10000/'数据-汇总表'!E3,0)</f>
        <v>#VALUE!</v>
      </c>
      <c r="O61" s="2502"/>
    </row>
    <row r="62" spans="1:35" ht="12.75">
      <c r="A62" s="3114" t="s">
        <v>2240</v>
      </c>
      <c r="B62" s="3115"/>
      <c r="C62" s="1803"/>
      <c r="D62" s="1803" t="s">
        <v>2241</v>
      </c>
      <c r="E62" s="192" t="s">
        <v>2242</v>
      </c>
      <c r="F62" s="2493"/>
      <c r="G62" s="2493"/>
      <c r="H62" s="2501"/>
      <c r="I62" s="138"/>
    </row>
    <row r="63" spans="1:35" ht="12.75">
      <c r="A63" s="203" t="s">
        <v>775</v>
      </c>
      <c r="B63" s="193" t="s">
        <v>2243</v>
      </c>
      <c r="C63" s="194">
        <f ca="1">ROUND((C64+C65)/(1+'数据-取费表'!C42),0)</f>
        <v>48385</v>
      </c>
      <c r="D63" s="195"/>
      <c r="E63" s="196"/>
      <c r="F63" s="2493"/>
      <c r="G63" s="2493"/>
      <c r="H63" s="2501"/>
      <c r="I63" s="138"/>
      <c r="J63" s="3079" t="s">
        <v>2244</v>
      </c>
      <c r="K63" s="2503" t="s">
        <v>2245</v>
      </c>
      <c r="L63" s="1751" t="e">
        <f>IF(M49&gt;10000,M49*0.5%,IF(AND(M49&gt;1000,M49&lt;=10000),M49*1%,IF(AND(M49&gt;100,M49&lt;=1000),M49*3%,IF(AND(M49&gt;10,M49&lt;=100),M49*5%,M49*8%))))</f>
        <v>#VALUE!</v>
      </c>
      <c r="M63" s="24" t="e">
        <f>ROUND(L63,1)</f>
        <v>#VALUE!</v>
      </c>
      <c r="Z63" s="2427"/>
      <c r="AI63" s="2428"/>
    </row>
    <row r="64" spans="1:35" ht="14.25" customHeight="1">
      <c r="A64" s="197" t="s">
        <v>770</v>
      </c>
      <c r="B64" s="198" t="s">
        <v>2246</v>
      </c>
      <c r="C64" s="199">
        <f ca="1">D45</f>
        <v>50804</v>
      </c>
      <c r="D64" s="200" t="s">
        <v>32</v>
      </c>
      <c r="E64" s="201"/>
      <c r="F64" s="2493"/>
      <c r="G64" s="2493"/>
      <c r="H64" s="2501"/>
      <c r="I64" s="138"/>
      <c r="J64" s="3079"/>
      <c r="K64" s="2503" t="s">
        <v>2247</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7"/>
      <c r="AI64" s="2428"/>
    </row>
    <row r="65" spans="1:35" ht="14.25" customHeight="1">
      <c r="A65" s="197" t="s">
        <v>771</v>
      </c>
      <c r="B65" s="198" t="s">
        <v>2249</v>
      </c>
      <c r="C65" s="202"/>
      <c r="D65" s="200"/>
      <c r="E65" s="201"/>
      <c r="F65" s="2493"/>
      <c r="G65" s="2493"/>
      <c r="H65" s="2501"/>
      <c r="I65" s="138"/>
      <c r="J65" s="3079"/>
      <c r="K65" s="2503" t="s">
        <v>2250</v>
      </c>
      <c r="L65" s="1751" t="e">
        <f>IF(M49&gt;1000,M49*0.1%,IF(AND(M49&gt;500,M49&lt;=1000),M49*0.5%,IF(AND(M49&gt;50,M49&lt;=500),M49*1%,IF(AND(M49&gt;1,M49&lt;=50),M49*1.5%))))</f>
        <v>#VALUE!</v>
      </c>
      <c r="M65" s="24" t="e">
        <f t="shared" si="1"/>
        <v>#VALUE!</v>
      </c>
      <c r="N65" s="138" t="s">
        <v>2248</v>
      </c>
      <c r="Z65" s="2427"/>
      <c r="AI65" s="2428"/>
    </row>
    <row r="66" spans="1:35" ht="14.25" customHeight="1">
      <c r="A66" s="203" t="s">
        <v>772</v>
      </c>
      <c r="B66" s="204" t="s">
        <v>2251</v>
      </c>
      <c r="C66" s="205"/>
      <c r="D66" s="206" t="s">
        <v>32</v>
      </c>
      <c r="E66" s="1775" t="s">
        <v>1367</v>
      </c>
      <c r="F66" s="2493"/>
      <c r="G66" s="2493"/>
      <c r="H66" s="2501"/>
      <c r="I66" s="138"/>
      <c r="J66" s="3079"/>
      <c r="K66" s="2503" t="s">
        <v>2252</v>
      </c>
      <c r="L66" s="1751" t="e">
        <f>M49*0.5%</f>
        <v>#VALUE!</v>
      </c>
      <c r="M66" s="24" t="e">
        <f>IF(L66&gt;0.5,0.5,ROUND(L66,0))</f>
        <v>#VALUE!</v>
      </c>
      <c r="N66" s="138" t="s">
        <v>2253</v>
      </c>
      <c r="Z66" s="2427"/>
      <c r="AI66" s="2428"/>
    </row>
    <row r="67" spans="1:35" ht="14.25" customHeight="1">
      <c r="A67" s="203" t="s">
        <v>773</v>
      </c>
      <c r="B67" s="204" t="s">
        <v>2254</v>
      </c>
      <c r="C67" s="207">
        <f ca="1">C63-C66</f>
        <v>48385</v>
      </c>
      <c r="D67" s="200" t="s">
        <v>32</v>
      </c>
      <c r="E67" s="201"/>
      <c r="F67" s="2493"/>
      <c r="G67" s="2493"/>
      <c r="H67" s="2501"/>
      <c r="I67" s="138"/>
      <c r="J67" s="3079"/>
      <c r="K67" s="2503" t="s">
        <v>2255</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2256</v>
      </c>
      <c r="C68" s="210">
        <f ca="1">IF(C67&lt;=0,0,ROUND(C67*D68,0))</f>
        <v>2710</v>
      </c>
      <c r="D68" s="211">
        <f>'数据-取费表'!B41</f>
        <v>5.6000000000000001E-2</v>
      </c>
      <c r="E68" s="212"/>
      <c r="F68" s="2493"/>
      <c r="G68" s="2493"/>
      <c r="H68" s="2501"/>
      <c r="I68" s="138"/>
      <c r="J68" s="3079"/>
      <c r="K68" s="2503" t="s">
        <v>2257</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079"/>
      <c r="K69" s="2503" t="s">
        <v>2258</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23" t="s">
        <v>2259</v>
      </c>
      <c r="B70" s="3124"/>
      <c r="C70" s="3124"/>
      <c r="D70" s="3124"/>
      <c r="E70" s="3124"/>
      <c r="F70" s="3124"/>
      <c r="G70" s="3124"/>
      <c r="H70" s="312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14" t="s">
        <v>2240</v>
      </c>
      <c r="B71" s="3115"/>
      <c r="C71" s="1803"/>
      <c r="D71" s="1803"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48385</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290</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120" t="s">
        <v>2268</v>
      </c>
      <c r="F76" s="3119"/>
      <c r="G76" s="3119"/>
      <c r="H76" s="312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7" t="s">
        <v>2271</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290</v>
      </c>
      <c r="D78" s="226">
        <f>'数据-取费表'!B43</f>
        <v>6.000000000000001E-3</v>
      </c>
      <c r="E78" s="3111" t="s">
        <v>2273</v>
      </c>
      <c r="F78" s="3112"/>
      <c r="G78" s="3112"/>
      <c r="H78" s="311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48095</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165.84482758620689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28756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23" t="s">
        <v>2277</v>
      </c>
      <c r="B83" s="3124"/>
      <c r="C83" s="3124"/>
      <c r="D83" s="3124"/>
      <c r="E83" s="3124"/>
      <c r="F83" s="3124"/>
      <c r="G83" s="3124"/>
      <c r="H83" s="312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14" t="s">
        <v>2240</v>
      </c>
      <c r="B84" s="3115"/>
      <c r="C84" s="1803"/>
      <c r="D84" s="1803"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48385</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290</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799"/>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4.0500000000000001E-2</v>
      </c>
      <c r="E89" s="237" t="s">
        <v>2282</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111" t="s">
        <v>2286</v>
      </c>
      <c r="F91" s="3112"/>
      <c r="G91" s="3112"/>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111" t="s">
        <v>2290</v>
      </c>
      <c r="F92" s="3112"/>
      <c r="G92" s="3112"/>
      <c r="H92" s="311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290</v>
      </c>
      <c r="D93" s="226">
        <f>'数据-取费表'!B43</f>
        <v>6.000000000000001E-3</v>
      </c>
      <c r="E93" s="3111" t="s">
        <v>2273</v>
      </c>
      <c r="F93" s="3112"/>
      <c r="G93" s="3112"/>
      <c r="H93" s="311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59" t="s">
        <v>2294</v>
      </c>
      <c r="F94" s="3160"/>
      <c r="G94" s="3160"/>
      <c r="H94" s="316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48095</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165.84482758620689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28756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63" t="s">
        <v>2296</v>
      </c>
      <c r="B100" s="3064"/>
      <c r="C100" s="3064"/>
      <c r="D100" s="3095"/>
      <c r="E100" s="3064" t="s">
        <v>2297</v>
      </c>
      <c r="F100" s="3064"/>
      <c r="G100" s="3064"/>
      <c r="H100" s="3095"/>
      <c r="I100" s="138"/>
    </row>
    <row r="101" spans="1:35" ht="18.75" customHeight="1">
      <c r="A101" s="3103" t="s">
        <v>2298</v>
      </c>
      <c r="B101" s="3104"/>
      <c r="C101" s="736" t="str">
        <f>C4</f>
        <v>成本法</v>
      </c>
      <c r="D101" s="737" t="str">
        <f>D4</f>
        <v>假设开发法</v>
      </c>
      <c r="E101" s="3075" t="s">
        <v>2299</v>
      </c>
      <c r="F101" s="3076"/>
      <c r="G101" s="2524" t="s">
        <v>2300</v>
      </c>
      <c r="H101" s="1048">
        <f ca="1">H118</f>
        <v>50804</v>
      </c>
      <c r="I101" s="138"/>
    </row>
    <row r="102" spans="1:35" ht="18.75" customHeight="1">
      <c r="A102" s="3105" t="s">
        <v>2301</v>
      </c>
      <c r="B102" s="2524" t="s">
        <v>2300</v>
      </c>
      <c r="C102" s="736">
        <f ca="1">C19</f>
        <v>52535</v>
      </c>
      <c r="D102" s="737">
        <f ca="1">D19</f>
        <v>49073</v>
      </c>
      <c r="E102" s="3075"/>
      <c r="F102" s="3076"/>
      <c r="G102" s="2524" t="s">
        <v>2302</v>
      </c>
      <c r="H102" s="371">
        <f ca="1">I118</f>
        <v>14795</v>
      </c>
      <c r="I102" s="138"/>
    </row>
    <row r="103" spans="1:35" ht="42.75" customHeight="1">
      <c r="A103" s="3105"/>
      <c r="B103" s="2524" t="s">
        <v>2302</v>
      </c>
      <c r="C103" s="738">
        <f ca="1">C20</f>
        <v>15299</v>
      </c>
      <c r="D103" s="739">
        <f ca="1">D20</f>
        <v>14291</v>
      </c>
      <c r="E103" s="3069" t="s">
        <v>2303</v>
      </c>
      <c r="F103" s="3070"/>
      <c r="G103" s="2525" t="s">
        <v>2304</v>
      </c>
      <c r="H103" s="1048">
        <f>IF(D36="正常操作",H104+H105+H106,H105+H106)</f>
        <v>0</v>
      </c>
      <c r="I103" s="138"/>
    </row>
    <row r="104" spans="1:35" ht="18.75" customHeight="1">
      <c r="A104" s="3105" t="s">
        <v>2305</v>
      </c>
      <c r="B104" s="2526" t="s">
        <v>2300</v>
      </c>
      <c r="C104" s="740">
        <f ca="1">H118</f>
        <v>50804</v>
      </c>
      <c r="D104" s="741"/>
      <c r="E104" s="2270" t="s">
        <v>2306</v>
      </c>
      <c r="F104" s="2261"/>
      <c r="G104" s="2525" t="s">
        <v>2304</v>
      </c>
      <c r="H104" s="1049">
        <f>IF(D36="同一抵押权人同一抵押物续贷",C36&amp;"（未扣减，详见特别提示）",C36)</f>
        <v>0</v>
      </c>
      <c r="I104" s="138"/>
    </row>
    <row r="105" spans="1:35" ht="18.75" customHeight="1" thickBot="1">
      <c r="A105" s="3117"/>
      <c r="B105" s="2527" t="s">
        <v>2302</v>
      </c>
      <c r="C105" s="742">
        <f ca="1">I118</f>
        <v>14795</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106" t="str">
        <f>IF(项目基本情况!E8="已注销","——","3.房地产抵押价值")</f>
        <v>3.房地产抵押价值</v>
      </c>
      <c r="F107" s="3076"/>
      <c r="G107" s="2524" t="s">
        <v>2300</v>
      </c>
      <c r="H107" s="1048">
        <f ca="1">IF(E107="——","——",H101-H103)</f>
        <v>50804</v>
      </c>
      <c r="I107" s="138"/>
    </row>
    <row r="108" spans="1:35" ht="18.75" customHeight="1">
      <c r="A108" s="138"/>
      <c r="B108" s="138"/>
      <c r="C108" s="138"/>
      <c r="D108" s="138"/>
      <c r="E108" s="3106"/>
      <c r="F108" s="3076"/>
      <c r="G108" s="2524" t="s">
        <v>2302</v>
      </c>
      <c r="H108" s="371">
        <f ca="1">ROUND(H107*10000/'数据-汇总表'!E3,0)</f>
        <v>14795</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4" t="s">
        <v>2300</v>
      </c>
      <c r="H109" s="348" t="str">
        <f>IF(E109="——","——",H101-H105-H106)</f>
        <v>——</v>
      </c>
      <c r="I109" s="138"/>
    </row>
    <row r="110" spans="1:35" ht="18.75" customHeight="1">
      <c r="A110" s="138"/>
      <c r="B110" s="138"/>
      <c r="C110" s="138"/>
      <c r="D110" s="138"/>
      <c r="E110" s="3106"/>
      <c r="F110" s="3076"/>
      <c r="G110" s="2524" t="s">
        <v>2302</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4" t="s">
        <v>2300</v>
      </c>
      <c r="H111" s="1048" t="str">
        <f>IF(E111="——","——",N59)</f>
        <v>——</v>
      </c>
      <c r="I111" s="138"/>
    </row>
    <row r="112" spans="1:35" ht="18.75" customHeight="1" thickBot="1">
      <c r="A112" s="138"/>
      <c r="B112" s="138"/>
      <c r="C112" s="138"/>
      <c r="D112" s="138"/>
      <c r="E112" s="3109"/>
      <c r="F112" s="3110"/>
      <c r="G112" s="2529" t="s">
        <v>2302</v>
      </c>
      <c r="H112" s="790" t="str">
        <f>IF(E111="——","——",N61)</f>
        <v>——</v>
      </c>
      <c r="I112" s="138"/>
    </row>
    <row r="113" spans="1:11" ht="18.75" customHeight="1">
      <c r="A113" s="138"/>
      <c r="B113" s="138"/>
      <c r="C113" s="138"/>
      <c r="D113" s="138"/>
      <c r="E113" s="3118" t="s">
        <v>2308</v>
      </c>
      <c r="F113" s="3118"/>
      <c r="G113" s="3118"/>
      <c r="H113" s="3118"/>
      <c r="I113" s="138"/>
    </row>
    <row r="114" spans="1:11" ht="3.75" customHeight="1">
      <c r="A114" s="2422"/>
      <c r="B114" s="2422"/>
      <c r="C114" s="2422"/>
      <c r="D114" s="2422"/>
      <c r="E114" s="2500"/>
      <c r="F114" s="2500"/>
      <c r="G114" s="2500"/>
      <c r="H114" s="2500"/>
      <c r="I114" s="2422"/>
    </row>
    <row r="115" spans="1:11" ht="18.75" customHeight="1">
      <c r="A115" s="3131" t="s">
        <v>2310</v>
      </c>
      <c r="B115" s="3132"/>
      <c r="C115" s="3132"/>
      <c r="D115" s="3132"/>
      <c r="E115" s="3132"/>
      <c r="F115" s="3132"/>
      <c r="G115" s="3132"/>
      <c r="H115" s="3132"/>
      <c r="I115" s="3133"/>
    </row>
    <row r="116" spans="1:11" ht="27" customHeight="1">
      <c r="A116" s="3041" t="s">
        <v>2311</v>
      </c>
      <c r="B116" s="3085" t="s">
        <v>2312</v>
      </c>
      <c r="C116" s="3085" t="s">
        <v>2313</v>
      </c>
      <c r="D116" s="3091" t="s">
        <v>2314</v>
      </c>
      <c r="E116" s="3092"/>
      <c r="F116" s="3127" t="s">
        <v>2315</v>
      </c>
      <c r="G116" s="3127"/>
      <c r="H116" s="3041" t="s">
        <v>2316</v>
      </c>
      <c r="I116" s="3041"/>
    </row>
    <row r="117" spans="1:11" ht="18.75" customHeight="1">
      <c r="A117" s="3041"/>
      <c r="B117" s="3086"/>
      <c r="C117" s="3086"/>
      <c r="D117" s="1797" t="s">
        <v>2317</v>
      </c>
      <c r="E117" s="1797" t="s">
        <v>2318</v>
      </c>
      <c r="F117" s="1797" t="s">
        <v>2317</v>
      </c>
      <c r="G117" s="1797" t="s">
        <v>2319</v>
      </c>
      <c r="H117" s="1797" t="s">
        <v>2317</v>
      </c>
      <c r="I117" s="1797" t="s">
        <v>2319</v>
      </c>
    </row>
    <row r="118" spans="1:11" ht="24.75" customHeight="1">
      <c r="A118" s="2530" t="str">
        <f>项目基本情况!S2</f>
        <v>出让国有建设用地使用权及在建建筑物房地产</v>
      </c>
      <c r="B118" s="1797">
        <f>M18</f>
        <v>34338.32</v>
      </c>
      <c r="C118" s="1797">
        <f>M19</f>
        <v>16074.03</v>
      </c>
      <c r="D118" s="1797">
        <f ca="1">ROUND(IF(D32="总价",C34,E118*B118/10000),0)</f>
        <v>27333</v>
      </c>
      <c r="E118" s="1797">
        <f ca="1">ROUND(IF(C33="自定义",IF(D32="楼面单价",C34,D118*10000/B118),I118-G118),0)</f>
        <v>7960</v>
      </c>
      <c r="F118" s="1797">
        <f ca="1">ROUND(IF(D32="总价",C35,G118*B118/10000),0)</f>
        <v>23471</v>
      </c>
      <c r="G118" s="1797">
        <f ca="1">ROUND(IF(D32="楼面单价",C35,F118*10000/B118),0)</f>
        <v>6835</v>
      </c>
      <c r="H118" s="1797">
        <f ca="1">ROUND(IF(D32="总价",C32,I118*B118/10000),0)</f>
        <v>50804</v>
      </c>
      <c r="I118" s="1797">
        <f ca="1">ROUND(IF(D32="楼面单价",C32,H118*10000/B118),0)</f>
        <v>14795</v>
      </c>
    </row>
    <row r="119" spans="1:11" ht="18.75" customHeight="1">
      <c r="A119" s="3041" t="s">
        <v>2320</v>
      </c>
      <c r="B119" s="3041"/>
      <c r="C119" s="3041"/>
      <c r="D119" s="3087" t="str">
        <f ca="1">NUMBERSTRING(INT(D118*10000),2)&amp;"元整"</f>
        <v>贰亿柒仟叁佰叁拾叁万元整</v>
      </c>
      <c r="E119" s="3088"/>
      <c r="F119" s="3087" t="str">
        <f ca="1">NUMBERSTRING(INT(F118*10000),2)&amp;"元整"</f>
        <v>贰亿叁仟肆佰柒拾壹万元整</v>
      </c>
      <c r="G119" s="3088"/>
      <c r="H119" s="3087" t="str">
        <f ca="1">NUMBERSTRING(INT(H118*10000),2)&amp;"元整"</f>
        <v>伍亿零捌佰零肆万元整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7" t="str">
        <f>IF(D120=0,"故，本次评估不存在"&amp;A120,"故，本次评估"&amp;A120&amp;"为人民币"&amp;D120&amp;"万元整。")</f>
        <v>故，本次评估不存在估价师知悉的法定优先受偿款</v>
      </c>
    </row>
    <row r="121" spans="1:11" ht="18.75" customHeight="1">
      <c r="A121" s="3128" t="s">
        <v>2320</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50804</v>
      </c>
      <c r="E122" s="3083"/>
      <c r="F122" s="3083"/>
      <c r="G122" s="3083"/>
      <c r="H122" s="3083"/>
      <c r="I122" s="3084"/>
    </row>
    <row r="123" spans="1:11" ht="18.75" customHeight="1">
      <c r="A123" s="3041" t="s">
        <v>2320</v>
      </c>
      <c r="B123" s="3041"/>
      <c r="C123" s="3041"/>
      <c r="D123" s="3087" t="str">
        <f ca="1">NUMBERSTRING(INT(D122*10000),2)&amp;"元整"</f>
        <v>伍亿零捌佰零肆万元整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1" t="s">
        <v>2320</v>
      </c>
      <c r="B125" s="3041"/>
      <c r="C125" s="3041"/>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1" t="s">
        <v>2320</v>
      </c>
      <c r="B127" s="3041"/>
      <c r="C127" s="3041"/>
      <c r="D127" s="3087" t="e">
        <f>NUMBERSTRING(INT(D126*10000),2)&amp;"元整"</f>
        <v>#VALUE!</v>
      </c>
      <c r="E127" s="3089"/>
      <c r="F127" s="3089"/>
      <c r="G127" s="3089"/>
      <c r="H127" s="3089"/>
      <c r="I127" s="3088"/>
    </row>
    <row r="128" spans="1:11" ht="21.75" customHeight="1">
      <c r="A128" s="3090" t="s">
        <v>2321</v>
      </c>
      <c r="B128" s="3090"/>
      <c r="C128" s="3090"/>
      <c r="D128" s="3090"/>
      <c r="E128" s="3090"/>
      <c r="F128" s="3090"/>
      <c r="G128" s="3090"/>
      <c r="H128" s="3090"/>
      <c r="I128" s="3090"/>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出让国有建设用地使用权及在建建筑物预评估</v>
      </c>
      <c r="C37" s="2975"/>
      <c r="D37" s="2975"/>
      <c r="E37" s="2975"/>
      <c r="F37" s="2975"/>
      <c r="G37" s="2975"/>
      <c r="H37" s="2975"/>
      <c r="I37" s="2975"/>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52535</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15299</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16969</v>
      </c>
      <c r="D5" s="255" t="s">
        <v>2337</v>
      </c>
      <c r="E5" s="256" t="s">
        <v>2338</v>
      </c>
      <c r="F5" s="256" t="s">
        <v>2339</v>
      </c>
      <c r="G5" s="257"/>
    </row>
    <row r="6" spans="1:9" s="258" customFormat="1" ht="13.5" customHeight="1">
      <c r="A6" s="952" t="s">
        <v>2340</v>
      </c>
      <c r="B6" s="259" t="s">
        <v>2341</v>
      </c>
      <c r="C6" s="260">
        <f>'土地比较法-住宅、综合'!B2</f>
        <v>15583</v>
      </c>
      <c r="D6" s="261"/>
      <c r="E6" s="262"/>
      <c r="F6" s="262"/>
      <c r="G6" s="263"/>
    </row>
    <row r="7" spans="1:9" s="258" customFormat="1" ht="13.5" customHeight="1">
      <c r="A7" s="952" t="s">
        <v>2342</v>
      </c>
      <c r="B7" s="259" t="s">
        <v>2343</v>
      </c>
      <c r="C7" s="264">
        <f>ROUND(C6*F7,0)</f>
        <v>631</v>
      </c>
      <c r="D7" s="264"/>
      <c r="E7" s="262"/>
      <c r="F7" s="265">
        <f>'数据-取费表'!B48+'数据-取费表'!B49</f>
        <v>4.0500000000000001E-2</v>
      </c>
      <c r="G7" s="263"/>
    </row>
    <row r="8" spans="1:9" s="267" customFormat="1">
      <c r="A8" s="952" t="s">
        <v>2344</v>
      </c>
      <c r="B8" s="259" t="s">
        <v>2345</v>
      </c>
      <c r="C8" s="264">
        <f ca="1">IF(G8="已包含在土地购买价格中","0",IF(B1="",'数据-取费表'!B29,IF(G9="全部缴纳",C9+C10,H9)))</f>
        <v>755</v>
      </c>
      <c r="D8" s="266"/>
      <c r="E8" s="264"/>
      <c r="F8" s="265"/>
      <c r="G8" s="2556" t="s">
        <v>3864</v>
      </c>
    </row>
    <row r="9" spans="1:9" s="258" customFormat="1" ht="13.5" customHeight="1">
      <c r="A9" s="953" t="s">
        <v>800</v>
      </c>
      <c r="B9" s="268" t="s">
        <v>2346</v>
      </c>
      <c r="C9" s="269">
        <f ca="1">ROUND(D9*E9/10000,0)</f>
        <v>755</v>
      </c>
      <c r="D9" s="1035">
        <f ca="1">IF(B1="",'数据-汇总表'!E5,IF(INDIRECT("'数据-取费表'!c"&amp;$G$1)="住宅",INDIRECT("'数据-取费表'!k"&amp;$G$1),0))</f>
        <v>34338.32</v>
      </c>
      <c r="E9" s="269">
        <f>'数据-取费表'!B27</f>
        <v>220</v>
      </c>
      <c r="F9" s="265"/>
      <c r="G9" s="2557"/>
      <c r="H9" s="1393"/>
      <c r="I9" s="2558"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8" s="258" customFormat="1" ht="13.5" hidden="1" customHeight="1">
      <c r="A17" s="271" t="s">
        <v>13</v>
      </c>
      <c r="B17" s="259" t="s">
        <v>2356</v>
      </c>
      <c r="C17" s="273"/>
      <c r="D17" s="1038"/>
      <c r="E17" s="273"/>
      <c r="F17" s="273"/>
      <c r="G17" s="263" t="s">
        <v>2355</v>
      </c>
    </row>
    <row r="18" spans="1:8" s="258" customFormat="1" ht="13.5" hidden="1" customHeight="1">
      <c r="A18" s="271" t="s">
        <v>14</v>
      </c>
      <c r="B18" s="259" t="s">
        <v>2357</v>
      </c>
      <c r="C18" s="264">
        <v>0</v>
      </c>
      <c r="D18" s="1037"/>
      <c r="E18" s="262"/>
      <c r="F18" s="265">
        <v>3.0499999999999999E-2</v>
      </c>
      <c r="G18" s="263" t="s">
        <v>2358</v>
      </c>
    </row>
    <row r="19" spans="1:8" s="267" customFormat="1" ht="13.5" customHeight="1">
      <c r="A19" s="299" t="s">
        <v>2359</v>
      </c>
      <c r="B19" s="254" t="s">
        <v>2360</v>
      </c>
      <c r="C19" s="255" t="str">
        <f>IF(G19="已包含在土地取得成本中","0",ROUND(D19*E19/10000,0))</f>
        <v>0</v>
      </c>
      <c r="D19" s="1039">
        <f ca="1">D9+D10</f>
        <v>34338.32</v>
      </c>
      <c r="E19" s="255">
        <f>'数据-取费表'!B31</f>
        <v>200</v>
      </c>
      <c r="F19" s="275"/>
      <c r="G19" s="2556" t="s">
        <v>3865</v>
      </c>
    </row>
    <row r="20" spans="1:8" s="258" customFormat="1" ht="13.5" customHeight="1">
      <c r="A20" s="299" t="s">
        <v>2361</v>
      </c>
      <c r="B20" s="254" t="s">
        <v>2362</v>
      </c>
      <c r="C20" s="276">
        <f ca="1">ROUND((C5+C19)*F20,0)</f>
        <v>509</v>
      </c>
      <c r="D20" s="276"/>
      <c r="E20" s="276"/>
      <c r="F20" s="277">
        <f>'数据-取费表'!B37</f>
        <v>0.03</v>
      </c>
      <c r="G20" s="278" t="s">
        <v>2363</v>
      </c>
    </row>
    <row r="21" spans="1:8" s="258" customFormat="1" ht="13.5" customHeight="1">
      <c r="A21" s="299" t="s">
        <v>2364</v>
      </c>
      <c r="B21" s="254" t="s">
        <v>2365</v>
      </c>
      <c r="C21" s="279">
        <f>F21</f>
        <v>0.03</v>
      </c>
      <c r="D21" s="280" t="s">
        <v>2366</v>
      </c>
      <c r="E21" s="276"/>
      <c r="F21" s="277">
        <f>'数据-取费表'!B38</f>
        <v>0.03</v>
      </c>
      <c r="G21" s="278" t="s">
        <v>2367</v>
      </c>
    </row>
    <row r="22" spans="1:8" s="258" customFormat="1" ht="13.5" customHeight="1">
      <c r="A22" s="299" t="s">
        <v>2368</v>
      </c>
      <c r="B22" s="254" t="s">
        <v>2369</v>
      </c>
      <c r="C22" s="1357">
        <f ca="1">ROUND(SUM(C23:C25),0)</f>
        <v>2389</v>
      </c>
      <c r="D22" s="279">
        <f ca="1">C26</f>
        <v>2E-3</v>
      </c>
      <c r="E22" s="280" t="s">
        <v>2366</v>
      </c>
      <c r="F22" s="281">
        <f ca="1">'数据-取费表'!B40</f>
        <v>4.7500000000000001E-2</v>
      </c>
      <c r="G22" s="278" t="str">
        <f>IF('数据-取费表'!B22&lt;=1,"单利计息","复利计息")</f>
        <v>复利计息</v>
      </c>
      <c r="H22" s="258">
        <v>4000</v>
      </c>
    </row>
    <row r="23" spans="1:8" s="258" customFormat="1" ht="13.5" customHeight="1">
      <c r="A23" s="954" t="s">
        <v>2370</v>
      </c>
      <c r="B23" s="259" t="s">
        <v>2371</v>
      </c>
      <c r="C23" s="1358">
        <f ca="1">ROUND(IF('数据-取费表'!B22&lt;=1,C5*F22*'数据-取费表'!B23,C5*(POWER((1+F22),'数据-取费表'!B23)-1)),0)</f>
        <v>2355</v>
      </c>
      <c r="D23" s="282"/>
      <c r="E23" s="282"/>
      <c r="F23" s="283"/>
      <c r="G23" s="284" t="s">
        <v>2372</v>
      </c>
    </row>
    <row r="24" spans="1:8"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8" s="258" customFormat="1" ht="24">
      <c r="A25" s="954" t="s">
        <v>2376</v>
      </c>
      <c r="B25" s="259" t="s">
        <v>2377</v>
      </c>
      <c r="C25" s="1358">
        <f ca="1">ROUND(IF('数据-取费表'!B22&lt;=1,C20*F22*'数据-取费表'!B23/2,C20*(POWER((1+F22),'数据-取费表'!B23/2)-1)),0)</f>
        <v>34</v>
      </c>
      <c r="D25" s="282"/>
      <c r="E25" s="285"/>
      <c r="F25" s="283"/>
      <c r="G25" s="286" t="s">
        <v>2378</v>
      </c>
    </row>
    <row r="26" spans="1:8" s="258" customFormat="1">
      <c r="A26" s="954" t="s">
        <v>795</v>
      </c>
      <c r="B26" s="259" t="s">
        <v>2379</v>
      </c>
      <c r="C26" s="282">
        <f ca="1">ROUND(IF('数据-取费表'!B22&lt;=1,F21*F22*'数据-取费表'!B23/2,F21*(POWER((1+F22),'数据-取费表'!B23/2)-1)),4)</f>
        <v>2E-3</v>
      </c>
      <c r="D26" s="282"/>
      <c r="E26" s="285"/>
      <c r="F26" s="283"/>
      <c r="G26" s="287"/>
    </row>
    <row r="27" spans="1:8" s="258" customFormat="1" ht="24.75">
      <c r="A27" s="299" t="s">
        <v>2380</v>
      </c>
      <c r="B27" s="288" t="s">
        <v>2381</v>
      </c>
      <c r="C27" s="289">
        <f ca="1">C28</f>
        <v>5709</v>
      </c>
      <c r="D27" s="279">
        <f ca="1">C29</f>
        <v>9.7999999999999997E-3</v>
      </c>
      <c r="E27" s="280" t="s">
        <v>2382</v>
      </c>
      <c r="F27" s="290">
        <f ca="1">IF(B1="",'数据-取费表'!Q16,INDIRECT("'数据-取费表'!q"&amp;$G$1))</f>
        <v>0.35</v>
      </c>
      <c r="G27" s="291" t="s">
        <v>2383</v>
      </c>
    </row>
    <row r="28" spans="1:8" s="258" customFormat="1" ht="13.5" customHeight="1">
      <c r="A28" s="954" t="s">
        <v>791</v>
      </c>
      <c r="B28" s="292" t="s">
        <v>2384</v>
      </c>
      <c r="C28" s="293">
        <f ca="1">ROUND((C5+C19+C20)*F27*'数据-取费表'!B21/'数据-取费表'!B20,0)</f>
        <v>5709</v>
      </c>
      <c r="D28" s="279"/>
      <c r="E28" s="280"/>
      <c r="F28" s="290"/>
      <c r="G28" s="291"/>
    </row>
    <row r="29" spans="1:8" s="258" customFormat="1" ht="13.5" customHeight="1">
      <c r="A29" s="954" t="s">
        <v>792</v>
      </c>
      <c r="B29" s="292" t="s">
        <v>2385</v>
      </c>
      <c r="C29" s="282">
        <f ca="1">ROUND(C21*F27*'数据-取费表'!B21/'数据-取费表'!B20,4)</f>
        <v>9.7999999999999997E-3</v>
      </c>
      <c r="D29" s="279"/>
      <c r="E29" s="280"/>
      <c r="F29" s="290"/>
      <c r="G29" s="291"/>
    </row>
    <row r="30" spans="1:8" s="258" customFormat="1" ht="13.5" customHeight="1">
      <c r="A30" s="299" t="s">
        <v>2386</v>
      </c>
      <c r="B30" s="254" t="s">
        <v>2387</v>
      </c>
      <c r="C30" s="279">
        <f>ROUND(F30/(1+'数据-取费表'!C42),4)</f>
        <v>5.33E-2</v>
      </c>
      <c r="D30" s="280" t="s">
        <v>2382</v>
      </c>
      <c r="E30" s="285"/>
      <c r="F30" s="281">
        <f>'数据-取费表'!B41</f>
        <v>5.6000000000000001E-2</v>
      </c>
      <c r="G30" s="278" t="s">
        <v>2388</v>
      </c>
    </row>
    <row r="31" spans="1:8" ht="16.5" customHeight="1">
      <c r="A31" s="253">
        <v>1</v>
      </c>
      <c r="B31" s="254" t="s">
        <v>2389</v>
      </c>
      <c r="C31" s="255">
        <f ca="1">ROUND((C5+C19+C20+C22+C27)/(1-C21-D22-D27-C30),0)</f>
        <v>28264</v>
      </c>
      <c r="D31" s="274"/>
      <c r="E31" s="255"/>
      <c r="F31" s="294"/>
      <c r="G31" s="278" t="s">
        <v>2390</v>
      </c>
    </row>
    <row r="32" spans="1:8" s="252" customFormat="1" ht="15.75">
      <c r="A32" s="296" t="s">
        <v>2391</v>
      </c>
      <c r="B32" s="297"/>
      <c r="C32" s="297"/>
      <c r="D32" s="297"/>
      <c r="E32" s="297"/>
      <c r="F32" s="297"/>
      <c r="G32" s="298"/>
    </row>
    <row r="33" spans="1:7" s="258" customFormat="1" ht="13.5" customHeight="1">
      <c r="A33" s="299" t="s">
        <v>782</v>
      </c>
      <c r="B33" s="254" t="s">
        <v>2392</v>
      </c>
      <c r="C33" s="300">
        <f ca="1">SUM(C34:C38)</f>
        <v>15036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12405</v>
      </c>
      <c r="D34" s="261"/>
      <c r="E34" s="264"/>
      <c r="F34" s="301">
        <f ca="1">IF('数据-取费表'!B24=0,1,IF(B1="",'数据-取费表'!N16,INDIRECT("'数据-取费表'!n"&amp;$G$1)))</f>
        <v>0.85</v>
      </c>
      <c r="G34" s="263" t="s">
        <v>2394</v>
      </c>
    </row>
    <row r="35" spans="1:7" ht="13.5" customHeight="1">
      <c r="A35" s="954" t="s">
        <v>796</v>
      </c>
      <c r="B35" s="259" t="s">
        <v>2395</v>
      </c>
      <c r="C35" s="264">
        <f ca="1">ROUND(C34*F35,0)</f>
        <v>620</v>
      </c>
      <c r="D35" s="264"/>
      <c r="E35" s="264"/>
      <c r="F35" s="303">
        <f>'数据-取费表'!B33</f>
        <v>0.05</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1241</v>
      </c>
      <c r="D36" s="264"/>
      <c r="E36" s="264"/>
      <c r="F36" s="303">
        <f>'数据-取费表'!B34</f>
        <v>0.1</v>
      </c>
      <c r="G36" s="304" t="s">
        <v>2398</v>
      </c>
    </row>
    <row r="37" spans="1:7" s="302" customFormat="1" ht="13.5" customHeight="1">
      <c r="A37" s="954" t="s">
        <v>798</v>
      </c>
      <c r="B37" s="259" t="s">
        <v>2399</v>
      </c>
      <c r="C37" s="293">
        <f ca="1">ROUND(E37*D37*F34/10000,0)</f>
        <v>584</v>
      </c>
      <c r="D37" s="261">
        <f ca="1">D19</f>
        <v>34338.32</v>
      </c>
      <c r="E37" s="293">
        <f>'数据-取费表'!B35</f>
        <v>200</v>
      </c>
      <c r="F37" s="303"/>
      <c r="G37" s="305" t="s">
        <v>2400</v>
      </c>
    </row>
    <row r="38" spans="1:7" ht="13.5" customHeight="1">
      <c r="A38" s="954" t="s">
        <v>799</v>
      </c>
      <c r="B38" s="259" t="s">
        <v>2401</v>
      </c>
      <c r="C38" s="264">
        <f ca="1">ROUND(C34*F38,0)</f>
        <v>186</v>
      </c>
      <c r="D38" s="264"/>
      <c r="E38" s="264"/>
      <c r="F38" s="303">
        <f>'数据-取费表'!B36</f>
        <v>1.4999999999999999E-2</v>
      </c>
      <c r="G38" s="263" t="s">
        <v>2396</v>
      </c>
    </row>
    <row r="39" spans="1:7" s="258" customFormat="1" ht="13.5" customHeight="1">
      <c r="A39" s="299" t="s">
        <v>2402</v>
      </c>
      <c r="B39" s="254" t="s">
        <v>2403</v>
      </c>
      <c r="C39" s="276">
        <f ca="1">ROUND(C33*F20,0)</f>
        <v>451</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1039</v>
      </c>
      <c r="D41" s="279">
        <f ca="1">C44</f>
        <v>2E-3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1009</v>
      </c>
      <c r="D42" s="282"/>
      <c r="E42" s="282"/>
      <c r="F42" s="283"/>
      <c r="G42" s="3162" t="s">
        <v>2412</v>
      </c>
    </row>
    <row r="43" spans="1:7" ht="13.5" customHeight="1">
      <c r="A43" s="954" t="s">
        <v>792</v>
      </c>
      <c r="B43" s="259" t="s">
        <v>2413</v>
      </c>
      <c r="C43" s="282">
        <f ca="1">ROUND(IF('数据-取费表'!B22&lt;=1,C39*F22*'数据-取费表'!B21/2,C39*(POWER((1+F22),'数据-取费表'!B21/2)-1)),0)</f>
        <v>30</v>
      </c>
      <c r="D43" s="282"/>
      <c r="E43" s="282"/>
      <c r="F43" s="283"/>
      <c r="G43" s="3163"/>
    </row>
    <row r="44" spans="1:7" ht="13.5" customHeight="1">
      <c r="A44" s="954" t="s">
        <v>793</v>
      </c>
      <c r="B44" s="259" t="s">
        <v>2414</v>
      </c>
      <c r="C44" s="282">
        <f ca="1">ROUND(IF('数据-取费表'!B22&lt;=1,C40*F22*'数据-取费表'!B21/2,C40*(POWER((1+F22),'数据-取费表'!B21/2)-1)),4)</f>
        <v>2E-3</v>
      </c>
      <c r="D44" s="282"/>
      <c r="E44" s="282"/>
      <c r="F44" s="283"/>
      <c r="G44" s="3164"/>
    </row>
    <row r="45" spans="1:7" s="258" customFormat="1" ht="13.5" customHeight="1">
      <c r="A45" s="299" t="s">
        <v>2415</v>
      </c>
      <c r="B45" s="288" t="s">
        <v>2381</v>
      </c>
      <c r="C45" s="289">
        <f ca="1">C46</f>
        <v>5420</v>
      </c>
      <c r="D45" s="279">
        <f ca="1">C47</f>
        <v>1.0500000000000001E-2</v>
      </c>
      <c r="E45" s="280" t="s">
        <v>2407</v>
      </c>
      <c r="F45" s="290"/>
      <c r="G45" s="291" t="s">
        <v>2416</v>
      </c>
    </row>
    <row r="46" spans="1:7" s="258" customFormat="1" ht="13.5" customHeight="1">
      <c r="A46" s="954" t="s">
        <v>791</v>
      </c>
      <c r="B46" s="292" t="s">
        <v>2417</v>
      </c>
      <c r="C46" s="293">
        <f ca="1">ROUND((C33+C39)*F27,0)</f>
        <v>5420</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24271</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24271</v>
      </c>
      <c r="D51" s="276"/>
      <c r="E51" s="276"/>
      <c r="F51" s="308"/>
      <c r="G51" s="278" t="s">
        <v>2428</v>
      </c>
    </row>
    <row r="52" spans="1:7" s="252" customFormat="1" ht="16.5" thickBot="1">
      <c r="A52" s="309" t="s">
        <v>2429</v>
      </c>
      <c r="B52" s="310"/>
      <c r="C52" s="311">
        <f ca="1">C31+C51</f>
        <v>52535</v>
      </c>
      <c r="D52" s="310"/>
      <c r="E52" s="310"/>
      <c r="F52" s="310"/>
      <c r="G52" s="312"/>
    </row>
    <row r="55" spans="1:7" ht="15">
      <c r="B55" s="314" t="s">
        <v>2430</v>
      </c>
      <c r="C55" s="315"/>
    </row>
    <row r="56" spans="1:7">
      <c r="B56" s="317" t="s">
        <v>1509</v>
      </c>
      <c r="C56" s="319">
        <f ca="1">1-C57</f>
        <v>0.53800000000000003</v>
      </c>
    </row>
    <row r="57" spans="1:7">
      <c r="B57" s="317" t="s">
        <v>1510</v>
      </c>
      <c r="C57" s="318">
        <f ca="1">ROUND(C51/C52,3)</f>
        <v>0.46200000000000002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31121</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9063</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7554430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4.0500000000000001E-2</v>
      </c>
      <c r="G7" s="263"/>
    </row>
    <row r="8" spans="1:8" s="267" customFormat="1">
      <c r="A8" s="952" t="s">
        <v>2344</v>
      </c>
      <c r="B8" s="259" t="s">
        <v>2345</v>
      </c>
      <c r="C8" s="264">
        <f ca="1">IF(G8="已包含在土地购买价格中",0,C9+C10)</f>
        <v>7554430</v>
      </c>
      <c r="D8" s="266"/>
      <c r="E8" s="264"/>
      <c r="F8" s="265"/>
      <c r="G8" s="2556"/>
    </row>
    <row r="9" spans="1:8" s="258" customFormat="1" ht="13.5" customHeight="1">
      <c r="A9" s="953" t="s">
        <v>800</v>
      </c>
      <c r="B9" s="268" t="s">
        <v>2346</v>
      </c>
      <c r="C9" s="269">
        <f ca="1">ROUND(D9*E9,0)</f>
        <v>7554430</v>
      </c>
      <c r="D9" s="1035">
        <f ca="1">IF(B1="",'数据-汇总表'!E5,IF(INDIRECT("'数据-取费表'!c"&amp;$G$1)="住宅",INDIRECT("'数据-取费表'!k"&amp;$G$1),0))</f>
        <v>34338.32</v>
      </c>
      <c r="E9" s="269">
        <f>'数据-取费表'!B27</f>
        <v>220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6867664</v>
      </c>
      <c r="D19" s="1039">
        <f ca="1">D9+D10</f>
        <v>34338.32</v>
      </c>
      <c r="E19" s="255">
        <f>'数据-取费表'!B31</f>
        <v>200</v>
      </c>
      <c r="F19" s="275"/>
      <c r="G19" s="2556"/>
    </row>
    <row r="20" spans="1:7" s="258" customFormat="1" ht="13.5" customHeight="1">
      <c r="A20" s="299" t="s">
        <v>2442</v>
      </c>
      <c r="B20" s="254" t="s">
        <v>2443</v>
      </c>
      <c r="C20" s="276">
        <f ca="1">ROUND((C5+C19)*F20,0)</f>
        <v>432663</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2185504</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1128450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1025864</v>
      </c>
      <c r="D24" s="282"/>
      <c r="E24" s="282"/>
      <c r="F24" s="283"/>
      <c r="G24" s="284" t="s">
        <v>2454</v>
      </c>
    </row>
    <row r="25" spans="1:7" s="258" customFormat="1" ht="24">
      <c r="A25" s="954" t="s">
        <v>2344</v>
      </c>
      <c r="B25" s="259" t="s">
        <v>2455</v>
      </c>
      <c r="C25" s="1384">
        <f ca="1">ROUND(IF('数据-取费表'!B22&lt;=1,C20*F22*'数据-取费表'!B22/2,C20*(POWER((1+F22),'数据-取费表'!B22/2)-1)),0)</f>
        <v>31190</v>
      </c>
      <c r="D25" s="282"/>
      <c r="E25" s="285"/>
      <c r="F25" s="283"/>
      <c r="G25" s="286" t="s">
        <v>2456</v>
      </c>
    </row>
    <row r="26" spans="1:7" s="258" customFormat="1">
      <c r="A26" s="954"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5199165</v>
      </c>
      <c r="D27" s="279">
        <f ca="1">C29</f>
        <v>1.0500000000000001E-2</v>
      </c>
      <c r="E27" s="280" t="s">
        <v>2382</v>
      </c>
      <c r="F27" s="290">
        <f ca="1">IF(B1="",'数据-取费表'!Q16,INDIRECT("'数据-取费表'!q"&amp;$G$1))</f>
        <v>0.35</v>
      </c>
      <c r="G27" s="291" t="s">
        <v>2383</v>
      </c>
    </row>
    <row r="28" spans="1:7" s="258" customFormat="1" ht="13.5" customHeight="1">
      <c r="A28" s="954" t="s">
        <v>791</v>
      </c>
      <c r="B28" s="292" t="s">
        <v>2384</v>
      </c>
      <c r="C28" s="293">
        <f ca="1">ROUND((C5+C19+C20)*F27,0)</f>
        <v>5199165</v>
      </c>
      <c r="D28" s="279"/>
      <c r="E28" s="280"/>
      <c r="F28" s="290"/>
      <c r="G28" s="291"/>
    </row>
    <row r="29" spans="1:7" s="258" customFormat="1" ht="13.5" customHeight="1">
      <c r="A29" s="954" t="s">
        <v>792</v>
      </c>
      <c r="B29" s="292" t="s">
        <v>2385</v>
      </c>
      <c r="C29" s="282">
        <f ca="1">ROUND(C21*F27,4)</f>
        <v>1.0500000000000001E-2</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24601135</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176885271</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145937860</v>
      </c>
      <c r="D34" s="261"/>
      <c r="E34" s="264"/>
      <c r="F34" s="301"/>
      <c r="G34" s="263"/>
    </row>
    <row r="35" spans="1:7" ht="13.5" customHeight="1">
      <c r="A35" s="954" t="s">
        <v>796</v>
      </c>
      <c r="B35" s="259" t="s">
        <v>2395</v>
      </c>
      <c r="C35" s="264">
        <f ca="1">ROUND(C34*F35,0)</f>
        <v>7296893</v>
      </c>
      <c r="D35" s="264"/>
      <c r="E35" s="264"/>
      <c r="F35" s="303">
        <f>'数据-取费表'!B33</f>
        <v>0.05</v>
      </c>
      <c r="G35" s="263" t="s">
        <v>2396</v>
      </c>
    </row>
    <row r="36" spans="1:7" ht="24">
      <c r="A36" s="954" t="s">
        <v>797</v>
      </c>
      <c r="B36" s="259" t="s">
        <v>2397</v>
      </c>
      <c r="C36" s="264">
        <f ca="1">ROUND(IF(B1="",SUM('数据-取费表'!AP6:AP13)*F36,IF(INDIRECT("'数据-取费表'!c"&amp;$G$1)="住宅",INDIRECT("'数据-取费表'!k"&amp;$G$1)*INDIRECT("'数据-取费表'!l"&amp;$G$1)*F36,0)),0)</f>
        <v>14593786</v>
      </c>
      <c r="D36" s="264"/>
      <c r="E36" s="264"/>
      <c r="F36" s="303">
        <f>'数据-取费表'!B34</f>
        <v>0.1</v>
      </c>
      <c r="G36" s="304" t="s">
        <v>2398</v>
      </c>
    </row>
    <row r="37" spans="1:7" s="302" customFormat="1" ht="13.5" customHeight="1">
      <c r="A37" s="954" t="s">
        <v>798</v>
      </c>
      <c r="B37" s="259" t="s">
        <v>2399</v>
      </c>
      <c r="C37" s="293">
        <f ca="1">ROUND(E37*D37,0)</f>
        <v>6867664</v>
      </c>
      <c r="D37" s="261">
        <f ca="1">D19</f>
        <v>34338.32</v>
      </c>
      <c r="E37" s="293">
        <f>'数据-取费表'!B35</f>
        <v>200</v>
      </c>
      <c r="F37" s="303"/>
      <c r="G37" s="305"/>
    </row>
    <row r="38" spans="1:7" ht="13.5" customHeight="1">
      <c r="A38" s="954" t="s">
        <v>799</v>
      </c>
      <c r="B38" s="259" t="s">
        <v>2401</v>
      </c>
      <c r="C38" s="264">
        <f ca="1">ROUND(C34*F38,0)</f>
        <v>2189068</v>
      </c>
      <c r="D38" s="264"/>
      <c r="E38" s="264"/>
      <c r="F38" s="303">
        <f>'数据-取费表'!B36</f>
        <v>1.4999999999999999E-2</v>
      </c>
      <c r="G38" s="263" t="s">
        <v>2396</v>
      </c>
    </row>
    <row r="39" spans="1:7" s="258" customFormat="1" ht="13.5" customHeight="1">
      <c r="A39" s="299" t="s">
        <v>2402</v>
      </c>
      <c r="B39" s="254" t="s">
        <v>2403</v>
      </c>
      <c r="C39" s="276">
        <f ca="1">ROUND(C33*F20,0)</f>
        <v>5306558</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13134120</v>
      </c>
      <c r="D41" s="279">
        <f ca="1">C44</f>
        <v>2.2000000000000001E-3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12751573</v>
      </c>
      <c r="D42" s="282"/>
      <c r="E42" s="282"/>
      <c r="F42" s="283"/>
      <c r="G42" s="3162" t="s">
        <v>2459</v>
      </c>
    </row>
    <row r="43" spans="1:7" ht="13.5" customHeight="1">
      <c r="A43" s="954" t="s">
        <v>792</v>
      </c>
      <c r="B43" s="259" t="s">
        <v>2413</v>
      </c>
      <c r="C43" s="282">
        <f ca="1">ROUND(IF('数据-取费表'!B22&lt;=1,C39*F22*'数据-取费表'!B20/2,C39*(POWER((1+F22),'数据-取费表'!B20/2)-1)),0)</f>
        <v>382547</v>
      </c>
      <c r="D43" s="282"/>
      <c r="E43" s="282"/>
      <c r="F43" s="283"/>
      <c r="G43" s="3163"/>
    </row>
    <row r="44" spans="1:7" ht="13.5" customHeight="1">
      <c r="A44" s="954" t="s">
        <v>793</v>
      </c>
      <c r="B44" s="259" t="s">
        <v>2414</v>
      </c>
      <c r="C44" s="282">
        <f ca="1">ROUND(IF('数据-取费表'!B22&lt;=1,C40*F22*'数据-取费表'!B20/2,C40*(POWER((1+F22),'数据-取费表'!B20/2)-1)),4)</f>
        <v>2.2000000000000001E-3</v>
      </c>
      <c r="D44" s="282"/>
      <c r="E44" s="282"/>
      <c r="F44" s="283"/>
      <c r="G44" s="3164"/>
    </row>
    <row r="45" spans="1:7" s="258" customFormat="1" ht="13.5" customHeight="1">
      <c r="A45" s="299" t="s">
        <v>2415</v>
      </c>
      <c r="B45" s="288" t="s">
        <v>2381</v>
      </c>
      <c r="C45" s="289">
        <f ca="1">C46</f>
        <v>63767140</v>
      </c>
      <c r="D45" s="279">
        <f ca="1">C47</f>
        <v>1.0500000000000001E-2</v>
      </c>
      <c r="E45" s="280" t="s">
        <v>2407</v>
      </c>
      <c r="F45" s="290"/>
      <c r="G45" s="291" t="s">
        <v>2416</v>
      </c>
    </row>
    <row r="46" spans="1:7" s="258" customFormat="1" ht="13.5" customHeight="1">
      <c r="A46" s="954" t="s">
        <v>791</v>
      </c>
      <c r="B46" s="292" t="s">
        <v>2417</v>
      </c>
      <c r="C46" s="293">
        <f ca="1">ROUND((C33+C39)*F27,0)</f>
        <v>63767140</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286607399</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286607399</v>
      </c>
      <c r="D51" s="276"/>
      <c r="E51" s="276"/>
      <c r="F51" s="308"/>
      <c r="G51" s="278" t="s">
        <v>2428</v>
      </c>
    </row>
    <row r="52" spans="1:7" s="252" customFormat="1" ht="16.5" thickBot="1">
      <c r="A52" s="309" t="s">
        <v>2429</v>
      </c>
      <c r="B52" s="310"/>
      <c r="C52" s="311">
        <f ca="1">C31+C51</f>
        <v>311208534</v>
      </c>
      <c r="D52" s="310"/>
      <c r="E52" s="310"/>
      <c r="F52" s="310"/>
      <c r="G52" s="312"/>
    </row>
    <row r="55" spans="1:7" ht="15">
      <c r="B55" s="314" t="s">
        <v>2430</v>
      </c>
      <c r="C55" s="315"/>
    </row>
    <row r="56" spans="1:7">
      <c r="B56" s="317" t="s">
        <v>1509</v>
      </c>
      <c r="C56" s="319">
        <f ca="1">1-C57</f>
        <v>7.8999999999999959E-2</v>
      </c>
    </row>
    <row r="57" spans="1:7">
      <c r="B57" s="317" t="s">
        <v>1510</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0" zoomScale="80" zoomScaleNormal="80" workbookViewId="0">
      <selection activeCell="L51" sqref="L50:L5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15583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4538</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30" ht="15">
      <c r="A5" s="404"/>
      <c r="B5" s="405"/>
      <c r="C5" s="3176" t="s">
        <v>2542</v>
      </c>
      <c r="D5" s="3177"/>
      <c r="E5" s="3174" t="str">
        <f>Sheet2!A8</f>
        <v>龙华区龙桥镇</v>
      </c>
      <c r="F5" s="3175"/>
      <c r="G5" s="3176" t="str">
        <f>Sheet2!A25</f>
        <v>海口市龙华区龙桥镇</v>
      </c>
      <c r="H5" s="3177"/>
      <c r="I5" s="3176" t="str">
        <f>Sheet2!A27</f>
        <v>海口市椰海大道与永万路交汇处西北角</v>
      </c>
      <c r="J5" s="3177"/>
      <c r="K5" s="610"/>
      <c r="L5" s="1133"/>
      <c r="M5" s="1134"/>
      <c r="N5" s="1134"/>
      <c r="O5" s="1134"/>
      <c r="P5" s="3189"/>
      <c r="Q5" s="3190"/>
      <c r="R5" s="3172"/>
      <c r="S5" s="3173"/>
      <c r="T5" s="3172"/>
      <c r="U5" s="3173"/>
      <c r="V5" s="3195"/>
      <c r="W5" s="3195"/>
      <c r="X5" s="1815"/>
      <c r="Y5" s="3172"/>
      <c r="Z5" s="3173"/>
      <c r="AA5" s="3166"/>
      <c r="AB5" s="3166"/>
      <c r="AC5" s="3166"/>
    </row>
    <row r="6" spans="1:30"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30" s="117" customFormat="1" ht="15.75" thickBot="1">
      <c r="A7" s="408" t="s">
        <v>2548</v>
      </c>
      <c r="B7" s="409"/>
      <c r="C7" s="410">
        <f>'数据-取费表'!B2</f>
        <v>43689</v>
      </c>
      <c r="D7" s="411">
        <v>100</v>
      </c>
      <c r="E7" s="412" t="str">
        <f>Sheet2!H8</f>
        <v>2018-12-30</v>
      </c>
      <c r="F7" s="413">
        <f>SUMIF(70:70,YEAR(E7)&amp;"-"&amp;INT((MONTH(E7)+2)/3),71:71)</f>
        <v>98.5</v>
      </c>
      <c r="G7" s="2702" t="str">
        <f>Sheet2!H25</f>
        <v>2018-04-04</v>
      </c>
      <c r="H7" s="411">
        <f>SUMIF(70:70,YEAR(G7)&amp;"-"&amp;INT((MONTH(G7)+2)/3),71:71)</f>
        <v>97.5</v>
      </c>
      <c r="I7" s="2702" t="str">
        <f>Sheet2!H27</f>
        <v>2018-04-04</v>
      </c>
      <c r="J7" s="411">
        <f>SUMIF(70:70,YEAR(I7)&amp;"-"&amp;INT((MONTH(I7)+2)/3),71:71)</f>
        <v>97.5</v>
      </c>
      <c r="K7" s="611"/>
      <c r="L7" s="1135"/>
      <c r="M7" s="1136"/>
      <c r="N7" s="1136"/>
      <c r="O7" s="1136"/>
      <c r="P7" s="3168" t="s">
        <v>2549</v>
      </c>
      <c r="Q7" s="3196"/>
      <c r="R7" s="770" t="s">
        <v>17</v>
      </c>
      <c r="S7" s="771">
        <f t="shared" ref="S7:S15" si="0">F7</f>
        <v>98.5</v>
      </c>
      <c r="T7" s="770" t="s">
        <v>17</v>
      </c>
      <c r="U7" s="771">
        <f t="shared" ref="U7:U15" si="1">H7</f>
        <v>97.5</v>
      </c>
      <c r="V7" s="770" t="s">
        <v>17</v>
      </c>
      <c r="W7" s="771">
        <f t="shared" ref="W7:W15" si="2">J7</f>
        <v>97.5</v>
      </c>
      <c r="X7" s="772"/>
      <c r="Y7" s="3168" t="s">
        <v>2549</v>
      </c>
      <c r="Z7" s="3169"/>
      <c r="AA7" s="773">
        <f>D7/F7</f>
        <v>1.015228426395939</v>
      </c>
      <c r="AB7" s="773">
        <f>D7/H7</f>
        <v>1.0256410256410255</v>
      </c>
      <c r="AC7" s="773">
        <f>D7/J7</f>
        <v>1.0256410256410255</v>
      </c>
    </row>
    <row r="8" spans="1:30" s="117" customFormat="1" ht="15.75" thickBot="1">
      <c r="A8" s="408" t="s">
        <v>2550</v>
      </c>
      <c r="B8" s="409"/>
      <c r="C8" s="414" t="s">
        <v>2551</v>
      </c>
      <c r="D8" s="411">
        <v>100</v>
      </c>
      <c r="E8" s="414" t="s">
        <v>3110</v>
      </c>
      <c r="F8" s="413">
        <f>SUMIF(73:73,E8,74:74)-SUMIF(73:73,C8,74:74)+100</f>
        <v>100</v>
      </c>
      <c r="G8" s="414" t="s">
        <v>3110</v>
      </c>
      <c r="H8" s="411">
        <f>SUMIF(73:73,G8,74:74)-SUMIF(73:73,C8,74:74)+100</f>
        <v>100</v>
      </c>
      <c r="I8" s="414" t="s">
        <v>3110</v>
      </c>
      <c r="J8" s="411">
        <f>SUMIF(73:73,I8,74:74)-SUMIF(73:73,C8,74:74)+100</f>
        <v>100</v>
      </c>
      <c r="K8" s="611"/>
      <c r="L8" s="1135"/>
      <c r="M8" s="1136"/>
      <c r="N8" s="1136"/>
      <c r="O8" s="1136"/>
      <c r="P8" s="3168" t="s">
        <v>2552</v>
      </c>
      <c r="Q8" s="3169"/>
      <c r="R8" s="770" t="s">
        <v>17</v>
      </c>
      <c r="S8" s="771">
        <f t="shared" si="0"/>
        <v>100</v>
      </c>
      <c r="T8" s="770" t="s">
        <v>17</v>
      </c>
      <c r="U8" s="771">
        <f t="shared" si="1"/>
        <v>100</v>
      </c>
      <c r="V8" s="770" t="s">
        <v>17</v>
      </c>
      <c r="W8" s="771">
        <f t="shared" si="2"/>
        <v>100</v>
      </c>
      <c r="X8" s="772"/>
      <c r="Y8" s="3168" t="s">
        <v>2552</v>
      </c>
      <c r="Z8" s="3169"/>
      <c r="AA8" s="773">
        <f t="shared" ref="AA8:AA45" si="3">D8/F8</f>
        <v>1</v>
      </c>
      <c r="AB8" s="773">
        <f t="shared" ref="AB8:AB45" si="4">D8/H8</f>
        <v>1</v>
      </c>
      <c r="AC8" s="773">
        <f t="shared" ref="AC8:AC45" si="5">D8/J8</f>
        <v>1</v>
      </c>
    </row>
    <row r="9" spans="1:30" s="117" customFormat="1">
      <c r="A9" s="415" t="s">
        <v>2553</v>
      </c>
      <c r="B9" s="71" t="s">
        <v>2554</v>
      </c>
      <c r="C9" s="2705" t="s">
        <v>3868</v>
      </c>
      <c r="D9" s="135">
        <v>100</v>
      </c>
      <c r="E9" s="2705" t="s">
        <v>3868</v>
      </c>
      <c r="F9" s="135">
        <f>SUMIF(75:75,E9,76:76)-SUMIF(75:75,C9,76:76)+100</f>
        <v>100</v>
      </c>
      <c r="G9" s="2705" t="s">
        <v>3868</v>
      </c>
      <c r="H9" s="135">
        <f>SUMIF(75:75,G9,76:76)-SUMIF(75:75,C9,76:76)+100</f>
        <v>100</v>
      </c>
      <c r="I9" s="2705" t="s">
        <v>3868</v>
      </c>
      <c r="J9" s="135">
        <f>SUMIF(75:75,I9,76:76)-SUMIF(75:75,C9,76:76)+100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30" s="427" customFormat="1" ht="27">
      <c r="A10" s="421"/>
      <c r="B10" s="422" t="s">
        <v>2557</v>
      </c>
      <c r="C10" s="432">
        <f>项目基本情况!D15</f>
        <v>44.27</v>
      </c>
      <c r="D10" s="136">
        <v>100</v>
      </c>
      <c r="E10" s="465" t="s">
        <v>4010</v>
      </c>
      <c r="F10" s="136">
        <f>ROUND(100/'数据-取费表'!G16,0)</f>
        <v>111</v>
      </c>
      <c r="G10" s="463" t="s">
        <v>4010</v>
      </c>
      <c r="H10" s="136">
        <f>ROUND(100/'数据-取费表'!G16,0)</f>
        <v>111</v>
      </c>
      <c r="I10" s="463" t="s">
        <v>4010</v>
      </c>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41"/>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v>1.65</v>
      </c>
      <c r="D11" s="136">
        <v>100</v>
      </c>
      <c r="E11" s="429">
        <v>1.5</v>
      </c>
      <c r="F11" s="136">
        <f>LOOKUP(E11,80:80,81:81)-LOOKUP(C11,80:80,81:81)+100</f>
        <v>100</v>
      </c>
      <c r="G11" s="430">
        <v>1.5</v>
      </c>
      <c r="H11" s="136">
        <f>LOOKUP(G11,80:80,81:81)-LOOKUP(C11,80:80,81:81)+100</f>
        <v>100</v>
      </c>
      <c r="I11" s="429">
        <v>2.5</v>
      </c>
      <c r="J11" s="136">
        <f>LOOKUP(I11,80:80,81:81)-LOOKUP(C11,80:80,81:81)+100</f>
        <v>98</v>
      </c>
      <c r="K11" s="673">
        <v>2</v>
      </c>
      <c r="L11" s="1141"/>
      <c r="M11" s="1134"/>
      <c r="N11" s="1134"/>
      <c r="O11" s="1142"/>
      <c r="P11" s="3182"/>
      <c r="Q11" s="1797" t="str">
        <f t="shared" si="6"/>
        <v>容积率</v>
      </c>
      <c r="R11" s="770" t="s">
        <v>17</v>
      </c>
      <c r="S11" s="771">
        <f t="shared" si="0"/>
        <v>100</v>
      </c>
      <c r="T11" s="770" t="s">
        <v>17</v>
      </c>
      <c r="U11" s="771">
        <f t="shared" si="1"/>
        <v>100</v>
      </c>
      <c r="V11" s="770" t="s">
        <v>17</v>
      </c>
      <c r="W11" s="771">
        <f t="shared" si="2"/>
        <v>98</v>
      </c>
      <c r="X11" s="772"/>
      <c r="Y11" s="3041"/>
      <c r="Z11" s="55" t="str">
        <f t="shared" si="7"/>
        <v>容积率</v>
      </c>
      <c r="AA11" s="773">
        <f t="shared" si="3"/>
        <v>1</v>
      </c>
      <c r="AB11" s="773">
        <f t="shared" si="4"/>
        <v>1</v>
      </c>
      <c r="AC11" s="773">
        <f t="shared" si="5"/>
        <v>1.0204081632653061</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7"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9.75">
      <c r="A15" s="440" t="s">
        <v>2559</v>
      </c>
      <c r="B15" s="69" t="s">
        <v>2086</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3</v>
      </c>
      <c r="L15" s="1143"/>
      <c r="M15" s="1134"/>
      <c r="N15" s="1134"/>
      <c r="O15" s="1142"/>
      <c r="P15" s="3197" t="s">
        <v>2560</v>
      </c>
      <c r="Q15" s="1812" t="str">
        <f t="shared" si="6"/>
        <v>居住社区成熟度</v>
      </c>
      <c r="R15" s="774" t="s">
        <v>17</v>
      </c>
      <c r="S15" s="775">
        <f t="shared" si="0"/>
        <v>100</v>
      </c>
      <c r="T15" s="774" t="s">
        <v>17</v>
      </c>
      <c r="U15" s="775">
        <f t="shared" si="1"/>
        <v>100</v>
      </c>
      <c r="V15" s="774" t="s">
        <v>17</v>
      </c>
      <c r="W15" s="775">
        <f t="shared" si="2"/>
        <v>100</v>
      </c>
      <c r="X15" s="1815"/>
      <c r="Y15" s="3197" t="s">
        <v>2560</v>
      </c>
      <c r="Z15" s="1816" t="str">
        <f t="shared" si="7"/>
        <v>居住社区成熟度</v>
      </c>
      <c r="AA15" s="1813">
        <f t="shared" si="3"/>
        <v>1</v>
      </c>
      <c r="AB15" s="1813">
        <f t="shared" si="4"/>
        <v>1</v>
      </c>
      <c r="AC15" s="1813">
        <f t="shared" si="5"/>
        <v>1</v>
      </c>
    </row>
    <row r="16" spans="1:30" ht="15">
      <c r="A16" s="428"/>
      <c r="B16" s="446"/>
      <c r="C16" s="447" t="s">
        <v>3900</v>
      </c>
      <c r="D16" s="448"/>
      <c r="E16" s="2611" t="s">
        <v>3900</v>
      </c>
      <c r="F16" s="448"/>
      <c r="G16" s="2611" t="s">
        <v>3900</v>
      </c>
      <c r="H16" s="450"/>
      <c r="I16" s="2610" t="s">
        <v>3900</v>
      </c>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71.25">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198"/>
      <c r="Q17" s="1812" t="str">
        <f>B17</f>
        <v>商业繁华度</v>
      </c>
      <c r="R17" s="774" t="s">
        <v>17</v>
      </c>
      <c r="S17" s="775">
        <f>F17</f>
        <v>100</v>
      </c>
      <c r="T17" s="774" t="s">
        <v>17</v>
      </c>
      <c r="U17" s="775">
        <f>H17</f>
        <v>100</v>
      </c>
      <c r="V17" s="774" t="s">
        <v>17</v>
      </c>
      <c r="W17" s="775">
        <f>J17</f>
        <v>100</v>
      </c>
      <c r="X17" s="1815"/>
      <c r="Y17" s="3198"/>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71.25">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98"/>
      <c r="Q19" s="1812" t="str">
        <f>B19</f>
        <v>办公集聚程度</v>
      </c>
      <c r="R19" s="774" t="s">
        <v>17</v>
      </c>
      <c r="S19" s="775">
        <f>F19</f>
        <v>100</v>
      </c>
      <c r="T19" s="774" t="s">
        <v>17</v>
      </c>
      <c r="U19" s="775">
        <f>H19</f>
        <v>100</v>
      </c>
      <c r="V19" s="774" t="s">
        <v>17</v>
      </c>
      <c r="W19" s="775">
        <f>J19</f>
        <v>100</v>
      </c>
      <c r="X19" s="1815"/>
      <c r="Y19" s="3198"/>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198"/>
      <c r="Q20" s="1812"/>
      <c r="R20" s="774"/>
      <c r="S20" s="775"/>
      <c r="T20" s="774"/>
      <c r="U20" s="775"/>
      <c r="V20" s="774"/>
      <c r="W20" s="775"/>
      <c r="X20" s="1815"/>
      <c r="Y20" s="3198"/>
      <c r="Z20" s="1816"/>
      <c r="AA20" s="1813">
        <v>1</v>
      </c>
      <c r="AB20" s="1813">
        <v>1</v>
      </c>
      <c r="AC20" s="1813">
        <v>1</v>
      </c>
    </row>
    <row r="21" spans="1:29" ht="85.5">
      <c r="A21" s="428"/>
      <c r="B21" s="451" t="s">
        <v>2709</v>
      </c>
      <c r="C21" s="2613" t="str">
        <f>估价对象房地状况!C18</f>
        <v>估价对象周边道路状况、公共交通通达情况、停车便捷程度，综合评价交通便捷度较好</v>
      </c>
      <c r="D21" s="450">
        <v>100</v>
      </c>
      <c r="E21" s="452"/>
      <c r="F21" s="455">
        <f>SUMIF(94:94,E22,95:95)-SUMIF(94:94,C22,95:95)+100</f>
        <v>97</v>
      </c>
      <c r="G21" s="452"/>
      <c r="H21" s="450">
        <f>SUMIF(94:94,G22,95:95)-SUMIF(94:94,C22,95:95)+100</f>
        <v>97</v>
      </c>
      <c r="I21" s="454"/>
      <c r="J21" s="450">
        <f>SUMIF(94:94,I22,95:95)-SUMIF(94:94,C22,95:95)+100</f>
        <v>100</v>
      </c>
      <c r="K21" s="673">
        <v>3</v>
      </c>
      <c r="L21" s="1143"/>
      <c r="M21" s="1134"/>
      <c r="N21" s="1134"/>
      <c r="O21" s="1142"/>
      <c r="P21" s="3198"/>
      <c r="Q21" s="1812" t="str">
        <f>B21</f>
        <v>交通便捷度</v>
      </c>
      <c r="R21" s="774" t="s">
        <v>17</v>
      </c>
      <c r="S21" s="775">
        <f>F21</f>
        <v>97</v>
      </c>
      <c r="T21" s="774" t="s">
        <v>17</v>
      </c>
      <c r="U21" s="775">
        <f>H21</f>
        <v>97</v>
      </c>
      <c r="V21" s="774" t="s">
        <v>17</v>
      </c>
      <c r="W21" s="775">
        <f>J21</f>
        <v>100</v>
      </c>
      <c r="X21" s="1815"/>
      <c r="Y21" s="3198"/>
      <c r="Z21" s="1816" t="str">
        <f>Q21</f>
        <v>交通便捷度</v>
      </c>
      <c r="AA21" s="1813">
        <f t="shared" si="3"/>
        <v>1.0309278350515463</v>
      </c>
      <c r="AB21" s="1813">
        <f t="shared" si="4"/>
        <v>1.0309278350515463</v>
      </c>
      <c r="AC21" s="1813">
        <f t="shared" si="5"/>
        <v>1</v>
      </c>
    </row>
    <row r="22" spans="1:29" ht="15">
      <c r="A22" s="428"/>
      <c r="B22" s="1387"/>
      <c r="C22" s="447" t="s">
        <v>3901</v>
      </c>
      <c r="D22" s="450"/>
      <c r="E22" s="2611" t="s">
        <v>3900</v>
      </c>
      <c r="F22" s="448"/>
      <c r="G22" s="2611" t="s">
        <v>3900</v>
      </c>
      <c r="H22" s="448"/>
      <c r="I22" s="2610" t="s">
        <v>3901</v>
      </c>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3</v>
      </c>
      <c r="L23" s="1143"/>
      <c r="M23" s="1134"/>
      <c r="N23" s="1134"/>
      <c r="O23" s="1142"/>
      <c r="P23" s="3198"/>
      <c r="Q23" s="1812" t="str">
        <f t="shared" ref="Q23:Q37" si="8">B23</f>
        <v>区域土地利用方向</v>
      </c>
      <c r="R23" s="774" t="s">
        <v>17</v>
      </c>
      <c r="S23" s="775">
        <f>F23</f>
        <v>100</v>
      </c>
      <c r="T23" s="774" t="s">
        <v>17</v>
      </c>
      <c r="U23" s="775">
        <f>H23</f>
        <v>100</v>
      </c>
      <c r="V23" s="774" t="s">
        <v>17</v>
      </c>
      <c r="W23" s="775">
        <f>J23</f>
        <v>100</v>
      </c>
      <c r="X23" s="1815"/>
      <c r="Y23" s="3198"/>
      <c r="Z23" s="1816" t="str">
        <f>Q23</f>
        <v>区域土地利用方向</v>
      </c>
      <c r="AA23" s="1813">
        <f t="shared" si="3"/>
        <v>1</v>
      </c>
      <c r="AB23" s="1813">
        <f t="shared" si="4"/>
        <v>1</v>
      </c>
      <c r="AC23" s="1813">
        <f t="shared" si="5"/>
        <v>1</v>
      </c>
    </row>
    <row r="24" spans="1:29" ht="15">
      <c r="A24" s="404"/>
      <c r="B24" s="456"/>
      <c r="C24" s="616" t="s">
        <v>3902</v>
      </c>
      <c r="D24" s="448"/>
      <c r="E24" s="2611" t="s">
        <v>3902</v>
      </c>
      <c r="F24" s="448"/>
      <c r="G24" s="2610" t="s">
        <v>3902</v>
      </c>
      <c r="H24" s="448"/>
      <c r="I24" s="2610" t="s">
        <v>3902</v>
      </c>
      <c r="J24" s="448"/>
      <c r="K24" s="812"/>
      <c r="L24" s="1143"/>
      <c r="M24" s="1134"/>
      <c r="N24" s="1134"/>
      <c r="O24" s="1142"/>
      <c r="P24" s="3198"/>
      <c r="Q24" s="1812"/>
      <c r="R24" s="774"/>
      <c r="S24" s="775"/>
      <c r="T24" s="774"/>
      <c r="U24" s="775"/>
      <c r="V24" s="774"/>
      <c r="W24" s="775"/>
      <c r="X24" s="1815"/>
      <c r="Y24" s="3198"/>
      <c r="Z24" s="1816"/>
      <c r="AA24" s="1813"/>
      <c r="AB24" s="1813"/>
      <c r="AC24" s="1813"/>
    </row>
    <row r="25" spans="1:29" ht="57">
      <c r="A25" s="404"/>
      <c r="B25" s="1387" t="s">
        <v>2749</v>
      </c>
      <c r="C25" s="2670" t="str">
        <f>估价对象房地状况!C20</f>
        <v>区域自然环境：；人文环境；综合评价环境状况一般</v>
      </c>
      <c r="D25" s="450">
        <v>100</v>
      </c>
      <c r="E25" s="452"/>
      <c r="F25" s="450">
        <f>SUMIF(98:98,E26,99:99)-SUMIF(98:98,C26,99:99)+100</f>
        <v>103</v>
      </c>
      <c r="G25" s="452"/>
      <c r="H25" s="450">
        <f>SUMIF(98:98,G26,99:99)-SUMIF(98:98,C26,99:99)+100</f>
        <v>103</v>
      </c>
      <c r="I25" s="454"/>
      <c r="J25" s="450">
        <f>SUMIF(98:98,I26,99:99)-SUMIF(98:98,C26,99:99)+100</f>
        <v>97</v>
      </c>
      <c r="K25" s="673">
        <v>3</v>
      </c>
      <c r="L25" s="1143"/>
      <c r="M25" s="1134"/>
      <c r="N25" s="1134"/>
      <c r="O25" s="1142"/>
      <c r="P25" s="3198"/>
      <c r="Q25" s="1812" t="str">
        <f t="shared" si="8"/>
        <v>自然及人文环境状况</v>
      </c>
      <c r="R25" s="774" t="s">
        <v>17</v>
      </c>
      <c r="S25" s="775">
        <f>F25</f>
        <v>103</v>
      </c>
      <c r="T25" s="774" t="s">
        <v>17</v>
      </c>
      <c r="U25" s="775">
        <f>H25</f>
        <v>103</v>
      </c>
      <c r="V25" s="774" t="s">
        <v>17</v>
      </c>
      <c r="W25" s="775">
        <f>J25</f>
        <v>97</v>
      </c>
      <c r="X25" s="1815"/>
      <c r="Y25" s="3198"/>
      <c r="Z25" s="1816" t="str">
        <f>Q25</f>
        <v>自然及人文环境状况</v>
      </c>
      <c r="AA25" s="1813">
        <f t="shared" si="3"/>
        <v>0.970873786407767</v>
      </c>
      <c r="AB25" s="1813">
        <f t="shared" si="4"/>
        <v>0.970873786407767</v>
      </c>
      <c r="AC25" s="1813">
        <f t="shared" si="5"/>
        <v>1.0309278350515463</v>
      </c>
    </row>
    <row r="26" spans="1:29" ht="15">
      <c r="A26" s="404"/>
      <c r="B26" s="456"/>
      <c r="C26" s="447" t="s">
        <v>3901</v>
      </c>
      <c r="D26" s="448"/>
      <c r="E26" s="2617" t="s">
        <v>3902</v>
      </c>
      <c r="F26" s="448"/>
      <c r="G26" s="2617" t="s">
        <v>3902</v>
      </c>
      <c r="H26" s="448"/>
      <c r="I26" s="447" t="s">
        <v>3900</v>
      </c>
      <c r="J26" s="448"/>
      <c r="K26" s="672"/>
      <c r="L26" s="1143"/>
      <c r="M26" s="1134"/>
      <c r="N26" s="1134"/>
      <c r="O26" s="1142"/>
      <c r="P26" s="3198"/>
      <c r="Q26" s="1812"/>
      <c r="R26" s="774"/>
      <c r="S26" s="775"/>
      <c r="T26" s="774"/>
      <c r="U26" s="775"/>
      <c r="V26" s="774"/>
      <c r="W26" s="775"/>
      <c r="X26" s="1815"/>
      <c r="Y26" s="3198"/>
      <c r="Z26" s="1816"/>
      <c r="AA26" s="1813">
        <v>1</v>
      </c>
      <c r="AB26" s="1813">
        <v>1</v>
      </c>
      <c r="AC26" s="1813">
        <v>1</v>
      </c>
    </row>
    <row r="27" spans="1:29" s="117" customFormat="1" ht="42.75">
      <c r="A27" s="649"/>
      <c r="B27" s="1387" t="s">
        <v>2654</v>
      </c>
      <c r="C27" s="2613"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100</v>
      </c>
      <c r="K27" s="673">
        <v>2</v>
      </c>
      <c r="L27" s="1135"/>
      <c r="M27" s="1136"/>
      <c r="N27" s="1136"/>
      <c r="O27" s="1137"/>
      <c r="P27" s="3198"/>
      <c r="Q27" s="1797" t="str">
        <f t="shared" si="8"/>
        <v>公共配套设施</v>
      </c>
      <c r="R27" s="770" t="s">
        <v>17</v>
      </c>
      <c r="S27" s="771">
        <f>F27</f>
        <v>98</v>
      </c>
      <c r="T27" s="770" t="s">
        <v>17</v>
      </c>
      <c r="U27" s="771">
        <f>H27</f>
        <v>98</v>
      </c>
      <c r="V27" s="770" t="s">
        <v>17</v>
      </c>
      <c r="W27" s="771">
        <f>J27</f>
        <v>100</v>
      </c>
      <c r="X27" s="772"/>
      <c r="Y27" s="3198"/>
      <c r="Z27" s="55" t="str">
        <f>Q27</f>
        <v>公共配套设施</v>
      </c>
      <c r="AA27" s="1813">
        <f>D27/F27</f>
        <v>1.0204081632653061</v>
      </c>
      <c r="AB27" s="1813">
        <f>D27/H27</f>
        <v>1.0204081632653061</v>
      </c>
      <c r="AC27" s="1813">
        <f>D27/J27</f>
        <v>1</v>
      </c>
    </row>
    <row r="28" spans="1:29" s="117" customFormat="1" ht="15">
      <c r="A28" s="649"/>
      <c r="B28" s="456"/>
      <c r="C28" s="2706" t="s">
        <v>3902</v>
      </c>
      <c r="D28" s="448"/>
      <c r="E28" s="2617" t="s">
        <v>3901</v>
      </c>
      <c r="F28" s="448"/>
      <c r="G28" s="2617" t="s">
        <v>3901</v>
      </c>
      <c r="H28" s="448"/>
      <c r="I28" s="447" t="s">
        <v>3902</v>
      </c>
      <c r="J28" s="448"/>
      <c r="K28" s="672"/>
      <c r="L28" s="1135"/>
      <c r="M28" s="1136"/>
      <c r="N28" s="1136"/>
      <c r="O28" s="1137"/>
      <c r="P28" s="3198"/>
      <c r="Q28" s="1797"/>
      <c r="R28" s="770"/>
      <c r="S28" s="771"/>
      <c r="T28" s="770"/>
      <c r="U28" s="771"/>
      <c r="V28" s="770"/>
      <c r="W28" s="771"/>
      <c r="X28" s="772"/>
      <c r="Y28" s="3198"/>
      <c r="Z28" s="55"/>
      <c r="AA28" s="1813">
        <v>1</v>
      </c>
      <c r="AB28" s="1813">
        <v>1</v>
      </c>
      <c r="AC28" s="1813">
        <v>1</v>
      </c>
    </row>
    <row r="29" spans="1:29" s="117" customFormat="1" ht="28.5">
      <c r="A29" s="649"/>
      <c r="B29" s="1387"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3</v>
      </c>
      <c r="L29" s="1135"/>
      <c r="M29" s="1136"/>
      <c r="N29" s="1136"/>
      <c r="O29" s="1137"/>
      <c r="P29" s="3198"/>
      <c r="Q29" s="1797" t="str">
        <f t="shared" ref="Q29" si="9">B29</f>
        <v>基础设施水平</v>
      </c>
      <c r="R29" s="770" t="s">
        <v>17</v>
      </c>
      <c r="S29" s="771">
        <f>F29</f>
        <v>100</v>
      </c>
      <c r="T29" s="770" t="s">
        <v>17</v>
      </c>
      <c r="U29" s="771">
        <f>H29</f>
        <v>100</v>
      </c>
      <c r="V29" s="770" t="s">
        <v>17</v>
      </c>
      <c r="W29" s="771">
        <f>J29</f>
        <v>100</v>
      </c>
      <c r="X29" s="772"/>
      <c r="Y29" s="3198"/>
      <c r="Z29" s="55" t="str">
        <f>Q29</f>
        <v>基础设施水平</v>
      </c>
      <c r="AA29" s="1813">
        <f>D29/F29</f>
        <v>1</v>
      </c>
      <c r="AB29" s="1813">
        <f>D29/H29</f>
        <v>1</v>
      </c>
      <c r="AC29" s="1813">
        <f>D29/J29</f>
        <v>1</v>
      </c>
    </row>
    <row r="30" spans="1:29" s="117" customFormat="1" ht="15">
      <c r="A30" s="649"/>
      <c r="B30" s="456"/>
      <c r="C30" s="2706" t="s">
        <v>3891</v>
      </c>
      <c r="D30" s="448"/>
      <c r="E30" s="2707" t="s">
        <v>3891</v>
      </c>
      <c r="F30" s="448"/>
      <c r="G30" s="2707" t="s">
        <v>3891</v>
      </c>
      <c r="H30" s="448"/>
      <c r="I30" s="2707" t="s">
        <v>3891</v>
      </c>
      <c r="J30" s="448"/>
      <c r="K30" s="672"/>
      <c r="L30" s="1135"/>
      <c r="M30" s="1136"/>
      <c r="N30" s="1136"/>
      <c r="O30" s="1137"/>
      <c r="P30" s="3198"/>
      <c r="Q30" s="1797"/>
      <c r="R30" s="770"/>
      <c r="S30" s="771"/>
      <c r="T30" s="770"/>
      <c r="U30" s="771"/>
      <c r="V30" s="770"/>
      <c r="W30" s="771"/>
      <c r="X30" s="772"/>
      <c r="Y30" s="3198"/>
      <c r="Z30" s="55"/>
      <c r="AA30" s="1813">
        <v>1</v>
      </c>
      <c r="AB30" s="1813">
        <v>1</v>
      </c>
      <c r="AC30" s="1813">
        <v>1</v>
      </c>
    </row>
    <row r="31" spans="1:29" ht="15">
      <c r="A31" s="428"/>
      <c r="B31" s="456" t="s">
        <v>2656</v>
      </c>
      <c r="C31" s="616" t="s">
        <v>4011</v>
      </c>
      <c r="D31" s="435">
        <v>100</v>
      </c>
      <c r="E31" s="634" t="s">
        <v>4011</v>
      </c>
      <c r="F31" s="435">
        <f>SUMIF(104:104,E31,105:105)-SUMIF(104:104,C31,105:105)+100</f>
        <v>100</v>
      </c>
      <c r="G31" s="634" t="s">
        <v>4011</v>
      </c>
      <c r="H31" s="435">
        <f>SUMIF(104:104,G31,105:105)-SUMIF(104:104,C31,105:105)+100</f>
        <v>100</v>
      </c>
      <c r="I31" s="634" t="s">
        <v>4013</v>
      </c>
      <c r="J31" s="435">
        <f>SUMIF(104:104,I31,105:105)-SUMIF(104:104,C31,105:105)+100</f>
        <v>103</v>
      </c>
      <c r="K31" s="673">
        <v>3</v>
      </c>
      <c r="L31" s="1143"/>
      <c r="M31" s="1134"/>
      <c r="N31" s="1134"/>
      <c r="O31" s="1142"/>
      <c r="P31" s="3198"/>
      <c r="Q31" s="1812" t="str">
        <f t="shared" si="8"/>
        <v>临街状况</v>
      </c>
      <c r="R31" s="774" t="s">
        <v>17</v>
      </c>
      <c r="S31" s="775">
        <f t="shared" ref="S31:S45" si="10">F31</f>
        <v>100</v>
      </c>
      <c r="T31" s="774" t="s">
        <v>17</v>
      </c>
      <c r="U31" s="775">
        <f t="shared" ref="U31:U45" si="11">H31</f>
        <v>100</v>
      </c>
      <c r="V31" s="774" t="s">
        <v>17</v>
      </c>
      <c r="W31" s="775">
        <f t="shared" ref="W31:W45" si="12">J31</f>
        <v>103</v>
      </c>
      <c r="X31" s="1815"/>
      <c r="Y31" s="3198"/>
      <c r="Z31" s="1816" t="str">
        <f t="shared" ref="Z31:Z45" si="13">Q31</f>
        <v>临街状况</v>
      </c>
      <c r="AA31" s="1813">
        <f t="shared" si="3"/>
        <v>1</v>
      </c>
      <c r="AB31" s="1813">
        <f t="shared" si="4"/>
        <v>1</v>
      </c>
      <c r="AC31" s="1813">
        <f t="shared" si="5"/>
        <v>0.970873786407767</v>
      </c>
    </row>
    <row r="32" spans="1:29" ht="27">
      <c r="A32" s="428"/>
      <c r="B32" s="1387" t="s">
        <v>2691</v>
      </c>
      <c r="C32" s="2973" t="s">
        <v>4012</v>
      </c>
      <c r="D32" s="450">
        <v>100</v>
      </c>
      <c r="E32" s="452"/>
      <c r="F32" s="450">
        <f>SUMIF(106:106,E33,107:107)-SUMIF(106:106,C33,107:107)+100</f>
        <v>100</v>
      </c>
      <c r="G32" s="452"/>
      <c r="H32" s="450">
        <f>SUMIF(106:106,G33,107:107)-SUMIF(106:106,C33,107:107)+100</f>
        <v>100</v>
      </c>
      <c r="I32" s="454"/>
      <c r="J32" s="450">
        <f>SUMIF(106:106,I33,107:107)-SUMIF(106:106,C33,107:107)+100</f>
        <v>100</v>
      </c>
      <c r="K32" s="673">
        <v>3</v>
      </c>
      <c r="L32" s="1143"/>
      <c r="M32" s="1134"/>
      <c r="N32" s="1134"/>
      <c r="O32" s="1142"/>
      <c r="P32" s="3198"/>
      <c r="Q32" s="1812" t="str">
        <f t="shared" si="8"/>
        <v>毗邻道路的类型与等级</v>
      </c>
      <c r="R32" s="774" t="s">
        <v>17</v>
      </c>
      <c r="S32" s="775">
        <f t="shared" si="10"/>
        <v>100</v>
      </c>
      <c r="T32" s="774" t="s">
        <v>17</v>
      </c>
      <c r="U32" s="775">
        <f t="shared" si="11"/>
        <v>100</v>
      </c>
      <c r="V32" s="774" t="s">
        <v>17</v>
      </c>
      <c r="W32" s="775">
        <f t="shared" si="12"/>
        <v>100</v>
      </c>
      <c r="X32" s="1815"/>
      <c r="Y32" s="3198"/>
      <c r="Z32" s="1816" t="str">
        <f t="shared" si="13"/>
        <v>毗邻道路的类型与等级</v>
      </c>
      <c r="AA32" s="1813">
        <f t="shared" si="3"/>
        <v>1</v>
      </c>
      <c r="AB32" s="1813">
        <f t="shared" si="4"/>
        <v>1</v>
      </c>
      <c r="AC32" s="1813">
        <f t="shared" si="5"/>
        <v>1</v>
      </c>
    </row>
    <row r="33" spans="1:29" ht="15">
      <c r="A33" s="428"/>
      <c r="B33" s="456"/>
      <c r="C33" s="447" t="s">
        <v>3993</v>
      </c>
      <c r="D33" s="448"/>
      <c r="E33" s="2617" t="s">
        <v>3993</v>
      </c>
      <c r="F33" s="448"/>
      <c r="G33" s="2617" t="s">
        <v>3993</v>
      </c>
      <c r="H33" s="448"/>
      <c r="I33" s="447" t="s">
        <v>3993</v>
      </c>
      <c r="J33" s="448"/>
      <c r="K33" s="613"/>
      <c r="L33" s="1143"/>
      <c r="M33" s="1134"/>
      <c r="N33" s="1134"/>
      <c r="O33" s="1142"/>
      <c r="P33" s="3198"/>
      <c r="Q33" s="1812"/>
      <c r="R33" s="774"/>
      <c r="S33" s="775"/>
      <c r="T33" s="774"/>
      <c r="U33" s="775"/>
      <c r="V33" s="774"/>
      <c r="W33" s="775"/>
      <c r="X33" s="1815"/>
      <c r="Y33" s="3198"/>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8"/>
      <c r="Q34" s="1812" t="str">
        <f t="shared" si="8"/>
        <v>土地级别</v>
      </c>
      <c r="R34" s="774" t="s">
        <v>17</v>
      </c>
      <c r="S34" s="775">
        <f t="shared" si="10"/>
        <v>100</v>
      </c>
      <c r="T34" s="774" t="s">
        <v>17</v>
      </c>
      <c r="U34" s="775">
        <f t="shared" si="11"/>
        <v>100</v>
      </c>
      <c r="V34" s="774" t="s">
        <v>17</v>
      </c>
      <c r="W34" s="775">
        <f t="shared" si="12"/>
        <v>100</v>
      </c>
      <c r="X34" s="1815"/>
      <c r="Y34" s="3198"/>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8"/>
      <c r="Q35" s="1812">
        <f t="shared" si="8"/>
        <v>111</v>
      </c>
      <c r="R35" s="774" t="s">
        <v>17</v>
      </c>
      <c r="S35" s="775">
        <f t="shared" si="10"/>
        <v>100</v>
      </c>
      <c r="T35" s="774" t="s">
        <v>17</v>
      </c>
      <c r="U35" s="775">
        <f t="shared" si="11"/>
        <v>100</v>
      </c>
      <c r="V35" s="774" t="s">
        <v>17</v>
      </c>
      <c r="W35" s="775">
        <f t="shared" si="12"/>
        <v>100</v>
      </c>
      <c r="X35" s="1815"/>
      <c r="Y35" s="3198"/>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9" t="s">
        <v>2565</v>
      </c>
      <c r="Q36" s="1812">
        <f t="shared" si="8"/>
        <v>111</v>
      </c>
      <c r="R36" s="774" t="s">
        <v>17</v>
      </c>
      <c r="S36" s="775">
        <f t="shared" si="10"/>
        <v>100</v>
      </c>
      <c r="T36" s="774" t="s">
        <v>17</v>
      </c>
      <c r="U36" s="775">
        <f t="shared" si="11"/>
        <v>100</v>
      </c>
      <c r="V36" s="774" t="s">
        <v>17</v>
      </c>
      <c r="W36" s="775">
        <f t="shared" si="12"/>
        <v>100</v>
      </c>
      <c r="X36" s="1815"/>
      <c r="Y36" s="3200" t="s">
        <v>2565</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0"/>
      <c r="Q37" s="1812">
        <f t="shared" si="8"/>
        <v>111</v>
      </c>
      <c r="R37" s="777" t="s">
        <v>17</v>
      </c>
      <c r="S37" s="778">
        <f t="shared" si="10"/>
        <v>100</v>
      </c>
      <c r="T37" s="777" t="s">
        <v>17</v>
      </c>
      <c r="U37" s="778">
        <f t="shared" si="11"/>
        <v>100</v>
      </c>
      <c r="V37" s="777" t="s">
        <v>17</v>
      </c>
      <c r="W37" s="778">
        <f t="shared" si="12"/>
        <v>100</v>
      </c>
      <c r="X37" s="779"/>
      <c r="Y37" s="3200"/>
      <c r="Z37" s="780">
        <f t="shared" si="13"/>
        <v>111</v>
      </c>
      <c r="AA37" s="1813">
        <f t="shared" si="3"/>
        <v>1</v>
      </c>
      <c r="AB37" s="1813">
        <f t="shared" si="4"/>
        <v>1</v>
      </c>
      <c r="AC37" s="1813">
        <f t="shared" si="5"/>
        <v>1</v>
      </c>
    </row>
    <row r="38" spans="1:29" ht="15">
      <c r="A38" s="472" t="s">
        <v>2563</v>
      </c>
      <c r="B38" s="456" t="s">
        <v>2751</v>
      </c>
      <c r="C38" s="679">
        <f>1260*666.67</f>
        <v>840004.2</v>
      </c>
      <c r="D38" s="467">
        <v>100</v>
      </c>
      <c r="E38" s="679">
        <f>Sheet2!D8</f>
        <v>53369.07</v>
      </c>
      <c r="F38" s="467">
        <f>LOOKUP(E38,117:117,118:118)-LOOKUP(C38,117:117,118:118)+100</f>
        <v>94</v>
      </c>
      <c r="G38" s="679">
        <f>Sheet2!D25</f>
        <v>19236.900000000001</v>
      </c>
      <c r="H38" s="467">
        <f>LOOKUP(G38,117:117,118:118)-LOOKUP(C38,117:117,118:118)+100</f>
        <v>90</v>
      </c>
      <c r="I38" s="530">
        <f>Sheet2!D27</f>
        <v>49043</v>
      </c>
      <c r="J38" s="467">
        <f>LOOKUP(I38,117:117,118:118)-LOOKUP(C38,117:117,118:118)+100</f>
        <v>94</v>
      </c>
      <c r="K38" s="613"/>
      <c r="L38" s="1143"/>
      <c r="M38" s="1134"/>
      <c r="N38" s="1134"/>
      <c r="O38" s="1142"/>
      <c r="P38" s="3200"/>
      <c r="Q38" s="1812" t="str">
        <f>B38</f>
        <v>宗地面积</v>
      </c>
      <c r="R38" s="774" t="s">
        <v>17</v>
      </c>
      <c r="S38" s="775">
        <f t="shared" si="10"/>
        <v>94</v>
      </c>
      <c r="T38" s="774" t="s">
        <v>17</v>
      </c>
      <c r="U38" s="775">
        <f t="shared" si="11"/>
        <v>90</v>
      </c>
      <c r="V38" s="774" t="s">
        <v>17</v>
      </c>
      <c r="W38" s="775">
        <f t="shared" si="12"/>
        <v>94</v>
      </c>
      <c r="X38" s="1815"/>
      <c r="Y38" s="3200"/>
      <c r="Z38" s="1816" t="str">
        <f t="shared" si="13"/>
        <v>宗地面积</v>
      </c>
      <c r="AA38" s="1813">
        <f t="shared" si="3"/>
        <v>1.0638297872340425</v>
      </c>
      <c r="AB38" s="1813">
        <f t="shared" si="4"/>
        <v>1.1111111111111112</v>
      </c>
      <c r="AC38" s="1813">
        <f t="shared" si="5"/>
        <v>1.0638297872340425</v>
      </c>
    </row>
    <row r="39" spans="1:29" ht="15">
      <c r="A39" s="472"/>
      <c r="B39" s="422" t="s">
        <v>2752</v>
      </c>
      <c r="C39" s="2619" t="s">
        <v>3997</v>
      </c>
      <c r="D39" s="435">
        <v>100</v>
      </c>
      <c r="E39" s="2619" t="s">
        <v>3997</v>
      </c>
      <c r="F39" s="435">
        <f>SUMIF(119:119,E39,120:120)-SUMIF(119:119,C39,120:120)+100</f>
        <v>100</v>
      </c>
      <c r="G39" s="2619" t="s">
        <v>3997</v>
      </c>
      <c r="H39" s="435">
        <f>SUMIF(119:119,G39,120:120)-SUMIF(119:119,C39,120:120)+100</f>
        <v>100</v>
      </c>
      <c r="I39" s="2619" t="s">
        <v>3997</v>
      </c>
      <c r="J39" s="435">
        <f>SUMIF(119:119,I39,120:120)-SUMIF(119:119,C39,120:120)+100</f>
        <v>100</v>
      </c>
      <c r="K39" s="612">
        <v>2</v>
      </c>
      <c r="L39" s="1143"/>
      <c r="M39" s="1134"/>
      <c r="N39" s="1134"/>
      <c r="O39" s="1142"/>
      <c r="P39" s="3200"/>
      <c r="Q39" s="1812" t="str">
        <f t="shared" ref="Q39:Q45" si="14">B39</f>
        <v>宗地形状</v>
      </c>
      <c r="R39" s="774" t="s">
        <v>17</v>
      </c>
      <c r="S39" s="775">
        <f t="shared" si="10"/>
        <v>100</v>
      </c>
      <c r="T39" s="774" t="s">
        <v>17</v>
      </c>
      <c r="U39" s="775">
        <f t="shared" si="11"/>
        <v>100</v>
      </c>
      <c r="V39" s="774" t="s">
        <v>17</v>
      </c>
      <c r="W39" s="775">
        <f t="shared" si="12"/>
        <v>100</v>
      </c>
      <c r="X39" s="1815"/>
      <c r="Y39" s="3200"/>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v>2</v>
      </c>
      <c r="L40" s="1143"/>
      <c r="M40" s="1134"/>
      <c r="N40" s="1134"/>
      <c r="O40" s="1142"/>
      <c r="P40" s="3200"/>
      <c r="Q40" s="1812" t="str">
        <f t="shared" si="14"/>
        <v>临街宽度及深度</v>
      </c>
      <c r="R40" s="774" t="s">
        <v>17</v>
      </c>
      <c r="S40" s="775">
        <f t="shared" si="10"/>
        <v>100</v>
      </c>
      <c r="T40" s="774" t="s">
        <v>17</v>
      </c>
      <c r="U40" s="775">
        <f t="shared" si="11"/>
        <v>100</v>
      </c>
      <c r="V40" s="774" t="s">
        <v>17</v>
      </c>
      <c r="W40" s="775">
        <f t="shared" si="12"/>
        <v>100</v>
      </c>
      <c r="X40" s="1815"/>
      <c r="Y40" s="3200"/>
      <c r="Z40" s="1816" t="str">
        <f t="shared" si="13"/>
        <v>临街宽度及深度</v>
      </c>
      <c r="AA40" s="1813">
        <f t="shared" si="3"/>
        <v>1</v>
      </c>
      <c r="AB40" s="1813">
        <f t="shared" si="4"/>
        <v>1</v>
      </c>
      <c r="AC40" s="1813">
        <f t="shared" si="5"/>
        <v>1</v>
      </c>
    </row>
    <row r="41" spans="1:29" s="117" customFormat="1" ht="15">
      <c r="A41" s="473"/>
      <c r="B41" s="422" t="s">
        <v>2754</v>
      </c>
      <c r="C41" s="2708" t="s">
        <v>3891</v>
      </c>
      <c r="D41" s="136">
        <v>100</v>
      </c>
      <c r="E41" s="2708" t="s">
        <v>3895</v>
      </c>
      <c r="F41" s="435">
        <f>SUMIF(123:123,E41,124:124)-SUMIF(123:123,C41,124:124)+100</f>
        <v>94</v>
      </c>
      <c r="G41" s="2708" t="s">
        <v>3895</v>
      </c>
      <c r="H41" s="435">
        <f>SUMIF(123:123,G41,124:124)-SUMIF(123:123,C41,124:124)+100</f>
        <v>94</v>
      </c>
      <c r="I41" s="2708" t="s">
        <v>3895</v>
      </c>
      <c r="J41" s="435">
        <f>SUMIF(123:123,I41,124:124)-SUMIF(123:123,C41,124:124)+100</f>
        <v>94</v>
      </c>
      <c r="K41" s="612">
        <v>2</v>
      </c>
      <c r="L41" s="1135"/>
      <c r="M41" s="1136"/>
      <c r="N41" s="1136"/>
      <c r="O41" s="1137"/>
      <c r="P41" s="3200"/>
      <c r="Q41" s="1812" t="str">
        <f t="shared" si="14"/>
        <v>宗地开发程度</v>
      </c>
      <c r="R41" s="770" t="s">
        <v>17</v>
      </c>
      <c r="S41" s="771">
        <f t="shared" si="10"/>
        <v>94</v>
      </c>
      <c r="T41" s="770" t="s">
        <v>17</v>
      </c>
      <c r="U41" s="771">
        <f t="shared" si="11"/>
        <v>94</v>
      </c>
      <c r="V41" s="770" t="s">
        <v>17</v>
      </c>
      <c r="W41" s="771">
        <f t="shared" si="12"/>
        <v>94</v>
      </c>
      <c r="X41" s="772"/>
      <c r="Y41" s="3200"/>
      <c r="Z41" s="55" t="str">
        <f t="shared" si="13"/>
        <v>宗地开发程度</v>
      </c>
      <c r="AA41" s="773">
        <f t="shared" si="3"/>
        <v>1.0638297872340425</v>
      </c>
      <c r="AB41" s="773">
        <f t="shared" si="4"/>
        <v>1.0638297872340425</v>
      </c>
      <c r="AC41" s="773">
        <f t="shared" si="5"/>
        <v>1.0638297872340425</v>
      </c>
    </row>
    <row r="42" spans="1:29" ht="15">
      <c r="A42" s="472"/>
      <c r="B42" s="422" t="s">
        <v>2755</v>
      </c>
      <c r="C42" s="2619" t="s">
        <v>3902</v>
      </c>
      <c r="D42" s="435">
        <v>100</v>
      </c>
      <c r="E42" s="2619" t="s">
        <v>3902</v>
      </c>
      <c r="F42" s="435">
        <f>SUMIF(125:125,E42,126:126)-SUMIF(125:125,C42,126:126)+100</f>
        <v>100</v>
      </c>
      <c r="G42" s="2619" t="s">
        <v>3902</v>
      </c>
      <c r="H42" s="435">
        <f>SUMIF(125:125,G42,126:126)-SUMIF(125:125,C42,126:126)+100</f>
        <v>100</v>
      </c>
      <c r="I42" s="2619" t="s">
        <v>3902</v>
      </c>
      <c r="J42" s="435">
        <f>SUMIF(125:125,I42,126:126)-SUMIF(125:125,C42,126:126)+100</f>
        <v>100</v>
      </c>
      <c r="K42" s="612">
        <v>2</v>
      </c>
      <c r="L42" s="1143"/>
      <c r="M42" s="1134"/>
      <c r="N42" s="1134"/>
      <c r="O42" s="1142"/>
      <c r="P42" s="3200" t="s">
        <v>2565</v>
      </c>
      <c r="Q42" s="1812" t="str">
        <f t="shared" si="14"/>
        <v>工程地质条件</v>
      </c>
      <c r="R42" s="774" t="s">
        <v>17</v>
      </c>
      <c r="S42" s="775">
        <f t="shared" si="10"/>
        <v>100</v>
      </c>
      <c r="T42" s="774" t="s">
        <v>17</v>
      </c>
      <c r="U42" s="775">
        <f t="shared" si="11"/>
        <v>100</v>
      </c>
      <c r="V42" s="774" t="s">
        <v>17</v>
      </c>
      <c r="W42" s="775">
        <f t="shared" si="12"/>
        <v>100</v>
      </c>
      <c r="X42" s="1815"/>
      <c r="Y42" s="3200" t="s">
        <v>2565</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0"/>
      <c r="Q43" s="1812">
        <f t="shared" si="14"/>
        <v>111</v>
      </c>
      <c r="R43" s="774" t="s">
        <v>17</v>
      </c>
      <c r="S43" s="775">
        <f t="shared" si="10"/>
        <v>100</v>
      </c>
      <c r="T43" s="774" t="s">
        <v>17</v>
      </c>
      <c r="U43" s="775">
        <f t="shared" si="11"/>
        <v>100</v>
      </c>
      <c r="V43" s="774" t="s">
        <v>17</v>
      </c>
      <c r="W43" s="775">
        <f t="shared" si="12"/>
        <v>100</v>
      </c>
      <c r="X43" s="1815"/>
      <c r="Y43" s="3200"/>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0"/>
      <c r="Q44" s="1812">
        <f t="shared" si="14"/>
        <v>111</v>
      </c>
      <c r="R44" s="774" t="s">
        <v>17</v>
      </c>
      <c r="S44" s="775">
        <f t="shared" si="10"/>
        <v>100</v>
      </c>
      <c r="T44" s="774" t="s">
        <v>17</v>
      </c>
      <c r="U44" s="775">
        <f t="shared" si="11"/>
        <v>100</v>
      </c>
      <c r="V44" s="774" t="s">
        <v>17</v>
      </c>
      <c r="W44" s="775">
        <f t="shared" si="12"/>
        <v>100</v>
      </c>
      <c r="X44" s="1815"/>
      <c r="Y44" s="3200"/>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0"/>
      <c r="Q45" s="1812">
        <f t="shared" si="14"/>
        <v>111</v>
      </c>
      <c r="R45" s="777" t="s">
        <v>17</v>
      </c>
      <c r="S45" s="778">
        <f t="shared" si="10"/>
        <v>100</v>
      </c>
      <c r="T45" s="777" t="s">
        <v>17</v>
      </c>
      <c r="U45" s="778">
        <f t="shared" si="11"/>
        <v>100</v>
      </c>
      <c r="V45" s="777" t="s">
        <v>17</v>
      </c>
      <c r="W45" s="778">
        <f t="shared" si="12"/>
        <v>100</v>
      </c>
      <c r="X45" s="779"/>
      <c r="Y45" s="3200"/>
      <c r="Z45" s="780">
        <f t="shared" si="13"/>
        <v>111</v>
      </c>
      <c r="AA45" s="1813">
        <f t="shared" si="3"/>
        <v>1</v>
      </c>
      <c r="AB45" s="1813">
        <f t="shared" si="4"/>
        <v>1</v>
      </c>
      <c r="AC45" s="1813">
        <f t="shared" si="5"/>
        <v>1</v>
      </c>
    </row>
    <row r="46" spans="1:29" ht="15">
      <c r="A46" s="479" t="s">
        <v>2720</v>
      </c>
      <c r="B46" s="2710" t="s">
        <v>2756</v>
      </c>
      <c r="C46" s="682" t="s">
        <v>1</v>
      </c>
      <c r="D46" s="481"/>
      <c r="E46" s="482">
        <f>Sheet2!K8</f>
        <v>4018</v>
      </c>
      <c r="F46" s="483"/>
      <c r="G46" s="484">
        <f>Sheet2!K25</f>
        <v>4017</v>
      </c>
      <c r="H46" s="485"/>
      <c r="I46" s="482">
        <f>ROUND(Sheet2!K27,0)</f>
        <v>4573</v>
      </c>
      <c r="J46" s="485"/>
      <c r="K46" s="783"/>
      <c r="L46" s="1146"/>
      <c r="M46" s="1147"/>
      <c r="N46" s="1134"/>
      <c r="O46" s="1147"/>
      <c r="P46" s="3182" t="str">
        <f>A46</f>
        <v>成交单价</v>
      </c>
      <c r="Q46" s="3182"/>
      <c r="R46" s="3195">
        <f>E46</f>
        <v>4018</v>
      </c>
      <c r="S46" s="3195"/>
      <c r="T46" s="3195">
        <f>G46</f>
        <v>4017</v>
      </c>
      <c r="U46" s="3195"/>
      <c r="V46" s="3195">
        <f>I46</f>
        <v>4573</v>
      </c>
      <c r="W46" s="3195"/>
      <c r="X46" s="759"/>
      <c r="Y46" s="781"/>
      <c r="Z46" s="759"/>
      <c r="AA46" s="759"/>
      <c r="AB46" s="759"/>
      <c r="AC46" s="759"/>
    </row>
    <row r="47" spans="1:29" ht="15.75" thickBot="1">
      <c r="A47" s="486" t="s">
        <v>2669</v>
      </c>
      <c r="B47" s="683"/>
      <c r="C47" s="490">
        <f>R48</f>
        <v>4538</v>
      </c>
      <c r="D47" s="489"/>
      <c r="E47" s="490">
        <f>R47</f>
        <v>4248</v>
      </c>
      <c r="F47" s="491"/>
      <c r="G47" s="488">
        <f>T47</f>
        <v>4481</v>
      </c>
      <c r="H47" s="489"/>
      <c r="I47" s="490">
        <f>V47</f>
        <v>4884</v>
      </c>
      <c r="J47" s="489"/>
      <c r="K47" s="784"/>
      <c r="L47" s="1146"/>
      <c r="M47" s="1147"/>
      <c r="N47" s="1147"/>
      <c r="O47" s="1147"/>
      <c r="P47" s="3182" t="str">
        <f>A47</f>
        <v>比较价值（元/平方米）</v>
      </c>
      <c r="Q47" s="3182"/>
      <c r="R47" s="3201">
        <f>ROUND(PRODUCT(R46,AA7:AA45),0)</f>
        <v>4248</v>
      </c>
      <c r="S47" s="3201"/>
      <c r="T47" s="3201">
        <f>ROUND(PRODUCT(T46,AB7:AB45),0)</f>
        <v>4481</v>
      </c>
      <c r="U47" s="3201"/>
      <c r="V47" s="3201">
        <f>ROUND(PRODUCT(V46,AC7:AC45),0)</f>
        <v>4884</v>
      </c>
      <c r="W47" s="3201"/>
      <c r="X47" s="759"/>
      <c r="Y47" s="759"/>
      <c r="Z47" s="759"/>
      <c r="AA47" s="759"/>
      <c r="AB47" s="759"/>
      <c r="AC47" s="759"/>
    </row>
    <row r="48" spans="1:29" ht="15.75" thickBot="1">
      <c r="A48" s="492" t="s">
        <v>2757</v>
      </c>
      <c r="B48" s="493"/>
      <c r="C48" s="494">
        <f>R48</f>
        <v>4538</v>
      </c>
      <c r="D48" s="494"/>
      <c r="E48" s="494"/>
      <c r="F48" s="494"/>
      <c r="G48" s="494"/>
      <c r="H48" s="494"/>
      <c r="I48" s="494"/>
      <c r="J48" s="494"/>
      <c r="K48" s="785"/>
      <c r="L48" s="1146"/>
      <c r="M48" s="1147"/>
      <c r="N48" s="1147"/>
      <c r="O48" s="1147"/>
      <c r="P48" s="3202" t="str">
        <f>A48</f>
        <v>估价对象XX用房的比较价值（楼面单价，元/平方米）</v>
      </c>
      <c r="Q48" s="3203"/>
      <c r="R48" s="3204">
        <f>ROUND(AVERAGE(R47:V47),0)</f>
        <v>4538</v>
      </c>
      <c r="S48" s="3204"/>
      <c r="T48" s="3204"/>
      <c r="U48" s="3204"/>
      <c r="V48" s="3204"/>
      <c r="W48" s="32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5.7242409158785534E-2</v>
      </c>
      <c r="F51" s="500" t="str">
        <f>IF(OR(E51&gt;=0.3,E51&lt;=-0.3),"超过30%","")</f>
        <v/>
      </c>
      <c r="G51" s="499">
        <f>IF(G46&lt;G47,G47/G46-1,G46/G47-1)</f>
        <v>0.11550908638287272</v>
      </c>
      <c r="H51" s="500" t="str">
        <f>IF(OR(G51&gt;=0.3,G51&lt;=-0.3),"超过30%","")</f>
        <v/>
      </c>
      <c r="I51" s="499">
        <f>IF(I46&lt;I47,I47/I46-1,I46/I47-1)</f>
        <v>6.8007872293899041E-2</v>
      </c>
      <c r="J51" s="500" t="str">
        <f>IF(OR(I51&gt;=0.3,I51&lt;=-0.3),"超过30%","")</f>
        <v/>
      </c>
      <c r="K51" s="1108"/>
      <c r="L51" s="1109"/>
      <c r="M51" s="1147"/>
      <c r="N51" s="1147"/>
      <c r="O51" s="1147"/>
    </row>
    <row r="52" spans="1:15" ht="13.5" customHeight="1">
      <c r="A52" s="1147"/>
      <c r="B52" s="1147"/>
      <c r="C52" s="497" t="s">
        <v>2672</v>
      </c>
      <c r="D52" s="501"/>
      <c r="E52" s="499">
        <f>IF(E47&lt;G47,G47/E47-1,E47/G47-1)</f>
        <v>5.4849340866290008E-2</v>
      </c>
      <c r="F52" s="500" t="str">
        <f>IF(OR(E52&gt;=0.2,E52&lt;=-0.2),"超过20%","")</f>
        <v/>
      </c>
      <c r="G52" s="499">
        <f>IF(G47&lt;I47,I47/G47-1,G47/I47-1)</f>
        <v>8.9935282303057251E-2</v>
      </c>
      <c r="H52" s="500" t="str">
        <f>IF(OR(G52&gt;=0.2,G52&lt;=-0.2),"超过20%","")</f>
        <v/>
      </c>
      <c r="I52" s="499">
        <f>IF(I47&lt;E47,E47/I47-1,I47/E47-1)</f>
        <v>0.14971751412429368</v>
      </c>
      <c r="J52" s="500" t="str">
        <f>IF(OR(I52&gt;=0.2,I52&lt;=-0.2),"超过20%","")</f>
        <v/>
      </c>
      <c r="K52" s="1108"/>
      <c r="L52" s="1109"/>
      <c r="M52" s="1147"/>
      <c r="N52" s="1147"/>
      <c r="O52" s="1147"/>
    </row>
    <row r="53" spans="1:15" s="502" customFormat="1" ht="13.5" customHeight="1">
      <c r="A53" s="1148"/>
      <c r="B53" s="1148"/>
      <c r="C53" s="497" t="s">
        <v>2673</v>
      </c>
      <c r="D53" s="501"/>
      <c r="E53" s="499">
        <f>IF(E46&lt;G46,G46/E46-1,E46/G46-1)</f>
        <v>2.4894199651481763E-4</v>
      </c>
      <c r="F53" s="500" t="str">
        <f>IF(OR(E53&gt;=0.3,E53&lt;=-0.3),"超过30%","")</f>
        <v/>
      </c>
      <c r="G53" s="499">
        <f>IF(G46&lt;I46,I46/G46-1,G46/I46-1)</f>
        <v>0.13841175006223549</v>
      </c>
      <c r="H53" s="500" t="str">
        <f>IF(OR(G53&gt;=0.3,G53&lt;=-0.3),"超过30%","")</f>
        <v/>
      </c>
      <c r="I53" s="499">
        <f>IF(I46&lt;E46,E46/I46-1,I46/E46-1)</f>
        <v>0.13812842210054743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2760</v>
      </c>
      <c r="D55" s="2712" t="s">
        <v>2761</v>
      </c>
      <c r="E55" s="686" t="s">
        <v>2762</v>
      </c>
      <c r="F55" s="1110" t="s">
        <v>2763</v>
      </c>
      <c r="G55" s="3183" t="s">
        <v>2764</v>
      </c>
      <c r="H55" s="3205"/>
      <c r="I55" s="144" t="s">
        <v>2765</v>
      </c>
      <c r="J55" s="2713">
        <f>项目基本情况!F35</f>
        <v>0</v>
      </c>
      <c r="K55" s="2714" t="s">
        <v>2766</v>
      </c>
      <c r="L55" s="1109"/>
      <c r="M55" s="1147"/>
      <c r="N55" s="1147"/>
      <c r="O55" s="1147"/>
    </row>
    <row r="56" spans="1:15" s="692" customFormat="1">
      <c r="A56" s="688" t="s">
        <v>2767</v>
      </c>
      <c r="B56" s="689">
        <f>C48</f>
        <v>4538</v>
      </c>
      <c r="C56" s="690">
        <v>1</v>
      </c>
      <c r="D56" s="1166">
        <v>1</v>
      </c>
      <c r="E56" s="690">
        <f>'数据-汇总表'!E8+'数据-汇总表'!E9</f>
        <v>34338.32</v>
      </c>
      <c r="F56" s="1106">
        <f t="shared" ref="F56:F65" si="15">ROUND(B56*E56/10000,0)</f>
        <v>15583</v>
      </c>
      <c r="G56" s="3206"/>
      <c r="H56" s="3182"/>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07"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07"/>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07"/>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07"/>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5"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5"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34338.32</v>
      </c>
      <c r="F66" s="697">
        <f>IF(B46="楼面地价",SUM(F56:F65),ROUND(C48*E66/10000,0))</f>
        <v>15583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4" t="str">
        <f>YEAR(C68)&amp;"-"&amp;ROUNDUP(MONTH(C68)/3,0)</f>
        <v>2019-3</v>
      </c>
      <c r="D70" s="1574" t="str">
        <f>YEAR(D68)&amp;"-"&amp;ROUNDUP(MONTH(D68)/3,0)</f>
        <v>2019-2</v>
      </c>
      <c r="E70" s="1574" t="str">
        <f t="shared" ref="E70:O70" si="19">YEAR(E68)&amp;"-"&amp;ROUNDUP(MONTH(E68)/3,0)</f>
        <v>2019-1</v>
      </c>
      <c r="F70" s="1574" t="str">
        <f t="shared" si="19"/>
        <v>2018-4</v>
      </c>
      <c r="G70" s="1574" t="str">
        <f t="shared" si="19"/>
        <v>2018-3</v>
      </c>
      <c r="H70" s="1574" t="str">
        <f t="shared" si="19"/>
        <v>2018-2</v>
      </c>
      <c r="I70" s="1574" t="str">
        <f t="shared" si="19"/>
        <v>2018-1</v>
      </c>
      <c r="J70" s="1574" t="str">
        <f t="shared" si="19"/>
        <v>2017-4</v>
      </c>
      <c r="K70" s="1574" t="str">
        <f t="shared" si="19"/>
        <v>2017-3</v>
      </c>
      <c r="L70" s="1574" t="str">
        <f t="shared" si="19"/>
        <v>2017-2</v>
      </c>
      <c r="M70" s="1574" t="str">
        <f t="shared" si="19"/>
        <v>2017-1</v>
      </c>
      <c r="N70" s="1574" t="str">
        <f t="shared" si="19"/>
        <v>2016-4</v>
      </c>
      <c r="O70" s="1574" t="str">
        <f t="shared" si="19"/>
        <v>2016-3</v>
      </c>
      <c r="P70" s="507"/>
    </row>
    <row r="71" spans="1:17" s="117" customFormat="1" ht="30" customHeight="1">
      <c r="A71" s="2718" t="s">
        <v>2783</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2585</v>
      </c>
      <c r="B72" s="516"/>
      <c r="C72" s="517">
        <v>0.5</v>
      </c>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68" t="s">
        <v>3988</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97</v>
      </c>
      <c r="E97" s="544">
        <f>D97-$K23</f>
        <v>94</v>
      </c>
      <c r="F97" s="544">
        <f>E97-$K23</f>
        <v>91</v>
      </c>
      <c r="G97" s="544">
        <f>F97-$K23</f>
        <v>88</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97</v>
      </c>
      <c r="E103" s="544">
        <f>D103-$K29</f>
        <v>94</v>
      </c>
      <c r="F103" s="544">
        <f>E103-$K29</f>
        <v>91</v>
      </c>
      <c r="G103" s="544">
        <f>F103-$K29</f>
        <v>88</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3">D105-$K31</f>
        <v>94</v>
      </c>
      <c r="F105" s="544">
        <f t="shared" si="23"/>
        <v>91</v>
      </c>
      <c r="G105" s="544">
        <f t="shared" si="23"/>
        <v>88</v>
      </c>
      <c r="H105" s="544">
        <f t="shared" si="23"/>
        <v>85</v>
      </c>
      <c r="I105" s="544">
        <f t="shared" si="23"/>
        <v>82</v>
      </c>
      <c r="J105" s="544">
        <f t="shared" si="23"/>
        <v>79</v>
      </c>
      <c r="K105" s="544">
        <f t="shared" si="23"/>
        <v>76</v>
      </c>
      <c r="L105" s="544">
        <f t="shared" si="23"/>
        <v>73</v>
      </c>
      <c r="M105" s="544">
        <f t="shared" si="23"/>
        <v>70</v>
      </c>
      <c r="N105" s="1156"/>
      <c r="O105" s="1156"/>
      <c r="P105" s="45"/>
      <c r="Q105" s="504"/>
    </row>
    <row r="106" spans="1:17" ht="27.75" thickTop="1">
      <c r="A106" s="534"/>
      <c r="B106" s="538" t="s">
        <v>2691</v>
      </c>
      <c r="C106" s="2969" t="s">
        <v>3989</v>
      </c>
      <c r="D106" s="2969" t="s">
        <v>3990</v>
      </c>
      <c r="E106" s="2969" t="s">
        <v>3991</v>
      </c>
      <c r="F106" s="2969" t="s">
        <v>3992</v>
      </c>
      <c r="G106" s="2969" t="s">
        <v>3994</v>
      </c>
      <c r="H106" s="583"/>
      <c r="I106" s="583"/>
      <c r="J106" s="583"/>
      <c r="K106" s="584"/>
      <c r="L106" s="585"/>
      <c r="M106" s="586"/>
      <c r="N106" s="1155"/>
      <c r="O106" s="1155"/>
      <c r="P106" s="45"/>
      <c r="Q106" s="504"/>
    </row>
    <row r="107" spans="1:17" ht="15.75" thickBot="1">
      <c r="A107" s="534"/>
      <c r="B107" s="543"/>
      <c r="C107" s="544">
        <v>100</v>
      </c>
      <c r="D107" s="544">
        <f>C107-$K32</f>
        <v>97</v>
      </c>
      <c r="E107" s="544">
        <f t="shared" ref="E107:M107" si="24">D107-$K32</f>
        <v>94</v>
      </c>
      <c r="F107" s="544">
        <f t="shared" si="24"/>
        <v>91</v>
      </c>
      <c r="G107" s="544">
        <f t="shared" si="24"/>
        <v>88</v>
      </c>
      <c r="H107" s="544">
        <f t="shared" si="24"/>
        <v>85</v>
      </c>
      <c r="I107" s="544">
        <f t="shared" si="24"/>
        <v>82</v>
      </c>
      <c r="J107" s="544">
        <f t="shared" si="24"/>
        <v>79</v>
      </c>
      <c r="K107" s="544">
        <f t="shared" si="24"/>
        <v>76</v>
      </c>
      <c r="L107" s="544">
        <f t="shared" si="24"/>
        <v>73</v>
      </c>
      <c r="M107" s="544">
        <f t="shared" si="24"/>
        <v>70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102</v>
      </c>
      <c r="E118" s="570">
        <v>104</v>
      </c>
      <c r="F118" s="591">
        <v>106</v>
      </c>
      <c r="G118" s="570">
        <v>108</v>
      </c>
      <c r="H118" s="591">
        <v>110</v>
      </c>
      <c r="I118" s="591"/>
      <c r="J118" s="591"/>
      <c r="K118" s="591"/>
      <c r="L118" s="591"/>
      <c r="M118" s="592"/>
      <c r="N118" s="1156"/>
      <c r="O118" s="1156"/>
      <c r="P118" s="45"/>
      <c r="Q118" s="504"/>
    </row>
    <row r="119" spans="1:17" ht="15" thickTop="1">
      <c r="A119" s="599"/>
      <c r="B119" s="538" t="s">
        <v>2792</v>
      </c>
      <c r="C119" s="2970" t="s">
        <v>3995</v>
      </c>
      <c r="D119" s="2970" t="s">
        <v>3996</v>
      </c>
      <c r="E119" s="2970" t="s">
        <v>3998</v>
      </c>
      <c r="F119" s="2970" t="s">
        <v>3999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2794</v>
      </c>
      <c r="C123" s="2969" t="s">
        <v>4000</v>
      </c>
      <c r="D123" s="2969" t="s">
        <v>4001</v>
      </c>
      <c r="E123" s="2969" t="s">
        <v>4002</v>
      </c>
      <c r="F123" s="2969" t="s">
        <v>4003</v>
      </c>
      <c r="G123" s="2969" t="s">
        <v>4004</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2795</v>
      </c>
      <c r="C125" s="2969" t="s">
        <v>4005</v>
      </c>
      <c r="D125" s="2969" t="s">
        <v>4006</v>
      </c>
      <c r="E125" s="2970" t="s">
        <v>4007</v>
      </c>
      <c r="F125" s="2970" t="s">
        <v>4008</v>
      </c>
      <c r="G125" s="2970" t="s">
        <v>4009</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49073</v>
      </c>
      <c r="C2" s="320" t="s">
        <v>2463</v>
      </c>
      <c r="D2" s="320"/>
      <c r="E2" s="320"/>
      <c r="F2" s="320"/>
      <c r="G2" s="320"/>
      <c r="H2" s="320"/>
      <c r="I2" s="320"/>
      <c r="J2" s="320"/>
      <c r="K2" s="320"/>
    </row>
    <row r="3" spans="1:33" ht="18" customHeight="1" thickBot="1">
      <c r="A3" s="247" t="s">
        <v>2332</v>
      </c>
      <c r="B3" s="248">
        <f ca="1">ROUND(B2*10000/IF(C1="",'数据-汇总表'!E3,INDIRECT("'数据-取费表'!K"&amp;$K$1)),0)</f>
        <v>14291</v>
      </c>
      <c r="C3" s="320" t="s">
        <v>2464</v>
      </c>
      <c r="D3" s="320"/>
      <c r="E3" s="320"/>
      <c r="F3" s="320"/>
      <c r="G3" s="320"/>
      <c r="H3" s="320"/>
      <c r="I3" s="320"/>
      <c r="J3" s="320"/>
      <c r="K3" s="320"/>
    </row>
    <row r="4" spans="1:33" s="959" customFormat="1" ht="16.5" customHeight="1">
      <c r="A4" s="956" t="s">
        <v>2465</v>
      </c>
      <c r="B4" s="957"/>
      <c r="C4" s="999">
        <f>SUM(C8:K8)</f>
        <v>59893</v>
      </c>
      <c r="D4" s="957"/>
      <c r="E4" s="957"/>
      <c r="F4" s="957"/>
      <c r="G4" s="957"/>
      <c r="H4" s="957"/>
      <c r="I4" s="957"/>
      <c r="J4" s="957"/>
      <c r="K4" s="958"/>
    </row>
    <row r="5" spans="1:33" s="963" customFormat="1" ht="15">
      <c r="A5" s="960" t="s">
        <v>2466</v>
      </c>
      <c r="B5" s="961" t="s">
        <v>2467</v>
      </c>
      <c r="C5" s="2560" t="s">
        <v>3868</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'比较法-住宅'!B3</f>
        <v>17442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34338.32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f>'比较法-住宅'!B2</f>
        <v>59893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2189</v>
      </c>
      <c r="D11" s="976"/>
      <c r="E11" s="375"/>
      <c r="F11" s="977">
        <f ca="1">1-IF('数据-取费表'!B24=0,1,IF(C1="",'数据-取费表'!N16,INDIRECT("'数据-取费表'!n"&amp;$K$1)))</f>
        <v>0.15000000000000002</v>
      </c>
      <c r="G11" s="8"/>
      <c r="H11" s="971"/>
      <c r="I11" s="971"/>
      <c r="J11" s="971"/>
      <c r="K11" s="972"/>
    </row>
    <row r="12" spans="1:33" s="978" customFormat="1" ht="13.5" customHeight="1">
      <c r="A12" s="974" t="s">
        <v>1331</v>
      </c>
      <c r="B12" s="975" t="s">
        <v>2481</v>
      </c>
      <c r="C12" s="24">
        <f ca="1">ROUND(C11*F12,0)</f>
        <v>109</v>
      </c>
      <c r="D12" s="976"/>
      <c r="E12" s="375"/>
      <c r="F12" s="979">
        <f>'数据-取费表'!B33</f>
        <v>0.05</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219</v>
      </c>
      <c r="D13" s="1036"/>
      <c r="E13" s="375"/>
      <c r="F13" s="979">
        <f>'数据-取费表'!B34</f>
        <v>0.1</v>
      </c>
      <c r="G13" s="8" t="s">
        <v>2484</v>
      </c>
      <c r="H13" s="971"/>
      <c r="I13" s="971"/>
      <c r="J13" s="971"/>
      <c r="K13" s="972"/>
    </row>
    <row r="14" spans="1:33" s="980" customFormat="1" ht="13.5" customHeight="1">
      <c r="A14" s="974" t="s">
        <v>1333</v>
      </c>
      <c r="B14" s="975" t="s">
        <v>2485</v>
      </c>
      <c r="C14" s="24">
        <f ca="1">ROUND(D14*E14*F11/10000,0)</f>
        <v>103</v>
      </c>
      <c r="D14" s="1036">
        <f ca="1">IF(C1="",'数据-汇总表'!E3,INDIRECT("'数据-取费表'!K"&amp;$K$1)+INDIRECT("'数据-取费表'!S"&amp;$K$1))</f>
        <v>34338.32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33</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2653</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34338.32</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2" t="s">
        <v>3870</v>
      </c>
      <c r="H18" s="1579"/>
      <c r="I18" s="2563" t="s">
        <v>2493</v>
      </c>
      <c r="J18" s="982"/>
      <c r="K18" s="983"/>
    </row>
    <row r="19" spans="1:33" s="978" customFormat="1" ht="13.5" customHeight="1">
      <c r="A19" s="974" t="s">
        <v>805</v>
      </c>
      <c r="B19" s="975" t="s">
        <v>2494</v>
      </c>
      <c r="C19" s="24">
        <f ca="1">ROUND(D19*E19/10000,0)</f>
        <v>755</v>
      </c>
      <c r="D19" s="1036">
        <f ca="1">IF(C1="",'数据-汇总表'!E5,IF(INDIRECT("'数据-取费表'!c"&amp;$K$1)="住宅",INDIRECT("'数据-取费表'!k"&amp;$K$1),0))</f>
        <v>34338.32</v>
      </c>
      <c r="E19" s="24">
        <f>'数据-取费表'!B27</f>
        <v>220</v>
      </c>
      <c r="F19" s="979"/>
      <c r="G19" s="15"/>
      <c r="H19" s="1581"/>
      <c r="I19" s="984"/>
      <c r="J19" s="984"/>
      <c r="K19" s="985"/>
    </row>
    <row r="20" spans="1:33" s="978" customFormat="1" ht="13.5" customHeight="1">
      <c r="A20" s="974" t="s">
        <v>806</v>
      </c>
      <c r="B20" s="975" t="s">
        <v>2495</v>
      </c>
      <c r="C20" s="24">
        <f ca="1">ROUND(D20*E20/10000,0)</f>
        <v>0</v>
      </c>
      <c r="D20" s="1036">
        <f ca="1">IF(C1="",'数据-汇总表'!E6,IF(INDIRECT("'数据-取费表'!c"&amp;$K$1)="住宅",INDIRECT("'数据-取费表'!s"&amp;$K$1),INDIRECT("'数据-取费表'!k"&amp;$K$1)+INDIRECT("'数据-取费表'!s"&amp;$K$1)))</f>
        <v>0</v>
      </c>
      <c r="E20" s="24">
        <f>'数据-取费表'!B28</f>
        <v>220</v>
      </c>
      <c r="F20" s="979"/>
      <c r="G20" s="15"/>
      <c r="H20" s="984"/>
      <c r="I20" s="984"/>
      <c r="J20" s="984"/>
      <c r="K20" s="985"/>
    </row>
    <row r="21" spans="1:33" s="978" customFormat="1" ht="13.5" customHeight="1">
      <c r="A21" s="964" t="s">
        <v>802</v>
      </c>
      <c r="B21" s="988" t="s">
        <v>2496</v>
      </c>
      <c r="C21" s="989">
        <f ca="1">C16+C17+C18</f>
        <v>2653</v>
      </c>
      <c r="D21" s="990"/>
      <c r="E21" s="325"/>
      <c r="F21" s="325"/>
      <c r="G21" s="140" t="s">
        <v>2497</v>
      </c>
      <c r="H21" s="982"/>
      <c r="I21" s="982"/>
      <c r="J21" s="982"/>
      <c r="K21" s="983"/>
    </row>
    <row r="22" spans="1:33" s="978" customFormat="1" ht="13.5" customHeight="1">
      <c r="A22" s="964" t="s">
        <v>2469</v>
      </c>
      <c r="B22" s="988" t="s">
        <v>2498</v>
      </c>
      <c r="C22" s="989">
        <f ca="1">ROUND(C21*F22,0)</f>
        <v>80</v>
      </c>
      <c r="D22" s="325"/>
      <c r="E22" s="325"/>
      <c r="F22" s="991">
        <f>'数据-取费表'!B37</f>
        <v>0.03</v>
      </c>
      <c r="G22" s="8" t="s">
        <v>2499</v>
      </c>
      <c r="H22" s="971"/>
      <c r="I22" s="971"/>
      <c r="J22" s="971"/>
      <c r="K22" s="972"/>
    </row>
    <row r="23" spans="1:33" s="978" customFormat="1" ht="13.5" customHeight="1">
      <c r="A23" s="964" t="s">
        <v>2471</v>
      </c>
      <c r="B23" s="988" t="s">
        <v>2500</v>
      </c>
      <c r="C23" s="989">
        <f ca="1">ROUND(C4*F23*F11,0)</f>
        <v>270</v>
      </c>
      <c r="D23" s="325"/>
      <c r="E23" s="325"/>
      <c r="F23" s="991">
        <f>'数据-取费表'!B38</f>
        <v>0.03</v>
      </c>
      <c r="G23" s="8" t="s">
        <v>2501</v>
      </c>
      <c r="H23" s="971"/>
      <c r="I23" s="971"/>
      <c r="J23" s="971"/>
      <c r="K23" s="972"/>
    </row>
    <row r="24" spans="1:33" s="978" customFormat="1" ht="13.5" customHeight="1">
      <c r="A24" s="964" t="s">
        <v>2502</v>
      </c>
      <c r="B24" s="988" t="s">
        <v>2503</v>
      </c>
      <c r="C24" s="324">
        <f>ROUND(F24/(1+'数据-取费表'!C42),4)</f>
        <v>3.8600000000000002E-2</v>
      </c>
      <c r="D24" s="325" t="s">
        <v>15</v>
      </c>
      <c r="E24" s="325"/>
      <c r="F24" s="991">
        <f>'数据-取费表'!B48+'数据-取费表'!B49</f>
        <v>4.0500000000000001E-2</v>
      </c>
      <c r="G24" s="8" t="s">
        <v>2504</v>
      </c>
      <c r="H24" s="993"/>
      <c r="I24" s="993"/>
      <c r="J24" s="993"/>
      <c r="K24" s="994"/>
    </row>
    <row r="25" spans="1:33" s="978" customFormat="1" ht="13.5" customHeight="1">
      <c r="A25" s="964" t="s">
        <v>2505</v>
      </c>
      <c r="B25" s="990" t="s">
        <v>2506</v>
      </c>
      <c r="C25" s="1359">
        <f ca="1">C27</f>
        <v>14</v>
      </c>
      <c r="D25" s="324">
        <f ca="1">C26</f>
        <v>9.7000000000000003E-3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9.7000000000000003E-3</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14</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1051</v>
      </c>
      <c r="D28" s="324">
        <f ca="1">C29</f>
        <v>2.4199999999999999E-2</v>
      </c>
      <c r="E28" s="326" t="s">
        <v>15</v>
      </c>
      <c r="F28" s="332">
        <f ca="1">IF(C1="",'数据-取费表'!Q16,INDIRECT("'数据-取费表'!q"&amp;$K$1))</f>
        <v>0.35</v>
      </c>
      <c r="G28" s="992"/>
      <c r="H28" s="993"/>
      <c r="I28" s="993"/>
      <c r="J28" s="993"/>
      <c r="K28" s="994"/>
    </row>
    <row r="29" spans="1:33" s="335" customFormat="1" ht="13.5" customHeight="1">
      <c r="A29" s="974" t="s">
        <v>803</v>
      </c>
      <c r="B29" s="997" t="s">
        <v>2511</v>
      </c>
      <c r="C29" s="328">
        <f ca="1">ROUND((1+C24)*F28*'数据-取费表'!B24/'数据-取费表'!B20,4)</f>
        <v>2.4199999999999999E-2</v>
      </c>
      <c r="D29" s="328"/>
      <c r="E29" s="329"/>
      <c r="F29" s="334"/>
      <c r="G29" s="140" t="s">
        <v>2512</v>
      </c>
      <c r="H29" s="982"/>
      <c r="I29" s="982"/>
      <c r="J29" s="982"/>
      <c r="K29" s="983"/>
    </row>
    <row r="30" spans="1:33" s="335" customFormat="1" ht="13.5" customHeight="1">
      <c r="A30" s="974" t="s">
        <v>804</v>
      </c>
      <c r="B30" s="997" t="s">
        <v>2513</v>
      </c>
      <c r="C30" s="336">
        <f ca="1">ROUND((C21+C22+C23)*F28,0)</f>
        <v>1051</v>
      </c>
      <c r="D30" s="328"/>
      <c r="E30" s="329"/>
      <c r="F30" s="334"/>
      <c r="G30" s="140"/>
      <c r="H30" s="982"/>
      <c r="I30" s="982"/>
      <c r="J30" s="982"/>
      <c r="K30" s="983"/>
    </row>
    <row r="31" spans="1:33" s="978" customFormat="1" ht="13.5" customHeight="1" thickBot="1">
      <c r="A31" s="2566" t="s">
        <v>2514</v>
      </c>
      <c r="B31" s="1008" t="s">
        <v>2515</v>
      </c>
      <c r="C31" s="1009">
        <f>ROUND(C4*F31/(1+'数据-取费表'!C42),0)</f>
        <v>3194</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49073</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1032</v>
      </c>
      <c r="B6" s="3210" t="s">
        <v>1399</v>
      </c>
      <c r="C6" s="1299">
        <f ca="1">ROUND(F6*F8*F7*(1-F9)/10000,0)</f>
        <v>0</v>
      </c>
      <c r="D6" s="164" t="s">
        <v>3034</v>
      </c>
      <c r="E6" s="347" t="s">
        <v>1401</v>
      </c>
      <c r="F6" s="348">
        <f ca="1">INDIRECT("'数据-取费表'!u"&amp;$G$1)</f>
        <v>0</v>
      </c>
      <c r="G6" s="1853"/>
      <c r="H6" s="1294" t="s">
        <v>1032</v>
      </c>
      <c r="I6" s="3210" t="s">
        <v>1399</v>
      </c>
      <c r="J6" s="346">
        <f ca="1">ROUND(M6*M8*M7*(1-M9)/10000,0)</f>
        <v>0</v>
      </c>
      <c r="K6" s="164" t="s">
        <v>3033</v>
      </c>
      <c r="L6" s="347" t="s">
        <v>1401</v>
      </c>
      <c r="M6" s="348">
        <f ca="1">INDIRECT("'数据-取费表'!z"&amp;$G$1)</f>
        <v>0</v>
      </c>
    </row>
    <row r="7" spans="1:37" ht="18" customHeight="1">
      <c r="A7" s="1298"/>
      <c r="B7" s="3211"/>
      <c r="C7" s="1300"/>
      <c r="D7" s="352"/>
      <c r="E7" s="1301" t="s">
        <v>1402</v>
      </c>
      <c r="F7" s="348">
        <f ca="1">IF(INDIRECT("'数据-取费表'!ah"&amp;$G$1)="",INDIRECT("'数据-取费表'!k"&amp;$G$1),INDIRECT("'数据-取费表'!ah"&amp;$G$1))</f>
        <v>0</v>
      </c>
      <c r="G7" s="1853"/>
      <c r="H7" s="349"/>
      <c r="I7" s="3211"/>
      <c r="J7" s="351"/>
      <c r="K7" s="352"/>
      <c r="L7" s="347" t="s">
        <v>1402</v>
      </c>
      <c r="M7" s="348">
        <f ca="1">F7</f>
        <v>0</v>
      </c>
    </row>
    <row r="8" spans="1:37" ht="18" customHeight="1">
      <c r="A8" s="349"/>
      <c r="B8" s="3211"/>
      <c r="C8" s="351"/>
      <c r="D8" s="352"/>
      <c r="E8" s="347" t="s">
        <v>1403</v>
      </c>
      <c r="F8" s="348">
        <f ca="1">INDIRECT("'数据-取费表'!ai"&amp;$G$1)</f>
        <v>0</v>
      </c>
      <c r="G8" s="1853"/>
      <c r="H8" s="349"/>
      <c r="I8" s="3211"/>
      <c r="J8" s="351"/>
      <c r="K8" s="352"/>
      <c r="L8" s="347" t="s">
        <v>1403</v>
      </c>
      <c r="M8" s="348">
        <f ca="1">INDIRECT("'数据-取费表'!ai"&amp;$G$1)</f>
        <v>0</v>
      </c>
    </row>
    <row r="9" spans="1:37" ht="18" customHeight="1">
      <c r="A9" s="349"/>
      <c r="B9" s="3212"/>
      <c r="C9" s="351"/>
      <c r="D9" s="352"/>
      <c r="E9" s="347" t="s">
        <v>1404</v>
      </c>
      <c r="F9" s="357">
        <f ca="1">INDIRECT("'数据-取费表'!w"&amp;$G$1)</f>
        <v>0</v>
      </c>
      <c r="G9" s="1853"/>
      <c r="H9" s="349"/>
      <c r="I9" s="3212"/>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3043</v>
      </c>
      <c r="E10" s="358" t="s">
        <v>1406</v>
      </c>
      <c r="F10" s="1369"/>
      <c r="G10" s="1853"/>
      <c r="H10" s="1294" t="s">
        <v>1036</v>
      </c>
      <c r="I10" s="1825" t="s">
        <v>1405</v>
      </c>
      <c r="J10" s="346">
        <f ca="1">ROUND(IF(M10="押一",J6/12*M11,IF(M10="押二",J6/12*2*M11,IF(M10="押三",J6/12*3*M11,J11*M11))),0)</f>
        <v>0</v>
      </c>
      <c r="K10" s="1826" t="s">
        <v>3042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ROUND(F49*F51*F50*(1-F52)/10000,0)</f>
        <v>0</v>
      </c>
      <c r="D49" s="1279" t="s">
        <v>3035</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24.75" thickBot="1">
      <c r="A53" s="1408" t="s">
        <v>1134</v>
      </c>
      <c r="B53" s="1833" t="s">
        <v>1405</v>
      </c>
      <c r="C53" s="361">
        <f ca="1">ROUND(IF(F53="押一",C49/12*F11,IF(F53="押二",C49/12*2*F11,IF(F53="押三",C49/12*3*F11,C54*F11))),0)</f>
        <v>0</v>
      </c>
      <c r="D53" s="1826" t="s">
        <v>3042</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8" t="s">
        <v>1544</v>
      </c>
      <c r="L53" s="3209"/>
      <c r="O53" s="1886" t="s">
        <v>1043</v>
      </c>
      <c r="P53" s="1887" t="s">
        <v>1545</v>
      </c>
      <c r="Q53" s="1888" t="e">
        <f ca="1">Q47+Q48</f>
        <v>#DIV/0!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210" t="s">
        <v>1399</v>
      </c>
      <c r="C6" s="1299">
        <f ca="1">ROUND(F6*F8*F7*(1-F9),0)</f>
        <v>0</v>
      </c>
      <c r="D6" s="164" t="s">
        <v>3031</v>
      </c>
      <c r="E6" s="347" t="s">
        <v>1401</v>
      </c>
      <c r="F6" s="348">
        <f ca="1">INDIRECT("'数据-取费表'!u"&amp;$G$1)</f>
        <v>0</v>
      </c>
      <c r="G6" s="1853"/>
      <c r="H6" s="1294" t="s">
        <v>1032</v>
      </c>
      <c r="I6" s="3210" t="s">
        <v>1399</v>
      </c>
      <c r="J6" s="346">
        <f ca="1">ROUND(M6*M8*M7*(1-M9),0)</f>
        <v>0</v>
      </c>
      <c r="K6" s="1836" t="s">
        <v>3032</v>
      </c>
      <c r="L6" s="347" t="s">
        <v>1401</v>
      </c>
      <c r="M6" s="348">
        <f ca="1">INDIRECT("'数据-取费表'!z"&amp;$G$1)</f>
        <v>0</v>
      </c>
    </row>
    <row r="7" spans="1:37" ht="18" customHeight="1">
      <c r="A7" s="1298"/>
      <c r="B7" s="3211"/>
      <c r="C7" s="1300"/>
      <c r="D7" s="352"/>
      <c r="E7" s="1301" t="s">
        <v>1402</v>
      </c>
      <c r="F7" s="348">
        <f ca="1">IF(INDIRECT("'数据-取费表'!ah"&amp;$G$1)="",INDIRECT("'数据-取费表'!k"&amp;$G$1),INDIRECT("'数据-取费表'!ah"&amp;$G$1))</f>
        <v>0</v>
      </c>
      <c r="G7" s="1853"/>
      <c r="H7" s="349"/>
      <c r="I7" s="3211"/>
      <c r="J7" s="351"/>
      <c r="K7" s="352"/>
      <c r="L7" s="347" t="s">
        <v>1402</v>
      </c>
      <c r="M7" s="348">
        <f ca="1">F7</f>
        <v>0</v>
      </c>
    </row>
    <row r="8" spans="1:37" ht="18" customHeight="1">
      <c r="A8" s="349"/>
      <c r="B8" s="3211"/>
      <c r="C8" s="351"/>
      <c r="D8" s="352"/>
      <c r="E8" s="347" t="s">
        <v>1403</v>
      </c>
      <c r="F8" s="348">
        <f ca="1">INDIRECT("'数据-取费表'!ai"&amp;$G$1)</f>
        <v>0</v>
      </c>
      <c r="G8" s="1853"/>
      <c r="H8" s="349"/>
      <c r="I8" s="3211"/>
      <c r="J8" s="351"/>
      <c r="K8" s="352"/>
      <c r="L8" s="347" t="s">
        <v>1403</v>
      </c>
      <c r="M8" s="348">
        <f ca="1">INDIRECT("'数据-取费表'!ai"&amp;$G$1)</f>
        <v>0</v>
      </c>
    </row>
    <row r="9" spans="1:37" ht="18" customHeight="1">
      <c r="A9" s="349"/>
      <c r="B9" s="3212"/>
      <c r="C9" s="351"/>
      <c r="D9" s="352"/>
      <c r="E9" s="347" t="s">
        <v>1404</v>
      </c>
      <c r="F9" s="357">
        <f ca="1">INDIRECT("'数据-取费表'!w"&amp;$G$1)</f>
        <v>0</v>
      </c>
      <c r="G9" s="1853"/>
      <c r="H9" s="349"/>
      <c r="I9" s="3212"/>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3042</v>
      </c>
      <c r="E10" s="358" t="s">
        <v>1406</v>
      </c>
      <c r="F10" s="1369"/>
      <c r="G10" s="1853"/>
      <c r="H10" s="1294" t="s">
        <v>1036</v>
      </c>
      <c r="I10" s="1825" t="s">
        <v>1405</v>
      </c>
      <c r="J10" s="346">
        <f ca="1">ROUND(IF(M10="押一",J6/12*M11,IF(M10="押二",J6/12*2*M11,IF(M10="押三",J6/12*3*M11,J11*M11))),0)</f>
        <v>0</v>
      </c>
      <c r="K10" s="1837" t="s">
        <v>3044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8" t="s">
        <v>1544</v>
      </c>
      <c r="L53" s="3209"/>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1391</v>
      </c>
      <c r="B3" s="2571" t="e">
        <f ca="1">ROUND(B2*10000/E2,0)</f>
        <v>#DIV/0!</v>
      </c>
      <c r="C3" s="2572" t="s">
        <v>2527</v>
      </c>
      <c r="D3" s="2575"/>
      <c r="E3" s="2576"/>
    </row>
    <row r="4" spans="1:6" ht="15.75">
      <c r="A4" s="2577"/>
      <c r="B4" s="2575"/>
      <c r="C4" s="2575"/>
      <c r="D4" s="2575"/>
      <c r="E4" s="2576"/>
    </row>
    <row r="5" spans="1:6" ht="15">
      <c r="A5" s="2578" t="s">
        <v>2521</v>
      </c>
      <c r="B5" s="3213" t="s">
        <v>2522</v>
      </c>
      <c r="C5" s="3213"/>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304" t="s">
        <v>1076</v>
      </c>
      <c r="E2" s="1304" t="s">
        <v>1077</v>
      </c>
      <c r="F2" s="1304" t="s">
        <v>1078</v>
      </c>
      <c r="G2" s="1304" t="s">
        <v>1079</v>
      </c>
      <c r="H2" s="1304" t="s">
        <v>1080</v>
      </c>
      <c r="I2" s="1305" t="s">
        <v>1081</v>
      </c>
    </row>
    <row r="3" spans="1:9">
      <c r="A3" s="3219"/>
      <c r="B3" s="3220" t="s">
        <v>1082</v>
      </c>
      <c r="C3" s="3220"/>
      <c r="D3" s="1306"/>
      <c r="E3" s="1304"/>
      <c r="F3" s="1307"/>
      <c r="G3" s="1307"/>
      <c r="H3" s="1308"/>
      <c r="I3" s="1309">
        <f>ROUND(D3*E3*F3*G3*H3/10000,0)</f>
        <v>0</v>
      </c>
    </row>
    <row r="4" spans="1:9">
      <c r="A4" s="3219"/>
      <c r="B4" s="3220" t="s">
        <v>1083</v>
      </c>
      <c r="C4" s="3220"/>
      <c r="D4" s="1306"/>
      <c r="E4" s="1304"/>
      <c r="F4" s="1307"/>
      <c r="G4" s="1307"/>
      <c r="H4" s="1308"/>
      <c r="I4" s="1309">
        <f t="shared" ref="I4:I9" si="0">ROUND(D4*E4*F4*G4*H4/10000,0)</f>
        <v>0</v>
      </c>
    </row>
    <row r="5" spans="1:9">
      <c r="A5" s="3219"/>
      <c r="B5" s="3220" t="s">
        <v>1084</v>
      </c>
      <c r="C5" s="3220"/>
      <c r="D5" s="1306"/>
      <c r="E5" s="1304"/>
      <c r="F5" s="1307"/>
      <c r="G5" s="1307"/>
      <c r="H5" s="1308"/>
      <c r="I5" s="1309">
        <f t="shared" si="0"/>
        <v>0</v>
      </c>
    </row>
    <row r="6" spans="1:9">
      <c r="A6" s="3219"/>
      <c r="B6" s="3220" t="s">
        <v>1085</v>
      </c>
      <c r="C6" s="3220"/>
      <c r="D6" s="1306"/>
      <c r="E6" s="1304"/>
      <c r="F6" s="1307"/>
      <c r="G6" s="1307"/>
      <c r="H6" s="1308"/>
      <c r="I6" s="1309">
        <f t="shared" si="0"/>
        <v>0</v>
      </c>
    </row>
    <row r="7" spans="1:9">
      <c r="A7" s="3219"/>
      <c r="B7" s="3220" t="s">
        <v>1086</v>
      </c>
      <c r="C7" s="3220"/>
      <c r="D7" s="1306"/>
      <c r="E7" s="1304"/>
      <c r="F7" s="1307"/>
      <c r="G7" s="1307"/>
      <c r="H7" s="1308"/>
      <c r="I7" s="1309">
        <f t="shared" si="0"/>
        <v>0</v>
      </c>
    </row>
    <row r="8" spans="1:9">
      <c r="A8" s="3219"/>
      <c r="B8" s="3220" t="s">
        <v>1087</v>
      </c>
      <c r="C8" s="3220"/>
      <c r="D8" s="1306"/>
      <c r="E8" s="1304"/>
      <c r="F8" s="1307"/>
      <c r="G8" s="1307"/>
      <c r="H8" s="1308"/>
      <c r="I8" s="1309">
        <f t="shared" si="0"/>
        <v>0</v>
      </c>
    </row>
    <row r="9" spans="1:9">
      <c r="A9" s="3219"/>
      <c r="B9" s="3220" t="s">
        <v>1088</v>
      </c>
      <c r="C9" s="3220"/>
      <c r="D9" s="1306"/>
      <c r="E9" s="1304"/>
      <c r="F9" s="1307"/>
      <c r="G9" s="1307"/>
      <c r="H9" s="1308"/>
      <c r="I9" s="1309">
        <f t="shared" si="0"/>
        <v>0</v>
      </c>
    </row>
    <row r="10" spans="1:9">
      <c r="A10" s="3219"/>
      <c r="B10" s="3221" t="s">
        <v>1089</v>
      </c>
      <c r="C10" s="3221"/>
      <c r="D10" s="1310"/>
      <c r="E10" s="1310" t="e">
        <f>ROUND(D1*10000/D10/H9,0)</f>
        <v>#DIV/0!</v>
      </c>
      <c r="F10" s="1311"/>
      <c r="G10" s="1311"/>
      <c r="H10" s="1312"/>
      <c r="I10" s="1313">
        <f>SUM(I3:I9)</f>
        <v>0</v>
      </c>
    </row>
    <row r="11" spans="1:9" ht="14.25">
      <c r="A11" s="3219" t="s">
        <v>1090</v>
      </c>
      <c r="B11" s="3220" t="s">
        <v>1091</v>
      </c>
      <c r="C11" s="3220"/>
      <c r="D11" s="1306" t="s">
        <v>1092</v>
      </c>
      <c r="E11" s="1306" t="s">
        <v>1093</v>
      </c>
      <c r="F11" s="1307" t="s">
        <v>1094</v>
      </c>
      <c r="G11" s="1307" t="s">
        <v>1080</v>
      </c>
      <c r="H11" s="1314" t="s">
        <v>1095</v>
      </c>
      <c r="I11" s="1305" t="s">
        <v>1081</v>
      </c>
    </row>
    <row r="12" spans="1:9">
      <c r="A12" s="3219"/>
      <c r="B12" s="3220" t="s">
        <v>1096</v>
      </c>
      <c r="C12" s="3220"/>
      <c r="D12" s="1306"/>
      <c r="E12" s="1306"/>
      <c r="F12" s="1307"/>
      <c r="G12" s="1308"/>
      <c r="H12" s="1315"/>
      <c r="I12" s="1305">
        <f>ROUND(D12*E12*F12*G12/10000,0)</f>
        <v>0</v>
      </c>
    </row>
    <row r="13" spans="1:9">
      <c r="A13" s="3219"/>
      <c r="B13" s="3220" t="s">
        <v>1097</v>
      </c>
      <c r="C13" s="3220"/>
      <c r="D13" s="1306"/>
      <c r="E13" s="1306"/>
      <c r="F13" s="1307"/>
      <c r="G13" s="1308"/>
      <c r="H13" s="1315"/>
      <c r="I13" s="1305">
        <f>ROUND(D13*E13*F13*G13/10000,0)</f>
        <v>0</v>
      </c>
    </row>
    <row r="14" spans="1:9">
      <c r="A14" s="3219"/>
      <c r="B14" s="3220" t="s">
        <v>1098</v>
      </c>
      <c r="C14" s="3220"/>
      <c r="D14" s="1306"/>
      <c r="E14" s="1306"/>
      <c r="F14" s="1307"/>
      <c r="G14" s="1308"/>
      <c r="H14" s="1315"/>
      <c r="I14" s="1305">
        <f>ROUND(D14*E14*F14*G14/10000,0)</f>
        <v>0</v>
      </c>
    </row>
    <row r="15" spans="1:9">
      <c r="A15" s="3219"/>
      <c r="B15" s="3221" t="s">
        <v>1089</v>
      </c>
      <c r="C15" s="3221"/>
      <c r="D15" s="1310"/>
      <c r="E15" s="1310">
        <f>SUM(E12:E14)</f>
        <v>0</v>
      </c>
      <c r="F15" s="1311"/>
      <c r="G15" s="1308"/>
      <c r="H15" s="1315"/>
      <c r="I15" s="1316">
        <f>SUM(I12:I14)</f>
        <v>0</v>
      </c>
    </row>
    <row r="16" spans="1:9" ht="24">
      <c r="A16" s="3219" t="s">
        <v>1099</v>
      </c>
      <c r="B16" s="3220" t="s">
        <v>1100</v>
      </c>
      <c r="C16" s="3220"/>
      <c r="D16" s="1306" t="s">
        <v>1076</v>
      </c>
      <c r="E16" s="1317" t="s">
        <v>1101</v>
      </c>
      <c r="F16" s="1307" t="s">
        <v>1102</v>
      </c>
      <c r="G16" s="1308" t="s">
        <v>1080</v>
      </c>
      <c r="H16" s="1314" t="s">
        <v>1095</v>
      </c>
      <c r="I16" s="1305" t="s">
        <v>1081</v>
      </c>
    </row>
    <row r="17" spans="1:9" ht="14.25">
      <c r="A17" s="3219"/>
      <c r="B17" s="3220" t="s">
        <v>1103</v>
      </c>
      <c r="C17" s="3220"/>
      <c r="D17" s="1306"/>
      <c r="E17" s="1306"/>
      <c r="F17" s="1307"/>
      <c r="G17" s="1308"/>
      <c r="H17" s="1318"/>
      <c r="I17" s="1319">
        <f>ROUND(D17*E17*F17*G17/10000,0)</f>
        <v>0</v>
      </c>
    </row>
    <row r="18" spans="1:9" ht="14.25">
      <c r="A18" s="3219"/>
      <c r="B18" s="3220" t="s">
        <v>1104</v>
      </c>
      <c r="C18" s="3220"/>
      <c r="D18" s="1306"/>
      <c r="E18" s="1306"/>
      <c r="F18" s="1307"/>
      <c r="G18" s="1308"/>
      <c r="H18" s="1318"/>
      <c r="I18" s="1319">
        <f>ROUND(D18*E18*F18*G18/10000,0)</f>
        <v>0</v>
      </c>
    </row>
    <row r="19" spans="1:9" ht="14.25">
      <c r="A19" s="3219"/>
      <c r="B19" s="3220" t="s">
        <v>1105</v>
      </c>
      <c r="C19" s="3220"/>
      <c r="D19" s="1306"/>
      <c r="E19" s="1306"/>
      <c r="F19" s="1307"/>
      <c r="G19" s="1308"/>
      <c r="H19" s="1318"/>
      <c r="I19" s="1319">
        <f>ROUND(D19*E19*F19*G19/10000,0)</f>
        <v>0</v>
      </c>
    </row>
    <row r="20" spans="1:9">
      <c r="A20" s="3219"/>
      <c r="B20" s="3221" t="s">
        <v>1089</v>
      </c>
      <c r="C20" s="3221"/>
      <c r="D20" s="1310">
        <f>SUM(D17:D19)</f>
        <v>0</v>
      </c>
      <c r="E20" s="1310"/>
      <c r="F20" s="1311"/>
      <c r="G20" s="1308"/>
      <c r="H20" s="1315"/>
      <c r="I20" s="1316">
        <f>SUM(I17:I19)</f>
        <v>0</v>
      </c>
    </row>
    <row r="21" spans="1:9">
      <c r="A21" s="3219" t="s">
        <v>1106</v>
      </c>
      <c r="B21" s="3223"/>
      <c r="C21" s="3223"/>
      <c r="D21" s="3223"/>
      <c r="E21" s="3223"/>
      <c r="F21" s="3223"/>
      <c r="G21" s="3223"/>
      <c r="H21" s="1767">
        <v>0.1</v>
      </c>
      <c r="I21" s="1313">
        <f>ROUND(I10*H21,0)</f>
        <v>0</v>
      </c>
    </row>
    <row r="22" spans="1:9" ht="14.25">
      <c r="A22" s="3224" t="s">
        <v>1107</v>
      </c>
      <c r="B22" s="3225"/>
      <c r="C22" s="3226"/>
      <c r="D22" s="1320" t="s">
        <v>1108</v>
      </c>
      <c r="E22" s="1320" t="s">
        <v>1109</v>
      </c>
      <c r="F22" s="1321" t="s">
        <v>1110</v>
      </c>
      <c r="G22" s="1321" t="s">
        <v>1111</v>
      </c>
      <c r="H22" s="1314" t="s">
        <v>1112</v>
      </c>
      <c r="I22" s="1305" t="s">
        <v>1113</v>
      </c>
    </row>
    <row r="23" spans="1:9" ht="14.25" thickBot="1">
      <c r="A23" s="3227"/>
      <c r="B23" s="3228"/>
      <c r="C23" s="3229"/>
      <c r="D23" s="1322"/>
      <c r="E23" s="1322"/>
      <c r="F23" s="1322"/>
      <c r="G23" s="1323"/>
      <c r="H23" s="1324"/>
      <c r="I23" s="1325">
        <f>ROUND(E23*D23*F23*(1-G23)/10000,0)</f>
        <v>0</v>
      </c>
    </row>
    <row r="26" spans="1:9">
      <c r="A26" s="1326" t="s">
        <v>1114</v>
      </c>
      <c r="B26" s="1326"/>
      <c r="C26" s="1326"/>
      <c r="D26" s="1326"/>
      <c r="E26" s="3230">
        <f>C27-C30-C31-C32</f>
        <v>0</v>
      </c>
      <c r="F26" s="3230"/>
      <c r="G26" s="3230"/>
      <c r="H26" s="1739" t="s">
        <v>1336</v>
      </c>
    </row>
    <row r="27" spans="1:9">
      <c r="A27" s="1327">
        <v>1</v>
      </c>
      <c r="B27" s="1328" t="s">
        <v>1115</v>
      </c>
      <c r="C27" s="1328">
        <f>C28+C29</f>
        <v>0</v>
      </c>
      <c r="D27" s="1328"/>
      <c r="E27" s="3231"/>
      <c r="F27" s="3231"/>
      <c r="G27" s="3231"/>
    </row>
    <row r="28" spans="1:9">
      <c r="A28" s="1329" t="s">
        <v>1116</v>
      </c>
      <c r="B28" s="1328" t="s">
        <v>1117</v>
      </c>
      <c r="C28" s="1328"/>
      <c r="D28" s="1328"/>
      <c r="E28" s="3231"/>
      <c r="F28" s="3231"/>
      <c r="G28" s="323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2"/>
      <c r="F32" s="3222"/>
      <c r="G32" s="3222"/>
    </row>
    <row r="33" spans="1:7" hidden="1">
      <c r="A33" s="3232" t="s">
        <v>1126</v>
      </c>
      <c r="B33" s="3233"/>
      <c r="C33" s="3233"/>
      <c r="D33" s="3234"/>
      <c r="E33" s="3230"/>
      <c r="F33" s="3230"/>
      <c r="G33" s="3230"/>
    </row>
    <row r="34" spans="1:7" hidden="1">
      <c r="A34" s="1331">
        <v>1</v>
      </c>
      <c r="B34" s="1328" t="s">
        <v>1127</v>
      </c>
      <c r="C34" s="1328"/>
      <c r="D34" s="1328"/>
      <c r="E34" s="3231"/>
      <c r="F34" s="3231"/>
      <c r="G34" s="3231"/>
    </row>
    <row r="35" spans="1:7" hidden="1">
      <c r="A35" s="1331">
        <v>2</v>
      </c>
      <c r="B35" s="1328" t="s">
        <v>1128</v>
      </c>
      <c r="C35" s="1328"/>
      <c r="D35" s="1328"/>
      <c r="E35" s="3231"/>
      <c r="F35" s="3231"/>
      <c r="G35" s="3231"/>
    </row>
    <row r="36" spans="1:7" hidden="1">
      <c r="A36" s="1331">
        <v>3</v>
      </c>
      <c r="B36" s="1328" t="s">
        <v>1129</v>
      </c>
      <c r="C36" s="1328"/>
      <c r="D36" s="1328"/>
      <c r="E36" s="3231"/>
      <c r="F36" s="3231"/>
      <c r="G36" s="3231"/>
    </row>
    <row r="37" spans="1:7" hidden="1">
      <c r="A37" s="1331">
        <v>4</v>
      </c>
      <c r="B37" s="1328" t="s">
        <v>1130</v>
      </c>
      <c r="C37" s="1328"/>
      <c r="D37" s="1328"/>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6" zoomScale="90" zoomScaleNormal="90" workbookViewId="0">
      <selection activeCell="L12" sqref="L1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2529</v>
      </c>
      <c r="C1" s="1636" t="s">
        <v>2530</v>
      </c>
      <c r="D1" s="1623" t="s">
        <v>3868</v>
      </c>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59893</v>
      </c>
      <c r="C2" s="2592" t="s">
        <v>70</v>
      </c>
      <c r="D2" s="1368"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17442</v>
      </c>
      <c r="C3" s="400" t="s">
        <v>2534</v>
      </c>
      <c r="D3" s="399">
        <f>IF(D1="",'数据-汇总表'!E3,SUMIF('数据-汇总表'!$C19:$C33,D1,'数据-汇总表'!$E19:$E33))</f>
        <v>34338.32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2535</v>
      </c>
      <c r="B4" s="402"/>
      <c r="C4" s="3183" t="s">
        <v>2536</v>
      </c>
      <c r="D4" s="3184"/>
      <c r="E4" s="3185" t="s">
        <v>2537</v>
      </c>
      <c r="F4" s="3186"/>
      <c r="G4" s="3183" t="s">
        <v>2538</v>
      </c>
      <c r="H4" s="3184"/>
      <c r="I4" s="3183" t="s">
        <v>2539</v>
      </c>
      <c r="J4" s="3184"/>
      <c r="K4" s="2602" t="s">
        <v>2540</v>
      </c>
      <c r="L4" s="1133"/>
      <c r="M4" s="1134"/>
      <c r="N4" s="1134"/>
      <c r="O4" s="1134"/>
      <c r="P4" s="3187" t="s">
        <v>2541</v>
      </c>
      <c r="Q4" s="3188"/>
      <c r="R4" s="3170" t="s">
        <v>2537</v>
      </c>
      <c r="S4" s="3171"/>
      <c r="T4" s="3170" t="s">
        <v>2538</v>
      </c>
      <c r="U4" s="3171"/>
      <c r="V4" s="3195" t="s">
        <v>2539</v>
      </c>
      <c r="W4" s="3195"/>
      <c r="X4" s="1815"/>
      <c r="Y4" s="3170" t="s">
        <v>2541</v>
      </c>
      <c r="Z4" s="3171"/>
      <c r="AA4" s="3165" t="s">
        <v>2537</v>
      </c>
      <c r="AB4" s="3165" t="s">
        <v>2538</v>
      </c>
      <c r="AC4" s="3165" t="s">
        <v>2539</v>
      </c>
    </row>
    <row r="5" spans="1:29" ht="15">
      <c r="A5" s="404"/>
      <c r="B5" s="405"/>
      <c r="C5" s="3176" t="s">
        <v>2542</v>
      </c>
      <c r="D5" s="3177"/>
      <c r="E5" s="3235" t="s">
        <v>3903</v>
      </c>
      <c r="F5" s="3175"/>
      <c r="G5" s="3236" t="s">
        <v>3904</v>
      </c>
      <c r="H5" s="3177"/>
      <c r="I5" s="3236" t="s">
        <v>3905</v>
      </c>
      <c r="J5" s="3177"/>
      <c r="K5" s="2603"/>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2603"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43689</v>
      </c>
      <c r="D7" s="411">
        <v>100</v>
      </c>
      <c r="E7" s="412">
        <f>C7</f>
        <v>43689</v>
      </c>
      <c r="F7" s="413">
        <f>SUMIF(58:58,YEAR(E7)&amp;"-"&amp;MONTH(E7),59:59)</f>
        <v>100</v>
      </c>
      <c r="G7" s="412">
        <f>C7</f>
        <v>43689</v>
      </c>
      <c r="H7" s="411">
        <f>SUMIF(58:58,YEAR(G7)&amp;"-"&amp;MONTH(G7),59:59)</f>
        <v>100</v>
      </c>
      <c r="I7" s="412">
        <f>C7</f>
        <v>43689</v>
      </c>
      <c r="J7" s="411">
        <f>SUMIF(58:58,YEAR(I7)&amp;"-"&amp;MONTH(I7),59:59)</f>
        <v>100</v>
      </c>
      <c r="K7" s="2604"/>
      <c r="L7" s="1135"/>
      <c r="M7" s="1136"/>
      <c r="N7" s="1136"/>
      <c r="O7" s="1136"/>
      <c r="P7" s="3168" t="s">
        <v>2549</v>
      </c>
      <c r="Q7" s="3196"/>
      <c r="R7" s="770" t="s">
        <v>23</v>
      </c>
      <c r="S7" s="771">
        <f t="shared" ref="S7:S15" si="0">F7</f>
        <v>100</v>
      </c>
      <c r="T7" s="770" t="s">
        <v>23</v>
      </c>
      <c r="U7" s="771">
        <f t="shared" ref="U7:U15" si="1">H7</f>
        <v>100</v>
      </c>
      <c r="V7" s="770" t="s">
        <v>23</v>
      </c>
      <c r="W7" s="771">
        <f t="shared" ref="W7:W15" si="2">J7</f>
        <v>100</v>
      </c>
      <c r="X7" s="772"/>
      <c r="Y7" s="3168" t="s">
        <v>2549</v>
      </c>
      <c r="Z7" s="3169"/>
      <c r="AA7" s="773">
        <f>D7/F7</f>
        <v>1</v>
      </c>
      <c r="AB7" s="773">
        <f>D7/H7</f>
        <v>1</v>
      </c>
      <c r="AC7" s="773">
        <f>D7/J7</f>
        <v>1</v>
      </c>
    </row>
    <row r="8" spans="1:29" s="117" customFormat="1" ht="15.75" thickBot="1">
      <c r="A8" s="408" t="s">
        <v>2550</v>
      </c>
      <c r="B8" s="409"/>
      <c r="C8" s="414" t="s">
        <v>3110</v>
      </c>
      <c r="D8" s="411">
        <v>100</v>
      </c>
      <c r="E8" s="2605" t="s">
        <v>3110</v>
      </c>
      <c r="F8" s="413">
        <f>SUMIF(61:61,E8,62:62)-SUMIF(61:61,C8,62:62)+100</f>
        <v>100</v>
      </c>
      <c r="G8" s="414" t="s">
        <v>3110</v>
      </c>
      <c r="H8" s="411">
        <f>SUMIF(61:61,G8,62:62)-SUMIF(61:61,C8,62:62)+100</f>
        <v>100</v>
      </c>
      <c r="I8" s="2605" t="s">
        <v>3110</v>
      </c>
      <c r="J8" s="411">
        <f>SUMIF(61:61,I8,62:62)-SUMIF(61:61,C8,62:62)+100</f>
        <v>100</v>
      </c>
      <c r="K8" s="2604"/>
      <c r="L8" s="1135"/>
      <c r="M8" s="1136"/>
      <c r="N8" s="1136"/>
      <c r="O8" s="1136"/>
      <c r="P8" s="3168" t="s">
        <v>2552</v>
      </c>
      <c r="Q8" s="3169"/>
      <c r="R8" s="770" t="s">
        <v>23</v>
      </c>
      <c r="S8" s="771">
        <f t="shared" si="0"/>
        <v>100</v>
      </c>
      <c r="T8" s="770" t="s">
        <v>23</v>
      </c>
      <c r="U8" s="771">
        <f t="shared" si="1"/>
        <v>100</v>
      </c>
      <c r="V8" s="770" t="s">
        <v>23</v>
      </c>
      <c r="W8" s="771">
        <f t="shared" si="2"/>
        <v>100</v>
      </c>
      <c r="X8" s="772"/>
      <c r="Y8" s="3168" t="s">
        <v>2552</v>
      </c>
      <c r="Z8" s="3169"/>
      <c r="AA8" s="773">
        <f t="shared" ref="AA8:AA19" si="3">D8/F8</f>
        <v>1</v>
      </c>
      <c r="AB8" s="773">
        <f t="shared" ref="AB8:AB19" si="4">D8/H8</f>
        <v>1</v>
      </c>
      <c r="AC8" s="773">
        <f t="shared" ref="AC8:AC19" si="5">D8/J8</f>
        <v>1</v>
      </c>
    </row>
    <row r="9" spans="1:29" s="117" customFormat="1">
      <c r="A9" s="415" t="s">
        <v>2553</v>
      </c>
      <c r="B9" s="71" t="s">
        <v>2554</v>
      </c>
      <c r="C9" s="2971" t="s">
        <v>3897</v>
      </c>
      <c r="D9" s="135">
        <v>100</v>
      </c>
      <c r="E9" s="417" t="s">
        <v>3868</v>
      </c>
      <c r="F9" s="418">
        <f>SUMIF(63:63,E9,64:64)-SUMIF(63:63,C9,64:64)+100</f>
        <v>100</v>
      </c>
      <c r="G9" s="419" t="s">
        <v>3868</v>
      </c>
      <c r="H9" s="135">
        <f>SUMIF(63:63,G9,64:64)-SUMIF(63:63,C9,64:64)+100</f>
        <v>100</v>
      </c>
      <c r="I9" s="419" t="s">
        <v>3868</v>
      </c>
      <c r="J9" s="135">
        <f>SUMIF(63:63,I9,64:64)-SUMIF(63:63,C9,64:64)+100</f>
        <v>100</v>
      </c>
      <c r="K9" s="2604"/>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t="s">
        <v>3898</v>
      </c>
      <c r="D10" s="136">
        <v>100</v>
      </c>
      <c r="E10" s="424" t="s">
        <v>3899</v>
      </c>
      <c r="F10" s="425">
        <f>SUMIF(65:65,E10,66:66)-SUMIF(65:65,C10,66:66)+100</f>
        <v>104</v>
      </c>
      <c r="G10" s="423" t="s">
        <v>3899</v>
      </c>
      <c r="H10" s="136">
        <f>SUMIF(65:65,G10,66:66)-SUMIF(65:65,C10,66:66)+100</f>
        <v>104</v>
      </c>
      <c r="I10" s="423" t="s">
        <v>3899</v>
      </c>
      <c r="J10" s="136">
        <f>SUMIF(65:65,I10,66:66)-SUMIF(65:65,C10,66:66)+100</f>
        <v>104</v>
      </c>
      <c r="K10" s="426">
        <v>2</v>
      </c>
      <c r="L10" s="1138"/>
      <c r="M10" s="1139"/>
      <c r="N10" s="1139"/>
      <c r="O10" s="1139"/>
      <c r="P10" s="3206"/>
      <c r="Q10" s="1797" t="str">
        <f t="shared" si="6"/>
        <v>土地使用年限（年）</v>
      </c>
      <c r="R10" s="770" t="s">
        <v>17</v>
      </c>
      <c r="S10" s="771">
        <f t="shared" si="0"/>
        <v>104</v>
      </c>
      <c r="T10" s="770" t="s">
        <v>17</v>
      </c>
      <c r="U10" s="771">
        <f t="shared" si="1"/>
        <v>104</v>
      </c>
      <c r="V10" s="770" t="s">
        <v>17</v>
      </c>
      <c r="W10" s="771">
        <f t="shared" si="2"/>
        <v>104</v>
      </c>
      <c r="X10" s="772"/>
      <c r="Y10" s="3041"/>
      <c r="Z10" s="55" t="str">
        <f t="shared" si="7"/>
        <v>土地使用年限（年）</v>
      </c>
      <c r="AA10" s="773">
        <f t="shared" si="3"/>
        <v>0.96153846153846156</v>
      </c>
      <c r="AB10" s="773">
        <f t="shared" si="4"/>
        <v>0.96153846153846156</v>
      </c>
      <c r="AC10" s="773">
        <f t="shared" si="5"/>
        <v>0.96153846153846156</v>
      </c>
    </row>
    <row r="11" spans="1:29" ht="15">
      <c r="A11" s="428"/>
      <c r="B11" s="422" t="s">
        <v>2558</v>
      </c>
      <c r="C11" s="429">
        <v>1.65</v>
      </c>
      <c r="D11" s="136">
        <v>100</v>
      </c>
      <c r="E11" s="430">
        <v>2</v>
      </c>
      <c r="F11" s="425">
        <f>LOOKUP(E11,68:68,69:69)-LOOKUP(C11,68:68,69:69)+100</f>
        <v>95</v>
      </c>
      <c r="G11" s="429">
        <v>2.8</v>
      </c>
      <c r="H11" s="136">
        <f>LOOKUP(G11,68:68,69:69)-LOOKUP(C11,68:68,69:69)+100</f>
        <v>95</v>
      </c>
      <c r="I11" s="429">
        <v>3.49</v>
      </c>
      <c r="J11" s="136">
        <f>LOOKUP(I11,68:68,69:69)-LOOKUP(C11,68:68,69:69)+100</f>
        <v>90</v>
      </c>
      <c r="K11" s="426">
        <v>5</v>
      </c>
      <c r="L11" s="1141"/>
      <c r="M11" s="1134"/>
      <c r="N11" s="1134"/>
      <c r="O11" s="1134"/>
      <c r="P11" s="3206"/>
      <c r="Q11" s="1797" t="str">
        <f t="shared" si="6"/>
        <v>容积率</v>
      </c>
      <c r="R11" s="770" t="s">
        <v>21</v>
      </c>
      <c r="S11" s="771">
        <f t="shared" si="0"/>
        <v>95</v>
      </c>
      <c r="T11" s="770" t="s">
        <v>21</v>
      </c>
      <c r="U11" s="771">
        <f t="shared" si="1"/>
        <v>95</v>
      </c>
      <c r="V11" s="770" t="s">
        <v>21</v>
      </c>
      <c r="W11" s="771">
        <f t="shared" si="2"/>
        <v>90</v>
      </c>
      <c r="X11" s="772"/>
      <c r="Y11" s="3041"/>
      <c r="Z11" s="55" t="str">
        <f t="shared" si="7"/>
        <v>容积率</v>
      </c>
      <c r="AA11" s="773">
        <f t="shared" si="3"/>
        <v>1.0526315789473684</v>
      </c>
      <c r="AB11" s="773">
        <f t="shared" si="4"/>
        <v>1.0526315789473684</v>
      </c>
      <c r="AC11" s="773">
        <f t="shared" si="5"/>
        <v>1.1111111111111112</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06"/>
      <c r="Q12" s="1797">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06"/>
      <c r="Q13" s="1797">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06"/>
      <c r="Q14" s="1797">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9.75">
      <c r="A15" s="440" t="s">
        <v>2559</v>
      </c>
      <c r="B15" s="69" t="s">
        <v>2086</v>
      </c>
      <c r="C15" s="2609"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106</v>
      </c>
      <c r="K15" s="445">
        <v>3</v>
      </c>
      <c r="L15" s="1143"/>
      <c r="M15" s="1134"/>
      <c r="N15" s="1134"/>
      <c r="O15" s="1134"/>
      <c r="P15" s="3243" t="s">
        <v>2560</v>
      </c>
      <c r="Q15" s="1812" t="str">
        <f t="shared" si="6"/>
        <v>居住社区成熟度</v>
      </c>
      <c r="R15" s="774" t="s">
        <v>21</v>
      </c>
      <c r="S15" s="775">
        <f t="shared" si="0"/>
        <v>103</v>
      </c>
      <c r="T15" s="774" t="s">
        <v>21</v>
      </c>
      <c r="U15" s="775">
        <f t="shared" si="1"/>
        <v>103</v>
      </c>
      <c r="V15" s="774" t="s">
        <v>21</v>
      </c>
      <c r="W15" s="775">
        <f t="shared" si="2"/>
        <v>106</v>
      </c>
      <c r="X15" s="1815"/>
      <c r="Y15" s="3197" t="s">
        <v>2560</v>
      </c>
      <c r="Z15" s="1816" t="str">
        <f t="shared" si="7"/>
        <v>居住社区成熟度</v>
      </c>
      <c r="AA15" s="1813">
        <f t="shared" si="3"/>
        <v>0.970873786407767</v>
      </c>
      <c r="AB15" s="1813">
        <f t="shared" si="4"/>
        <v>0.970873786407767</v>
      </c>
      <c r="AC15" s="1813">
        <f t="shared" si="5"/>
        <v>0.94339622641509435</v>
      </c>
    </row>
    <row r="16" spans="1:29" ht="15">
      <c r="A16" s="428"/>
      <c r="B16" s="446"/>
      <c r="C16" s="447" t="s">
        <v>3900</v>
      </c>
      <c r="D16" s="448"/>
      <c r="E16" s="2610" t="s">
        <v>3901</v>
      </c>
      <c r="F16" s="448"/>
      <c r="G16" s="2611" t="s">
        <v>3901</v>
      </c>
      <c r="H16" s="450"/>
      <c r="I16" s="2611" t="s">
        <v>3902</v>
      </c>
      <c r="J16" s="448"/>
      <c r="K16" s="2612"/>
      <c r="L16" s="1143"/>
      <c r="M16" s="1134"/>
      <c r="N16" s="1134"/>
      <c r="O16" s="1134"/>
      <c r="P16" s="3244"/>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102</v>
      </c>
      <c r="I17" s="452"/>
      <c r="J17" s="455">
        <f>SUMIF(78:78,I18,79:79)-SUMIF(78:78,C18,79:79)+100</f>
        <v>102</v>
      </c>
      <c r="K17" s="445">
        <v>2</v>
      </c>
      <c r="L17" s="1143"/>
      <c r="M17" s="1134"/>
      <c r="N17" s="1134"/>
      <c r="O17" s="1134"/>
      <c r="P17" s="3244"/>
      <c r="Q17" s="1812" t="str">
        <f>B17</f>
        <v>交通便捷度</v>
      </c>
      <c r="R17" s="774" t="s">
        <v>21</v>
      </c>
      <c r="S17" s="775">
        <f>F17</f>
        <v>102</v>
      </c>
      <c r="T17" s="774" t="s">
        <v>21</v>
      </c>
      <c r="U17" s="775">
        <f>H17</f>
        <v>102</v>
      </c>
      <c r="V17" s="774" t="s">
        <v>21</v>
      </c>
      <c r="W17" s="775">
        <f>J17</f>
        <v>102</v>
      </c>
      <c r="X17" s="1815"/>
      <c r="Y17" s="3198"/>
      <c r="Z17" s="1816" t="str">
        <f>Q17</f>
        <v>交通便捷度</v>
      </c>
      <c r="AA17" s="1813">
        <f t="shared" si="3"/>
        <v>0.98039215686274506</v>
      </c>
      <c r="AB17" s="1813">
        <f t="shared" si="4"/>
        <v>0.98039215686274506</v>
      </c>
      <c r="AC17" s="1813">
        <f t="shared" si="5"/>
        <v>0.98039215686274506</v>
      </c>
    </row>
    <row r="18" spans="1:29" ht="15">
      <c r="A18" s="428"/>
      <c r="B18" s="456"/>
      <c r="C18" s="2614" t="s">
        <v>3901</v>
      </c>
      <c r="D18" s="450"/>
      <c r="E18" s="2615" t="s">
        <v>3902</v>
      </c>
      <c r="F18" s="450"/>
      <c r="G18" s="2616" t="s">
        <v>3902</v>
      </c>
      <c r="H18" s="448"/>
      <c r="I18" s="2616" t="s">
        <v>3902</v>
      </c>
      <c r="J18" s="448"/>
      <c r="K18" s="2612"/>
      <c r="L18" s="1143"/>
      <c r="M18" s="1134"/>
      <c r="N18" s="1134"/>
      <c r="O18" s="1134"/>
      <c r="P18" s="3244"/>
      <c r="Q18" s="1812"/>
      <c r="R18" s="774"/>
      <c r="S18" s="775"/>
      <c r="T18" s="774"/>
      <c r="U18" s="775"/>
      <c r="V18" s="774"/>
      <c r="W18" s="775"/>
      <c r="X18" s="1815"/>
      <c r="Y18" s="3198"/>
      <c r="Z18" s="1816"/>
      <c r="AA18" s="1813">
        <v>1</v>
      </c>
      <c r="AB18" s="1813">
        <v>1</v>
      </c>
      <c r="AC18" s="1813">
        <v>1</v>
      </c>
    </row>
    <row r="19" spans="1:29" ht="42.75">
      <c r="A19" s="428"/>
      <c r="B19" s="451" t="s">
        <v>2096</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244"/>
      <c r="Q19" s="1812" t="str">
        <f>B19</f>
        <v>公共配套设施</v>
      </c>
      <c r="R19" s="774" t="s">
        <v>21</v>
      </c>
      <c r="S19" s="775">
        <f>F19</f>
        <v>100</v>
      </c>
      <c r="T19" s="774" t="s">
        <v>21</v>
      </c>
      <c r="U19" s="775">
        <f>H19</f>
        <v>100</v>
      </c>
      <c r="V19" s="774" t="s">
        <v>21</v>
      </c>
      <c r="W19" s="775">
        <f>J19</f>
        <v>100</v>
      </c>
      <c r="X19" s="1815"/>
      <c r="Y19" s="3198"/>
      <c r="Z19" s="1816" t="str">
        <f>Q19</f>
        <v>公共配套设施</v>
      </c>
      <c r="AA19" s="1813">
        <f t="shared" si="3"/>
        <v>1</v>
      </c>
      <c r="AB19" s="1813">
        <f t="shared" si="4"/>
        <v>1</v>
      </c>
      <c r="AC19" s="1813">
        <f t="shared" si="5"/>
        <v>1</v>
      </c>
    </row>
    <row r="20" spans="1:29" ht="15">
      <c r="A20" s="428"/>
      <c r="B20" s="456"/>
      <c r="C20" s="447" t="s">
        <v>3902</v>
      </c>
      <c r="D20" s="448"/>
      <c r="E20" s="2610" t="s">
        <v>3902</v>
      </c>
      <c r="F20" s="448"/>
      <c r="G20" s="2611" t="s">
        <v>3902</v>
      </c>
      <c r="H20" s="448"/>
      <c r="I20" s="2611" t="s">
        <v>3902</v>
      </c>
      <c r="J20" s="448"/>
      <c r="K20" s="2612"/>
      <c r="L20" s="1143"/>
      <c r="M20" s="1134"/>
      <c r="N20" s="1134"/>
      <c r="O20" s="1134"/>
      <c r="P20" s="3244"/>
      <c r="Q20" s="1812"/>
      <c r="R20" s="774"/>
      <c r="S20" s="775"/>
      <c r="T20" s="774"/>
      <c r="U20" s="775"/>
      <c r="V20" s="774"/>
      <c r="W20" s="775"/>
      <c r="X20" s="1815"/>
      <c r="Y20" s="3198"/>
      <c r="Z20" s="1816"/>
      <c r="AA20" s="1813">
        <v>1</v>
      </c>
      <c r="AB20" s="1813">
        <v>1</v>
      </c>
      <c r="AC20" s="1813">
        <v>1</v>
      </c>
    </row>
    <row r="21" spans="1:29" ht="28.5">
      <c r="A21" s="428"/>
      <c r="B21" s="1387" t="s">
        <v>2099</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3</v>
      </c>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t="s">
        <v>3891</v>
      </c>
      <c r="D22" s="448"/>
      <c r="E22" s="447" t="s">
        <v>3891</v>
      </c>
      <c r="F22" s="448"/>
      <c r="G22" s="2617" t="s">
        <v>3891</v>
      </c>
      <c r="H22" s="448"/>
      <c r="I22" s="447" t="s">
        <v>3891</v>
      </c>
      <c r="J22" s="448"/>
      <c r="K22" s="2618"/>
      <c r="L22" s="1143"/>
      <c r="M22" s="1134"/>
      <c r="N22" s="1134"/>
      <c r="O22" s="1134"/>
      <c r="P22" s="3244"/>
      <c r="Q22" s="1812"/>
      <c r="R22" s="774"/>
      <c r="S22" s="775"/>
      <c r="T22" s="774"/>
      <c r="U22" s="775"/>
      <c r="V22" s="774"/>
      <c r="W22" s="775"/>
      <c r="X22" s="1815"/>
      <c r="Y22" s="3198"/>
      <c r="Z22" s="1816"/>
      <c r="AA22" s="1813">
        <v>1</v>
      </c>
      <c r="AB22" s="1813">
        <v>1</v>
      </c>
      <c r="AC22" s="1813">
        <v>1</v>
      </c>
    </row>
    <row r="23" spans="1:29" ht="57">
      <c r="A23" s="428"/>
      <c r="B23" s="451" t="s">
        <v>2103</v>
      </c>
      <c r="C23" s="2613" t="str">
        <f>估价对象房地状况!C9</f>
        <v>区域自然环境：；人文环境；综合评价环境状况一般</v>
      </c>
      <c r="D23" s="450">
        <v>100</v>
      </c>
      <c r="E23" s="454"/>
      <c r="F23" s="450">
        <f>SUMIF(84:84,E24,85:85)-SUMIF(84:84,C24,85:85)+100</f>
        <v>97</v>
      </c>
      <c r="G23" s="452"/>
      <c r="H23" s="450">
        <f>SUMIF(84:84,G24,85:85)-SUMIF(84:84,C24,85:85)+100</f>
        <v>97</v>
      </c>
      <c r="I23" s="452"/>
      <c r="J23" s="450">
        <f>SUMIF(84:84,I24,85:85)-SUMIF(84:84,C24,85:85)+100</f>
        <v>97</v>
      </c>
      <c r="K23" s="445">
        <v>3</v>
      </c>
      <c r="L23" s="1143"/>
      <c r="M23" s="1134"/>
      <c r="N23" s="1134"/>
      <c r="O23" s="1134"/>
      <c r="P23" s="3244"/>
      <c r="Q23" s="1812" t="str">
        <f>B23</f>
        <v>自然及人文环境</v>
      </c>
      <c r="R23" s="774" t="s">
        <v>21</v>
      </c>
      <c r="S23" s="775">
        <f>F23</f>
        <v>97</v>
      </c>
      <c r="T23" s="774" t="s">
        <v>21</v>
      </c>
      <c r="U23" s="775">
        <f>H23</f>
        <v>97</v>
      </c>
      <c r="V23" s="774" t="s">
        <v>21</v>
      </c>
      <c r="W23" s="775">
        <f>J23</f>
        <v>97</v>
      </c>
      <c r="X23" s="1815"/>
      <c r="Y23" s="3198"/>
      <c r="Z23" s="1816" t="str">
        <f>Q23</f>
        <v>自然及人文环境</v>
      </c>
      <c r="AA23" s="1813">
        <f>D23/F23</f>
        <v>1.0309278350515463</v>
      </c>
      <c r="AB23" s="1813">
        <f>D23/H23</f>
        <v>1.0309278350515463</v>
      </c>
      <c r="AC23" s="1813">
        <f>D23/J23</f>
        <v>1.0309278350515463</v>
      </c>
    </row>
    <row r="24" spans="1:29" ht="15">
      <c r="A24" s="428"/>
      <c r="B24" s="456"/>
      <c r="C24" s="447" t="s">
        <v>3901</v>
      </c>
      <c r="D24" s="448"/>
      <c r="E24" s="2610" t="s">
        <v>3900</v>
      </c>
      <c r="F24" s="448"/>
      <c r="G24" s="2611" t="s">
        <v>3900</v>
      </c>
      <c r="H24" s="448"/>
      <c r="I24" s="2611" t="s">
        <v>3900</v>
      </c>
      <c r="J24" s="448"/>
      <c r="K24" s="2612"/>
      <c r="L24" s="1143"/>
      <c r="M24" s="1134"/>
      <c r="N24" s="1134"/>
      <c r="O24" s="1134"/>
      <c r="P24" s="3244"/>
      <c r="Q24" s="1812"/>
      <c r="R24" s="774"/>
      <c r="S24" s="775"/>
      <c r="T24" s="774"/>
      <c r="U24" s="775"/>
      <c r="V24" s="774"/>
      <c r="W24" s="775"/>
      <c r="X24" s="1815"/>
      <c r="Y24" s="3198"/>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8"/>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4"/>
      <c r="Q26" s="1812" t="str">
        <f t="shared" si="11"/>
        <v>朝向</v>
      </c>
      <c r="R26" s="774" t="s">
        <v>21</v>
      </c>
      <c r="S26" s="775">
        <f t="shared" si="12"/>
        <v>100</v>
      </c>
      <c r="T26" s="774" t="s">
        <v>21</v>
      </c>
      <c r="U26" s="775">
        <f t="shared" si="13"/>
        <v>100</v>
      </c>
      <c r="V26" s="774" t="s">
        <v>21</v>
      </c>
      <c r="W26" s="775">
        <f t="shared" si="14"/>
        <v>100</v>
      </c>
      <c r="X26" s="1815"/>
      <c r="Y26" s="319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4"/>
      <c r="Q27" s="1797">
        <f t="shared" si="11"/>
        <v>111</v>
      </c>
      <c r="R27" s="770" t="s">
        <v>21</v>
      </c>
      <c r="S27" s="771">
        <f t="shared" si="12"/>
        <v>100</v>
      </c>
      <c r="T27" s="770" t="s">
        <v>21</v>
      </c>
      <c r="U27" s="771">
        <f t="shared" si="13"/>
        <v>100</v>
      </c>
      <c r="V27" s="770" t="s">
        <v>21</v>
      </c>
      <c r="W27" s="771">
        <f t="shared" si="14"/>
        <v>100</v>
      </c>
      <c r="X27" s="772"/>
      <c r="Y27" s="319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4"/>
      <c r="Q28" s="1812">
        <f t="shared" si="11"/>
        <v>111</v>
      </c>
      <c r="R28" s="774" t="s">
        <v>21</v>
      </c>
      <c r="S28" s="775">
        <f t="shared" si="12"/>
        <v>100</v>
      </c>
      <c r="T28" s="774" t="s">
        <v>21</v>
      </c>
      <c r="U28" s="775">
        <f t="shared" si="13"/>
        <v>100</v>
      </c>
      <c r="V28" s="774" t="s">
        <v>21</v>
      </c>
      <c r="W28" s="775">
        <f t="shared" si="14"/>
        <v>100</v>
      </c>
      <c r="X28" s="1815"/>
      <c r="Y28" s="319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4"/>
      <c r="Q29" s="1812">
        <f t="shared" si="11"/>
        <v>111</v>
      </c>
      <c r="R29" s="774" t="s">
        <v>21</v>
      </c>
      <c r="S29" s="775">
        <f t="shared" si="12"/>
        <v>100</v>
      </c>
      <c r="T29" s="774" t="s">
        <v>21</v>
      </c>
      <c r="U29" s="775">
        <f t="shared" si="13"/>
        <v>100</v>
      </c>
      <c r="V29" s="774" t="s">
        <v>21</v>
      </c>
      <c r="W29" s="775">
        <f t="shared" si="14"/>
        <v>100</v>
      </c>
      <c r="X29" s="1815"/>
      <c r="Y29" s="319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4"/>
      <c r="Q30" s="1812">
        <f t="shared" si="11"/>
        <v>111</v>
      </c>
      <c r="R30" s="774" t="s">
        <v>21</v>
      </c>
      <c r="S30" s="775">
        <f t="shared" si="12"/>
        <v>100</v>
      </c>
      <c r="T30" s="774" t="s">
        <v>21</v>
      </c>
      <c r="U30" s="775">
        <f t="shared" si="13"/>
        <v>100</v>
      </c>
      <c r="V30" s="774" t="s">
        <v>21</v>
      </c>
      <c r="W30" s="775">
        <f t="shared" si="14"/>
        <v>100</v>
      </c>
      <c r="X30" s="1815"/>
      <c r="Y30" s="319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4"/>
      <c r="Q31" s="1812">
        <f t="shared" si="11"/>
        <v>111</v>
      </c>
      <c r="R31" s="774" t="s">
        <v>21</v>
      </c>
      <c r="S31" s="775">
        <f t="shared" si="12"/>
        <v>100</v>
      </c>
      <c r="T31" s="774" t="s">
        <v>21</v>
      </c>
      <c r="U31" s="775">
        <f t="shared" si="13"/>
        <v>100</v>
      </c>
      <c r="V31" s="774" t="s">
        <v>21</v>
      </c>
      <c r="W31" s="775">
        <f t="shared" si="14"/>
        <v>100</v>
      </c>
      <c r="X31" s="1815"/>
      <c r="Y31" s="3198"/>
      <c r="Z31" s="1816">
        <f t="shared" si="18"/>
        <v>111</v>
      </c>
      <c r="AA31" s="1813">
        <f t="shared" si="15"/>
        <v>1</v>
      </c>
      <c r="AB31" s="1813">
        <f t="shared" si="16"/>
        <v>1</v>
      </c>
      <c r="AC31" s="1813">
        <f t="shared" si="17"/>
        <v>1</v>
      </c>
    </row>
    <row r="32" spans="1:29" ht="15">
      <c r="A32" s="440" t="s">
        <v>2563</v>
      </c>
      <c r="B32" s="71" t="s">
        <v>2564</v>
      </c>
      <c r="C32" s="2623" t="s">
        <v>3112</v>
      </c>
      <c r="D32" s="467">
        <v>100</v>
      </c>
      <c r="E32" s="2624" t="s">
        <v>4016</v>
      </c>
      <c r="F32" s="461">
        <f>SUMIF(100:100,E32,101:101)-SUMIF(100:100,C32,101:101)+100</f>
        <v>105</v>
      </c>
      <c r="G32" s="2623" t="s">
        <v>4016</v>
      </c>
      <c r="H32" s="467">
        <f>SUMIF(100:100,G32,101:101)-SUMIF(100:100,C32,101:101)+100</f>
        <v>105</v>
      </c>
      <c r="I32" s="2624" t="s">
        <v>4016</v>
      </c>
      <c r="J32" s="435">
        <f>SUMIF(100:100,I32,101:101)-SUMIF(100:100,C32,101:101)+100</f>
        <v>105</v>
      </c>
      <c r="K32" s="426">
        <v>5</v>
      </c>
      <c r="L32" s="1143"/>
      <c r="M32" s="1134"/>
      <c r="N32" s="1134"/>
      <c r="O32" s="1134"/>
      <c r="P32" s="3239" t="s">
        <v>2565</v>
      </c>
      <c r="Q32" s="1812" t="str">
        <f t="shared" si="11"/>
        <v>建筑类型</v>
      </c>
      <c r="R32" s="774" t="s">
        <v>21</v>
      </c>
      <c r="S32" s="775">
        <f t="shared" si="12"/>
        <v>105</v>
      </c>
      <c r="T32" s="774" t="s">
        <v>21</v>
      </c>
      <c r="U32" s="775">
        <f t="shared" si="13"/>
        <v>105</v>
      </c>
      <c r="V32" s="774" t="s">
        <v>21</v>
      </c>
      <c r="W32" s="775">
        <f t="shared" si="14"/>
        <v>105</v>
      </c>
      <c r="X32" s="1815"/>
      <c r="Y32" s="3200" t="s">
        <v>2565</v>
      </c>
      <c r="Z32" s="1816" t="str">
        <f t="shared" si="18"/>
        <v>建筑类型</v>
      </c>
      <c r="AA32" s="1813">
        <f t="shared" si="15"/>
        <v>0.95238095238095233</v>
      </c>
      <c r="AB32" s="1813">
        <f t="shared" si="16"/>
        <v>0.95238095238095233</v>
      </c>
      <c r="AC32" s="1813">
        <f t="shared" si="17"/>
        <v>0.95238095238095233</v>
      </c>
    </row>
    <row r="33" spans="1:29" s="471" customFormat="1" ht="15">
      <c r="A33" s="468"/>
      <c r="B33" s="422" t="s">
        <v>2566</v>
      </c>
      <c r="C33" s="469">
        <v>1380000</v>
      </c>
      <c r="D33" s="136">
        <v>100</v>
      </c>
      <c r="E33" s="430">
        <v>413082.75</v>
      </c>
      <c r="F33" s="425">
        <f>LOOKUP(E33,103:103,104:104)-LOOKUP(C33,103:103,104:104)+100</f>
        <v>99</v>
      </c>
      <c r="G33" s="429">
        <v>193472.94</v>
      </c>
      <c r="H33" s="136">
        <f>LOOKUP(G33,103:103,104:104)-LOOKUP(C33,103:103,104:104)+100</f>
        <v>96</v>
      </c>
      <c r="I33" s="430">
        <v>33277.21</v>
      </c>
      <c r="J33" s="136">
        <f>LOOKUP(I33,103:103,104:104)-LOOKUP(C33,103:103,104:104)+100</f>
        <v>95</v>
      </c>
      <c r="K33" s="2607"/>
      <c r="L33" s="1141"/>
      <c r="M33" s="1144"/>
      <c r="N33" s="1144"/>
      <c r="O33" s="1144"/>
      <c r="P33" s="3240"/>
      <c r="Q33" s="776" t="str">
        <f t="shared" si="11"/>
        <v>项目建筑规模</v>
      </c>
      <c r="R33" s="777" t="s">
        <v>21</v>
      </c>
      <c r="S33" s="778">
        <f t="shared" si="12"/>
        <v>99</v>
      </c>
      <c r="T33" s="777" t="s">
        <v>21</v>
      </c>
      <c r="U33" s="778">
        <f t="shared" si="13"/>
        <v>96</v>
      </c>
      <c r="V33" s="777" t="s">
        <v>21</v>
      </c>
      <c r="W33" s="778">
        <f t="shared" si="14"/>
        <v>95</v>
      </c>
      <c r="X33" s="779"/>
      <c r="Y33" s="3200"/>
      <c r="Z33" s="780" t="str">
        <f t="shared" si="18"/>
        <v>项目建筑规模</v>
      </c>
      <c r="AA33" s="1813">
        <f t="shared" si="15"/>
        <v>1.0101010101010102</v>
      </c>
      <c r="AB33" s="1813">
        <f t="shared" si="16"/>
        <v>1.0416666666666667</v>
      </c>
      <c r="AC33" s="1813">
        <f t="shared" si="17"/>
        <v>1.0526315789473684</v>
      </c>
    </row>
    <row r="34" spans="1:29" ht="15">
      <c r="A34" s="472"/>
      <c r="B34" s="422" t="s">
        <v>2567</v>
      </c>
      <c r="C34" s="2625" t="s">
        <v>3875</v>
      </c>
      <c r="D34" s="435">
        <v>100</v>
      </c>
      <c r="E34" s="2626" t="s">
        <v>3875</v>
      </c>
      <c r="F34" s="461">
        <f>SUMIF(105:105,E34,106:106)-SUMIF(105:105,C34,106:106)+100</f>
        <v>100</v>
      </c>
      <c r="G34" s="2625" t="s">
        <v>3875</v>
      </c>
      <c r="H34" s="435">
        <f>SUMIF(105:105,G34,106:106)-SUMIF(105:105,C34,106:106)+100</f>
        <v>100</v>
      </c>
      <c r="I34" s="2626" t="s">
        <v>3875</v>
      </c>
      <c r="J34" s="435">
        <f>SUMIF(105:105,I34,106:106)-SUMIF(105:105,C34,106:106)+100</f>
        <v>100</v>
      </c>
      <c r="K34" s="426">
        <v>2</v>
      </c>
      <c r="L34" s="1143"/>
      <c r="M34" s="1134"/>
      <c r="N34" s="1134"/>
      <c r="O34" s="1134"/>
      <c r="P34" s="3240"/>
      <c r="Q34" s="1812" t="str">
        <f t="shared" si="11"/>
        <v>建筑结构</v>
      </c>
      <c r="R34" s="774" t="s">
        <v>21</v>
      </c>
      <c r="S34" s="775">
        <f t="shared" si="12"/>
        <v>100</v>
      </c>
      <c r="T34" s="774" t="s">
        <v>21</v>
      </c>
      <c r="U34" s="775">
        <f t="shared" si="13"/>
        <v>100</v>
      </c>
      <c r="V34" s="774" t="s">
        <v>21</v>
      </c>
      <c r="W34" s="775">
        <f t="shared" si="14"/>
        <v>100</v>
      </c>
      <c r="X34" s="1815"/>
      <c r="Y34" s="3200"/>
      <c r="Z34" s="1816" t="str">
        <f t="shared" si="18"/>
        <v>建筑结构</v>
      </c>
      <c r="AA34" s="1813">
        <f t="shared" si="15"/>
        <v>1</v>
      </c>
      <c r="AB34" s="1813">
        <f t="shared" si="16"/>
        <v>1</v>
      </c>
      <c r="AC34" s="1813">
        <f t="shared" si="17"/>
        <v>1</v>
      </c>
    </row>
    <row r="35" spans="1:29" ht="15">
      <c r="A35" s="472"/>
      <c r="B35" s="422" t="s">
        <v>2568</v>
      </c>
      <c r="C35" s="2619" t="s">
        <v>3879</v>
      </c>
      <c r="D35" s="435">
        <v>100</v>
      </c>
      <c r="E35" s="2620" t="s">
        <v>3879</v>
      </c>
      <c r="F35" s="461">
        <f>SUMIF(107:107,E35,108:108)-SUMIF(107:107,C35,108:108)+100</f>
        <v>100</v>
      </c>
      <c r="G35" s="2619" t="s">
        <v>3879</v>
      </c>
      <c r="H35" s="435">
        <f>SUMIF(107:107,G35,108:108)-SUMIF(107:107,C35,108:108)+100</f>
        <v>100</v>
      </c>
      <c r="I35" s="2620" t="s">
        <v>3879</v>
      </c>
      <c r="J35" s="435">
        <f>SUMIF(107:107,I35,108:108)-SUMIF(107:107,C35,108:108)+100</f>
        <v>100</v>
      </c>
      <c r="K35" s="426">
        <v>2</v>
      </c>
      <c r="L35" s="1143"/>
      <c r="M35" s="1134"/>
      <c r="N35" s="1134"/>
      <c r="O35" s="1134"/>
      <c r="P35" s="3240"/>
      <c r="Q35" s="1812" t="str">
        <f t="shared" si="11"/>
        <v>建筑品质</v>
      </c>
      <c r="R35" s="774" t="s">
        <v>21</v>
      </c>
      <c r="S35" s="775">
        <f t="shared" si="12"/>
        <v>100</v>
      </c>
      <c r="T35" s="774" t="s">
        <v>21</v>
      </c>
      <c r="U35" s="775">
        <f t="shared" si="13"/>
        <v>100</v>
      </c>
      <c r="V35" s="774" t="s">
        <v>21</v>
      </c>
      <c r="W35" s="775">
        <f t="shared" si="14"/>
        <v>100</v>
      </c>
      <c r="X35" s="1815"/>
      <c r="Y35" s="3200"/>
      <c r="Z35" s="1816" t="str">
        <f t="shared" si="18"/>
        <v>建筑品质</v>
      </c>
      <c r="AA35" s="1813">
        <f t="shared" si="15"/>
        <v>1</v>
      </c>
      <c r="AB35" s="1813">
        <f t="shared" si="16"/>
        <v>1</v>
      </c>
      <c r="AC35" s="1813">
        <f t="shared" si="17"/>
        <v>1</v>
      </c>
    </row>
    <row r="36" spans="1:29" ht="15">
      <c r="A36" s="472"/>
      <c r="B36" s="422" t="s">
        <v>2569</v>
      </c>
      <c r="C36" s="2619" t="s">
        <v>3881</v>
      </c>
      <c r="D36" s="435">
        <v>100</v>
      </c>
      <c r="E36" s="2620" t="s">
        <v>3881</v>
      </c>
      <c r="F36" s="461">
        <f>SUMIF(109:109,E36,110:110)-SUMIF(109:109,C36,110:110)+100</f>
        <v>100</v>
      </c>
      <c r="G36" s="2619" t="s">
        <v>3881</v>
      </c>
      <c r="H36" s="435">
        <f>SUMIF(109:109,G36,110:110)-SUMIF(109:109,C36,110:110)+100</f>
        <v>100</v>
      </c>
      <c r="I36" s="2620" t="s">
        <v>3881</v>
      </c>
      <c r="J36" s="435">
        <f>SUMIF(109:109,I36,110:110)-SUMIF(109:109,C36,110:110)+100</f>
        <v>100</v>
      </c>
      <c r="K36" s="426">
        <v>2</v>
      </c>
      <c r="L36" s="1143"/>
      <c r="M36" s="1134"/>
      <c r="N36" s="1134"/>
      <c r="O36" s="1134"/>
      <c r="P36" s="3240"/>
      <c r="Q36" s="1812" t="str">
        <f t="shared" si="11"/>
        <v>公共部分装修</v>
      </c>
      <c r="R36" s="774" t="s">
        <v>21</v>
      </c>
      <c r="S36" s="775">
        <f t="shared" si="12"/>
        <v>100</v>
      </c>
      <c r="T36" s="774" t="s">
        <v>21</v>
      </c>
      <c r="U36" s="775">
        <f t="shared" si="13"/>
        <v>100</v>
      </c>
      <c r="V36" s="774" t="s">
        <v>21</v>
      </c>
      <c r="W36" s="775">
        <f t="shared" si="14"/>
        <v>100</v>
      </c>
      <c r="X36" s="1815"/>
      <c r="Y36" s="3200"/>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40"/>
      <c r="Q37" s="1797" t="str">
        <f t="shared" si="11"/>
        <v>成新度</v>
      </c>
      <c r="R37" s="770" t="s">
        <v>21</v>
      </c>
      <c r="S37" s="771">
        <f t="shared" si="12"/>
        <v>100</v>
      </c>
      <c r="T37" s="770" t="s">
        <v>21</v>
      </c>
      <c r="U37" s="771">
        <f t="shared" si="13"/>
        <v>100</v>
      </c>
      <c r="V37" s="770" t="s">
        <v>21</v>
      </c>
      <c r="W37" s="771">
        <f t="shared" si="14"/>
        <v>100</v>
      </c>
      <c r="X37" s="772"/>
      <c r="Y37" s="3200"/>
      <c r="Z37" s="55" t="str">
        <f t="shared" si="18"/>
        <v>成新度</v>
      </c>
      <c r="AA37" s="773">
        <f t="shared" si="15"/>
        <v>1</v>
      </c>
      <c r="AB37" s="773">
        <f t="shared" si="16"/>
        <v>1</v>
      </c>
      <c r="AC37" s="773">
        <f t="shared" si="17"/>
        <v>1</v>
      </c>
    </row>
    <row r="38" spans="1:29" ht="15">
      <c r="A38" s="472"/>
      <c r="B38" s="422" t="s">
        <v>2571</v>
      </c>
      <c r="C38" s="2619" t="s">
        <v>3886</v>
      </c>
      <c r="D38" s="435">
        <v>100</v>
      </c>
      <c r="E38" s="2620" t="s">
        <v>3886</v>
      </c>
      <c r="F38" s="461">
        <f>SUMIF(114:114,E38,115:115)-SUMIF(114:114,C38,115:115)+100</f>
        <v>100</v>
      </c>
      <c r="G38" s="2619" t="s">
        <v>3886</v>
      </c>
      <c r="H38" s="435">
        <f>SUMIF(114:114,G38,115:115)-SUMIF(114:114,C38,115:115)+100</f>
        <v>100</v>
      </c>
      <c r="I38" s="2620" t="s">
        <v>3886</v>
      </c>
      <c r="J38" s="435">
        <f>SUMIF(114:114,I38,115:115)-SUMIF(114:114,C38,115:115)+100</f>
        <v>100</v>
      </c>
      <c r="K38" s="426">
        <v>2</v>
      </c>
      <c r="L38" s="1143"/>
      <c r="M38" s="1134"/>
      <c r="N38" s="1134"/>
      <c r="O38" s="1134"/>
      <c r="P38" s="3240" t="s">
        <v>2565</v>
      </c>
      <c r="Q38" s="1812" t="str">
        <f t="shared" si="11"/>
        <v>物业管理</v>
      </c>
      <c r="R38" s="774" t="s">
        <v>21</v>
      </c>
      <c r="S38" s="775">
        <f t="shared" si="12"/>
        <v>100</v>
      </c>
      <c r="T38" s="774" t="s">
        <v>21</v>
      </c>
      <c r="U38" s="775">
        <f t="shared" si="13"/>
        <v>100</v>
      </c>
      <c r="V38" s="774" t="s">
        <v>21</v>
      </c>
      <c r="W38" s="775">
        <f t="shared" si="14"/>
        <v>100</v>
      </c>
      <c r="X38" s="1815"/>
      <c r="Y38" s="3200" t="s">
        <v>2565</v>
      </c>
      <c r="Z38" s="1816" t="str">
        <f t="shared" si="18"/>
        <v>物业管理</v>
      </c>
      <c r="AA38" s="1813">
        <f t="shared" si="15"/>
        <v>1</v>
      </c>
      <c r="AB38" s="1813">
        <f t="shared" si="16"/>
        <v>1</v>
      </c>
      <c r="AC38" s="1813">
        <f t="shared" si="17"/>
        <v>1</v>
      </c>
    </row>
    <row r="39" spans="1:29" ht="15">
      <c r="A39" s="472"/>
      <c r="B39" s="422" t="s">
        <v>2572</v>
      </c>
      <c r="C39" s="2619" t="s">
        <v>3891</v>
      </c>
      <c r="D39" s="435">
        <v>100</v>
      </c>
      <c r="E39" s="2620" t="s">
        <v>3891</v>
      </c>
      <c r="F39" s="461">
        <f>SUMIF(116:116,E39,117:117)-SUMIF(116:116,C39,117:117)+100</f>
        <v>100</v>
      </c>
      <c r="G39" s="2619" t="s">
        <v>3891</v>
      </c>
      <c r="H39" s="435">
        <f>SUMIF(116:116,G39,117:117)-SUMIF(116:116,C39,117:117)+100</f>
        <v>100</v>
      </c>
      <c r="I39" s="2620" t="s">
        <v>3889</v>
      </c>
      <c r="J39" s="435">
        <f>SUMIF(116:116,I39,117:117)-SUMIF(116:116,C39,117:117)+100</f>
        <v>102</v>
      </c>
      <c r="K39" s="426">
        <v>2</v>
      </c>
      <c r="L39" s="1143"/>
      <c r="M39" s="1134"/>
      <c r="N39" s="1134"/>
      <c r="O39" s="1134"/>
      <c r="P39" s="3240"/>
      <c r="Q39" s="1812" t="str">
        <f t="shared" si="11"/>
        <v>市政基础设施</v>
      </c>
      <c r="R39" s="774" t="s">
        <v>21</v>
      </c>
      <c r="S39" s="775">
        <f t="shared" si="12"/>
        <v>100</v>
      </c>
      <c r="T39" s="774" t="s">
        <v>21</v>
      </c>
      <c r="U39" s="775">
        <f t="shared" si="13"/>
        <v>100</v>
      </c>
      <c r="V39" s="774" t="s">
        <v>21</v>
      </c>
      <c r="W39" s="775">
        <f t="shared" si="14"/>
        <v>102</v>
      </c>
      <c r="X39" s="1815"/>
      <c r="Y39" s="3200"/>
      <c r="Z39" s="1816" t="str">
        <f t="shared" si="18"/>
        <v>市政基础设施</v>
      </c>
      <c r="AA39" s="1813">
        <f t="shared" si="15"/>
        <v>1</v>
      </c>
      <c r="AB39" s="1813">
        <f t="shared" si="16"/>
        <v>1</v>
      </c>
      <c r="AC39" s="1813">
        <f t="shared" si="17"/>
        <v>0.98039215686274506</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40"/>
      <c r="Q40" s="1812" t="str">
        <f t="shared" si="11"/>
        <v>房型</v>
      </c>
      <c r="R40" s="774" t="s">
        <v>21</v>
      </c>
      <c r="S40" s="775">
        <f t="shared" si="12"/>
        <v>100</v>
      </c>
      <c r="T40" s="774" t="s">
        <v>21</v>
      </c>
      <c r="U40" s="775">
        <f t="shared" si="13"/>
        <v>100</v>
      </c>
      <c r="V40" s="774" t="s">
        <v>21</v>
      </c>
      <c r="W40" s="775">
        <f t="shared" si="14"/>
        <v>100</v>
      </c>
      <c r="X40" s="1815"/>
      <c r="Y40" s="3200"/>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40"/>
      <c r="Q41" s="776" t="str">
        <f t="shared" si="11"/>
        <v>单套/主力户型建筑面积</v>
      </c>
      <c r="R41" s="777" t="s">
        <v>21</v>
      </c>
      <c r="S41" s="778">
        <f t="shared" si="12"/>
        <v>100</v>
      </c>
      <c r="T41" s="777" t="s">
        <v>21</v>
      </c>
      <c r="U41" s="778">
        <f t="shared" si="13"/>
        <v>100</v>
      </c>
      <c r="V41" s="777" t="s">
        <v>21</v>
      </c>
      <c r="W41" s="778">
        <f t="shared" si="14"/>
        <v>100</v>
      </c>
      <c r="X41" s="779"/>
      <c r="Y41" s="3200"/>
      <c r="Z41" s="780" t="str">
        <f t="shared" si="18"/>
        <v>单套/主力户型建筑面积</v>
      </c>
      <c r="AA41" s="1813">
        <f t="shared" si="15"/>
        <v>1</v>
      </c>
      <c r="AB41" s="1813">
        <f t="shared" si="16"/>
        <v>1</v>
      </c>
      <c r="AC41" s="1813">
        <f t="shared" si="17"/>
        <v>1</v>
      </c>
    </row>
    <row r="42" spans="1:29" ht="15">
      <c r="A42" s="472"/>
      <c r="B42" s="422" t="s">
        <v>2575</v>
      </c>
      <c r="C42" s="2619" t="s">
        <v>3881</v>
      </c>
      <c r="D42" s="435">
        <v>100</v>
      </c>
      <c r="E42" s="2620" t="s">
        <v>4020</v>
      </c>
      <c r="F42" s="461">
        <f>SUMIF(122:122,E42,123:123)-SUMIF(122:122,C42,123:123)+100</f>
        <v>98</v>
      </c>
      <c r="G42" s="2619" t="s">
        <v>4020</v>
      </c>
      <c r="H42" s="435">
        <f>SUMIF(122:122,G42,123:123)-SUMIF(122:122,C42,123:123)+100</f>
        <v>98</v>
      </c>
      <c r="I42" s="2620" t="s">
        <v>4020</v>
      </c>
      <c r="J42" s="435">
        <f>SUMIF(122:122,I42,123:123)-SUMIF(122:122,C42,123:123)+100</f>
        <v>98</v>
      </c>
      <c r="K42" s="426">
        <v>2</v>
      </c>
      <c r="L42" s="1143"/>
      <c r="M42" s="1134"/>
      <c r="N42" s="1134"/>
      <c r="O42" s="1134"/>
      <c r="P42" s="3240"/>
      <c r="Q42" s="1812" t="str">
        <f t="shared" si="11"/>
        <v>内部装修</v>
      </c>
      <c r="R42" s="774" t="s">
        <v>21</v>
      </c>
      <c r="S42" s="775">
        <f t="shared" si="12"/>
        <v>98</v>
      </c>
      <c r="T42" s="774" t="s">
        <v>21</v>
      </c>
      <c r="U42" s="775">
        <f t="shared" si="13"/>
        <v>98</v>
      </c>
      <c r="V42" s="774" t="s">
        <v>21</v>
      </c>
      <c r="W42" s="775">
        <f t="shared" si="14"/>
        <v>98</v>
      </c>
      <c r="X42" s="1815"/>
      <c r="Y42" s="3200"/>
      <c r="Z42" s="1816" t="str">
        <f t="shared" si="18"/>
        <v>内部装修</v>
      </c>
      <c r="AA42" s="1813">
        <f t="shared" si="15"/>
        <v>1.0204081632653061</v>
      </c>
      <c r="AB42" s="1813">
        <f t="shared" si="16"/>
        <v>1.0204081632653061</v>
      </c>
      <c r="AC42" s="1813">
        <f t="shared" si="17"/>
        <v>1.0204081632653061</v>
      </c>
    </row>
    <row r="43" spans="1:29" ht="15">
      <c r="A43" s="472"/>
      <c r="B43" s="422" t="s">
        <v>2576</v>
      </c>
      <c r="C43" s="2619" t="s">
        <v>3902</v>
      </c>
      <c r="D43" s="435">
        <v>100</v>
      </c>
      <c r="E43" s="2620" t="s">
        <v>3902</v>
      </c>
      <c r="F43" s="461">
        <f>SUMIF(124:124,E43,125:125)-SUMIF(124:124,C43,125:125)+100</f>
        <v>100</v>
      </c>
      <c r="G43" s="2619" t="s">
        <v>3902</v>
      </c>
      <c r="H43" s="435">
        <f>SUMIF(124:124,G43,125:125)-SUMIF(124:124,C43,125:125)+100</f>
        <v>100</v>
      </c>
      <c r="I43" s="2620" t="s">
        <v>3902</v>
      </c>
      <c r="J43" s="435">
        <f>SUMIF(124:124,I43,125:125)-SUMIF(124:124,C43,125:125)+100</f>
        <v>100</v>
      </c>
      <c r="K43" s="426">
        <v>2</v>
      </c>
      <c r="L43" s="1143"/>
      <c r="M43" s="1134"/>
      <c r="N43" s="1134"/>
      <c r="O43" s="1134"/>
      <c r="P43" s="3240"/>
      <c r="Q43" s="1812" t="str">
        <f t="shared" si="11"/>
        <v>内部装修维护情况</v>
      </c>
      <c r="R43" s="774" t="s">
        <v>21</v>
      </c>
      <c r="S43" s="775">
        <f t="shared" si="12"/>
        <v>100</v>
      </c>
      <c r="T43" s="774" t="s">
        <v>21</v>
      </c>
      <c r="U43" s="775">
        <f t="shared" si="13"/>
        <v>100</v>
      </c>
      <c r="V43" s="774" t="s">
        <v>21</v>
      </c>
      <c r="W43" s="775">
        <f t="shared" si="14"/>
        <v>100</v>
      </c>
      <c r="X43" s="1815"/>
      <c r="Y43" s="3200"/>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40"/>
      <c r="Q44" s="1797">
        <f t="shared" si="11"/>
        <v>111</v>
      </c>
      <c r="R44" s="770" t="s">
        <v>21</v>
      </c>
      <c r="S44" s="771">
        <f t="shared" si="12"/>
        <v>100</v>
      </c>
      <c r="T44" s="770" t="s">
        <v>21</v>
      </c>
      <c r="U44" s="771">
        <f t="shared" si="13"/>
        <v>100</v>
      </c>
      <c r="V44" s="770" t="s">
        <v>21</v>
      </c>
      <c r="W44" s="771">
        <f t="shared" si="14"/>
        <v>100</v>
      </c>
      <c r="X44" s="772"/>
      <c r="Y44" s="320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40"/>
      <c r="Q45" s="1812">
        <f t="shared" si="11"/>
        <v>111</v>
      </c>
      <c r="R45" s="774" t="s">
        <v>21</v>
      </c>
      <c r="S45" s="775">
        <f t="shared" si="12"/>
        <v>100</v>
      </c>
      <c r="T45" s="774" t="s">
        <v>21</v>
      </c>
      <c r="U45" s="775">
        <f t="shared" si="13"/>
        <v>100</v>
      </c>
      <c r="V45" s="774" t="s">
        <v>21</v>
      </c>
      <c r="W45" s="775">
        <f t="shared" si="14"/>
        <v>100</v>
      </c>
      <c r="X45" s="1815"/>
      <c r="Y45" s="3200"/>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1"/>
      <c r="Q46" s="1812">
        <f t="shared" si="11"/>
        <v>111</v>
      </c>
      <c r="R46" s="774" t="s">
        <v>20</v>
      </c>
      <c r="S46" s="775">
        <f t="shared" si="12"/>
        <v>100</v>
      </c>
      <c r="T46" s="774" t="s">
        <v>20</v>
      </c>
      <c r="U46" s="775">
        <f t="shared" si="13"/>
        <v>100</v>
      </c>
      <c r="V46" s="774" t="s">
        <v>20</v>
      </c>
      <c r="W46" s="775">
        <f t="shared" si="14"/>
        <v>100</v>
      </c>
      <c r="X46" s="1815"/>
      <c r="Y46" s="3242"/>
      <c r="Z46" s="1816">
        <f t="shared" si="18"/>
        <v>111</v>
      </c>
      <c r="AA46" s="1813">
        <f t="shared" si="15"/>
        <v>1</v>
      </c>
      <c r="AB46" s="1813">
        <f t="shared" si="16"/>
        <v>1</v>
      </c>
      <c r="AC46" s="1813">
        <f t="shared" si="17"/>
        <v>1</v>
      </c>
    </row>
    <row r="47" spans="1:29" ht="15">
      <c r="A47" s="479" t="s">
        <v>2577</v>
      </c>
      <c r="B47" s="480"/>
      <c r="C47" s="1410" t="s">
        <v>19</v>
      </c>
      <c r="D47" s="1411"/>
      <c r="E47" s="1412">
        <v>17800</v>
      </c>
      <c r="F47" s="1413"/>
      <c r="G47" s="1414">
        <v>17000</v>
      </c>
      <c r="H47" s="1415"/>
      <c r="I47" s="1412">
        <v>17500</v>
      </c>
      <c r="J47" s="1415"/>
      <c r="K47" s="2627"/>
      <c r="L47" s="1146"/>
      <c r="M47" s="1147"/>
      <c r="N47" s="1134"/>
      <c r="O47" s="1147"/>
      <c r="P47" s="3182" t="str">
        <f>A47</f>
        <v>成交单价（元/平方米）</v>
      </c>
      <c r="Q47" s="3182"/>
      <c r="R47" s="3238">
        <f>E47</f>
        <v>17800</v>
      </c>
      <c r="S47" s="3238"/>
      <c r="T47" s="3238">
        <f>G47</f>
        <v>17000</v>
      </c>
      <c r="U47" s="3238"/>
      <c r="V47" s="3238">
        <f>I47</f>
        <v>17500</v>
      </c>
      <c r="W47" s="3238"/>
      <c r="X47" s="759"/>
      <c r="Y47" s="781"/>
      <c r="Z47" s="759"/>
      <c r="AA47" s="759"/>
      <c r="AB47" s="759"/>
      <c r="AC47" s="759"/>
    </row>
    <row r="48" spans="1:29" ht="15.75" thickBot="1">
      <c r="A48" s="486" t="s">
        <v>2578</v>
      </c>
      <c r="B48" s="487"/>
      <c r="C48" s="1416">
        <f>R49</f>
        <v>17442</v>
      </c>
      <c r="D48" s="1417"/>
      <c r="E48" s="1418">
        <f>R48</f>
        <v>17354</v>
      </c>
      <c r="F48" s="1418"/>
      <c r="G48" s="1416">
        <f>T48</f>
        <v>17092</v>
      </c>
      <c r="H48" s="1417"/>
      <c r="I48" s="1418">
        <f>V48</f>
        <v>17879</v>
      </c>
      <c r="J48" s="1417"/>
      <c r="K48" s="2628"/>
      <c r="L48" s="1146"/>
      <c r="M48" s="1147"/>
      <c r="N48" s="1147"/>
      <c r="O48" s="1147"/>
      <c r="P48" s="3182" t="str">
        <f>A48</f>
        <v>比较价值（元/平方米）</v>
      </c>
      <c r="Q48" s="3182"/>
      <c r="R48" s="3238">
        <f>IF(F1="售价",ROUND(PRODUCT(R47,AA7:AA46),0),ROUND(PRODUCT(R47,AA7:AA46),1))</f>
        <v>17354</v>
      </c>
      <c r="S48" s="3238"/>
      <c r="T48" s="3238">
        <f>IF(F1="售价",ROUND(PRODUCT(T47,AB7:AB46),0),ROUND(PRODUCT(T47,AB7:AB46),1))</f>
        <v>17092</v>
      </c>
      <c r="U48" s="3238"/>
      <c r="V48" s="3238">
        <f>IF(F1="售价",ROUND(PRODUCT(V47,AC7:AC46),0),ROUND(PRODUCT(V47,AC7:AC46),1))</f>
        <v>17879</v>
      </c>
      <c r="W48" s="3238"/>
      <c r="X48" s="759"/>
      <c r="Y48" s="759"/>
      <c r="Z48" s="759"/>
      <c r="AA48" s="759"/>
      <c r="AB48" s="759"/>
      <c r="AC48" s="759"/>
    </row>
    <row r="49" spans="1:29" ht="15.75" thickBot="1">
      <c r="A49" s="492" t="s">
        <v>2579</v>
      </c>
      <c r="B49" s="493"/>
      <c r="C49" s="1419">
        <f>R49</f>
        <v>17442</v>
      </c>
      <c r="D49" s="1420"/>
      <c r="E49" s="1420"/>
      <c r="F49" s="1420"/>
      <c r="G49" s="1420"/>
      <c r="H49" s="1420"/>
      <c r="I49" s="1420"/>
      <c r="J49" s="1420"/>
      <c r="K49" s="2629"/>
      <c r="L49" s="1146"/>
      <c r="M49" s="1147"/>
      <c r="N49" s="1147"/>
      <c r="O49" s="1147"/>
      <c r="P49" s="3202" t="str">
        <f>A49</f>
        <v>估价对象XX用房的比较价值（楼面单价，元/平方米）</v>
      </c>
      <c r="Q49" s="3203"/>
      <c r="R49" s="3237">
        <f>IF(F1="售价",ROUND(AVERAGE(R48:V48),0),ROUND(AVERAGE(R48:V48),1))</f>
        <v>17442</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f>IF(E47&lt;E48,E48/E47-1,E47/E48-1)</f>
        <v>2.570012677192568E-2</v>
      </c>
      <c r="F52" s="500" t="str">
        <f>IF(OR(E52&gt;=0.3,E52&lt;=-0.3),"超过30%","")</f>
        <v/>
      </c>
      <c r="G52" s="499">
        <f>IF(G47&lt;G48,G48/G47-1,G47/G48-1)</f>
        <v>5.4117647058824492E-3</v>
      </c>
      <c r="H52" s="500" t="str">
        <f>IF(OR(G52&gt;=0.3,G52&lt;=-0.3),"超过30%","")</f>
        <v/>
      </c>
      <c r="I52" s="499">
        <f>IF(I47&lt;I48,I48/I47-1,I47/I48-1)</f>
        <v>2.1657142857142819E-2</v>
      </c>
      <c r="J52" s="500" t="str">
        <f>IF(OR(I52&gt;=0.3,I52&lt;=-0.3),"超过30%","")</f>
        <v/>
      </c>
      <c r="K52" s="1108"/>
      <c r="L52" s="1109"/>
      <c r="M52" s="1147"/>
      <c r="N52" s="1147"/>
      <c r="O52" s="1147"/>
    </row>
    <row r="53" spans="1:29" ht="13.5" customHeight="1">
      <c r="A53" s="1147"/>
      <c r="B53" s="1147"/>
      <c r="C53" s="497" t="s">
        <v>2581</v>
      </c>
      <c r="D53" s="501"/>
      <c r="E53" s="499">
        <f>IF(E48&lt;G48,G48/E48-1,E48/G48-1)</f>
        <v>1.532880879943832E-2</v>
      </c>
      <c r="F53" s="500" t="str">
        <f>IF(OR(E53&gt;=0.2,E53&lt;=-0.2),"超过20%","")</f>
        <v/>
      </c>
      <c r="G53" s="499">
        <f>IF(G48&lt;I48,I48/G48-1,G48/I48-1)</f>
        <v>4.6044933302129554E-2</v>
      </c>
      <c r="H53" s="500" t="str">
        <f>IF(OR(G53&gt;=0.2,G53&lt;=-0.2),"超过20%","")</f>
        <v/>
      </c>
      <c r="I53" s="499">
        <f>IF(I48&lt;E48,E48/I48-1,I48/E48-1)</f>
        <v>3.0252391379508969E-2</v>
      </c>
      <c r="J53" s="500" t="str">
        <f>IF(OR(I53&gt;=0.2,I53&lt;=-0.2),"超过20%","")</f>
        <v/>
      </c>
      <c r="K53" s="1108"/>
      <c r="L53" s="1109"/>
      <c r="M53" s="1147"/>
      <c r="N53" s="1147"/>
      <c r="O53" s="1147"/>
    </row>
    <row r="54" spans="1:29" s="502" customFormat="1" ht="13.5" customHeight="1">
      <c r="A54" s="1148"/>
      <c r="B54" s="1148"/>
      <c r="C54" s="497" t="s">
        <v>2582</v>
      </c>
      <c r="D54" s="501"/>
      <c r="E54" s="499">
        <f>IF(E47&lt;G47,G47/E47-1,E47/G47-1)</f>
        <v>4.705882352941182E-2</v>
      </c>
      <c r="F54" s="500" t="str">
        <f>IF(OR(E54&gt;=0.3,E54&lt;=-0.3),"超过30%","")</f>
        <v/>
      </c>
      <c r="G54" s="499">
        <f>IF(G47&lt;I47,I47/G47-1,G47/I47-1)</f>
        <v>2.9411764705882248E-2</v>
      </c>
      <c r="H54" s="500" t="str">
        <f>IF(OR(G54&gt;=0.3,G54&lt;=-0.3),"超过30%","")</f>
        <v/>
      </c>
      <c r="I54" s="499">
        <f>IF(I47&lt;E47,E47/I47-1,I47/E47-1)</f>
        <v>1.7142857142857126E-2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2"/>
      <c r="Q57" s="504"/>
    </row>
    <row r="58" spans="1:29" s="508" customFormat="1" ht="15">
      <c r="A58" s="505" t="s">
        <v>2584</v>
      </c>
      <c r="B58" s="506"/>
      <c r="C58" s="1578" t="str">
        <f>YEAR(C7)&amp;"-"&amp;MONTH(C7)</f>
        <v>2019-8</v>
      </c>
      <c r="D58" s="1577">
        <f>EDATE(C58,-1)</f>
        <v>43647</v>
      </c>
      <c r="E58" s="1577">
        <f>EDATE(D58,-1)</f>
        <v>43617</v>
      </c>
      <c r="F58" s="1577">
        <f t="shared" ref="F58:O58" si="19">EDATE(E58,-1)</f>
        <v>43586</v>
      </c>
      <c r="G58" s="1577">
        <f t="shared" si="19"/>
        <v>43556</v>
      </c>
      <c r="H58" s="1577">
        <f t="shared" si="19"/>
        <v>43525</v>
      </c>
      <c r="I58" s="1577">
        <f t="shared" si="19"/>
        <v>43497</v>
      </c>
      <c r="J58" s="1577">
        <f t="shared" si="19"/>
        <v>43466</v>
      </c>
      <c r="K58" s="1577">
        <f t="shared" si="19"/>
        <v>43435</v>
      </c>
      <c r="L58" s="1577">
        <f t="shared" si="19"/>
        <v>43405</v>
      </c>
      <c r="M58" s="1577">
        <f t="shared" si="19"/>
        <v>43374</v>
      </c>
      <c r="N58" s="1577">
        <f t="shared" si="19"/>
        <v>43344</v>
      </c>
      <c r="O58" s="1577">
        <f t="shared" si="19"/>
        <v>43313</v>
      </c>
      <c r="P58" s="1572"/>
    </row>
    <row r="59" spans="1:29" s="117" customFormat="1" ht="15">
      <c r="A59" s="509"/>
      <c r="B59" s="2633"/>
      <c r="C59" s="1575">
        <v>100</v>
      </c>
      <c r="D59" s="511">
        <v>99</v>
      </c>
      <c r="E59" s="512">
        <v>98</v>
      </c>
      <c r="F59" s="512">
        <v>97</v>
      </c>
      <c r="G59" s="512">
        <v>96</v>
      </c>
      <c r="H59" s="511">
        <v>95</v>
      </c>
      <c r="I59" s="512">
        <v>94</v>
      </c>
      <c r="J59" s="512">
        <v>93</v>
      </c>
      <c r="K59" s="512">
        <v>92</v>
      </c>
      <c r="L59" s="511">
        <v>91</v>
      </c>
      <c r="M59" s="512">
        <v>90</v>
      </c>
      <c r="N59" s="512">
        <v>89</v>
      </c>
      <c r="O59" s="512">
        <v>88</v>
      </c>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2586</v>
      </c>
      <c r="B61" s="510"/>
      <c r="C61" s="522" t="s">
        <v>2587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6"/>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22">C69-$K11</f>
        <v>95</v>
      </c>
      <c r="E69" s="544">
        <f t="shared" si="22"/>
        <v>90</v>
      </c>
      <c r="F69" s="544">
        <f t="shared" si="22"/>
        <v>85</v>
      </c>
      <c r="G69" s="544">
        <f t="shared" si="22"/>
        <v>80</v>
      </c>
      <c r="H69" s="544">
        <f t="shared" si="22"/>
        <v>75</v>
      </c>
      <c r="I69" s="544">
        <f t="shared" si="22"/>
        <v>70</v>
      </c>
      <c r="J69" s="544">
        <f t="shared" si="22"/>
        <v>65</v>
      </c>
      <c r="K69" s="544">
        <f t="shared" si="22"/>
        <v>60</v>
      </c>
      <c r="L69" s="544">
        <f t="shared" si="22"/>
        <v>55</v>
      </c>
      <c r="M69" s="545">
        <f t="shared" si="22"/>
        <v>50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6"/>
      <c r="Q81" s="504"/>
    </row>
    <row r="82" spans="1:17" ht="15.75" thickTop="1">
      <c r="A82" s="534"/>
      <c r="B82" s="546" t="s">
        <v>2099</v>
      </c>
      <c r="C82" s="539" t="s">
        <v>2604</v>
      </c>
      <c r="D82" s="539" t="s">
        <v>2605</v>
      </c>
      <c r="E82" s="539" t="s">
        <v>2606</v>
      </c>
      <c r="F82" s="539" t="s">
        <v>2607</v>
      </c>
      <c r="G82" s="539" t="s">
        <v>2608</v>
      </c>
      <c r="H82" s="539"/>
      <c r="I82" s="539"/>
      <c r="J82" s="539"/>
      <c r="K82" s="539"/>
      <c r="L82" s="539"/>
      <c r="M82" s="1385"/>
      <c r="N82" s="1156"/>
      <c r="O82" s="1156"/>
      <c r="P82" s="2636"/>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6"/>
      <c r="Q85" s="504"/>
    </row>
    <row r="86" spans="1:17" s="117" customFormat="1" ht="15.75" thickTop="1">
      <c r="A86" s="579"/>
      <c r="B86" s="538" t="s">
        <v>2610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2563</v>
      </c>
      <c r="B100" s="528" t="s">
        <v>2612</v>
      </c>
      <c r="C100" s="2968" t="s">
        <v>4017</v>
      </c>
      <c r="D100" s="2968" t="s">
        <v>4018</v>
      </c>
      <c r="E100" s="2968"/>
      <c r="F100" s="2968"/>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6"/>
      <c r="Q101" s="504"/>
    </row>
    <row r="102" spans="1:17" ht="29.25" thickTop="1">
      <c r="A102" s="534"/>
      <c r="B102" s="538" t="s">
        <v>2613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7"/>
      <c r="O103" s="1157"/>
      <c r="P103" s="2637"/>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7"/>
      <c r="Q104" s="559"/>
    </row>
    <row r="105" spans="1:17" ht="15" thickTop="1">
      <c r="A105" s="599"/>
      <c r="B105" s="538" t="s">
        <v>2614</v>
      </c>
      <c r="C105" s="2969" t="s">
        <v>3874</v>
      </c>
      <c r="D105" s="2969" t="s">
        <v>3876</v>
      </c>
      <c r="E105" s="2970" t="s">
        <v>3877</v>
      </c>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thickTop="1">
      <c r="A107" s="599"/>
      <c r="B107" s="538" t="s">
        <v>2615</v>
      </c>
      <c r="C107" s="2970" t="s">
        <v>3878</v>
      </c>
      <c r="D107" s="2970" t="s">
        <v>3880</v>
      </c>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6"/>
      <c r="Q108" s="504"/>
    </row>
    <row r="109" spans="1:17" ht="15" thickTop="1">
      <c r="A109" s="599"/>
      <c r="B109" s="538" t="s">
        <v>2616</v>
      </c>
      <c r="C109" s="2969" t="s">
        <v>3882</v>
      </c>
      <c r="D109" s="2969" t="s">
        <v>3883</v>
      </c>
      <c r="E109" s="2969" t="s">
        <v>3884</v>
      </c>
      <c r="F109" s="2970" t="s">
        <v>3885</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7"/>
      <c r="Q113" s="559"/>
    </row>
    <row r="114" spans="1:17" ht="15" thickTop="1">
      <c r="A114" s="599"/>
      <c r="B114" s="538" t="s">
        <v>2617</v>
      </c>
      <c r="C114" s="2969" t="s">
        <v>3887</v>
      </c>
      <c r="D114" s="2969" t="s">
        <v>3888</v>
      </c>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2618</v>
      </c>
      <c r="C116" s="2969" t="s">
        <v>3890</v>
      </c>
      <c r="D116" s="2969" t="s">
        <v>3892</v>
      </c>
      <c r="E116" s="2969" t="s">
        <v>3893</v>
      </c>
      <c r="F116" s="2969" t="s">
        <v>3894</v>
      </c>
      <c r="G116" s="2969" t="s">
        <v>3896</v>
      </c>
      <c r="H116" s="583"/>
      <c r="I116" s="583"/>
      <c r="J116" s="583"/>
      <c r="K116" s="584"/>
      <c r="L116" s="585"/>
      <c r="M116" s="586"/>
      <c r="N116" s="1155"/>
      <c r="O116" s="1155"/>
      <c r="P116" s="263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2969" t="s">
        <v>3882</v>
      </c>
      <c r="D122" s="2969" t="s">
        <v>3883</v>
      </c>
      <c r="E122" s="2969" t="s">
        <v>3884</v>
      </c>
      <c r="F122" s="2970" t="s">
        <v>3885</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5.75"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c r="B147" s="2643" t="s">
        <v>2640</v>
      </c>
    </row>
    <row r="148" spans="2:11">
      <c r="B148" s="264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95"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95"/>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95"/>
      <c r="AC6" s="3167"/>
    </row>
    <row r="7" spans="1:29" s="117" customFormat="1" ht="15.75" thickBot="1">
      <c r="A7" s="408" t="s">
        <v>2548</v>
      </c>
      <c r="B7" s="409"/>
      <c r="C7" s="410">
        <f>'数据-取费表'!B2</f>
        <v>43689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71.25">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2560</v>
      </c>
      <c r="Q15" s="1812" t="str">
        <f t="shared" si="6"/>
        <v>商业繁华度</v>
      </c>
      <c r="R15" s="774" t="s">
        <v>17</v>
      </c>
      <c r="S15" s="775">
        <f t="shared" si="0"/>
        <v>100</v>
      </c>
      <c r="T15" s="774" t="s">
        <v>17</v>
      </c>
      <c r="U15" s="775">
        <f t="shared" si="1"/>
        <v>100</v>
      </c>
      <c r="V15" s="774" t="s">
        <v>17</v>
      </c>
      <c r="W15" s="775">
        <f t="shared" si="2"/>
        <v>100</v>
      </c>
      <c r="X15" s="1815"/>
      <c r="Y15" s="3197"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4"/>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44"/>
      <c r="Q18" s="1812"/>
      <c r="R18" s="774"/>
      <c r="S18" s="775"/>
      <c r="T18" s="774"/>
      <c r="U18" s="775"/>
      <c r="V18" s="774"/>
      <c r="W18" s="775"/>
      <c r="X18" s="1815"/>
      <c r="Y18" s="3198"/>
      <c r="Z18" s="1816"/>
      <c r="AA18" s="1813">
        <v>1</v>
      </c>
      <c r="AB18" s="1813">
        <v>1</v>
      </c>
      <c r="AC18" s="1813">
        <v>1</v>
      </c>
    </row>
    <row r="19" spans="1:29" ht="42.75">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44"/>
      <c r="Q20" s="1812"/>
      <c r="R20" s="774"/>
      <c r="S20" s="775"/>
      <c r="T20" s="774"/>
      <c r="U20" s="775"/>
      <c r="V20" s="774"/>
      <c r="W20" s="775"/>
      <c r="X20" s="1815"/>
      <c r="Y20" s="3198"/>
      <c r="Z20" s="1816"/>
      <c r="AA20" s="1813">
        <v>1</v>
      </c>
      <c r="AB20" s="1813">
        <v>1</v>
      </c>
      <c r="AC20" s="1813">
        <v>1</v>
      </c>
    </row>
    <row r="21" spans="1:29" ht="28.5">
      <c r="A21" s="428"/>
      <c r="B21" s="1387"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44"/>
      <c r="Q22" s="1812"/>
      <c r="R22" s="774"/>
      <c r="S22" s="775"/>
      <c r="T22" s="774"/>
      <c r="U22" s="775"/>
      <c r="V22" s="774"/>
      <c r="W22" s="775"/>
      <c r="X22" s="1815"/>
      <c r="Y22" s="3198"/>
      <c r="Z22" s="1816"/>
      <c r="AA22" s="1813">
        <v>1</v>
      </c>
      <c r="AB22" s="1813">
        <v>1</v>
      </c>
      <c r="AC22" s="1813">
        <v>1</v>
      </c>
    </row>
    <row r="23" spans="1:29" ht="57">
      <c r="A23" s="428"/>
      <c r="B23" s="451" t="s">
        <v>2103</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2" t="str">
        <f>B23</f>
        <v>自然及人文环境</v>
      </c>
      <c r="R23" s="774" t="s">
        <v>17</v>
      </c>
      <c r="S23" s="775">
        <f>F23</f>
        <v>100</v>
      </c>
      <c r="T23" s="774" t="s">
        <v>17</v>
      </c>
      <c r="U23" s="775">
        <f>H23</f>
        <v>100</v>
      </c>
      <c r="V23" s="774" t="s">
        <v>17</v>
      </c>
      <c r="W23" s="775">
        <f>J23</f>
        <v>100</v>
      </c>
      <c r="X23" s="1815"/>
      <c r="Y23" s="319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44"/>
      <c r="Q24" s="1812"/>
      <c r="R24" s="774"/>
      <c r="S24" s="775"/>
      <c r="T24" s="774"/>
      <c r="U24" s="775"/>
      <c r="V24" s="774"/>
      <c r="W24" s="775"/>
      <c r="X24" s="1815"/>
      <c r="Y24" s="3198"/>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2" t="str">
        <f t="shared" ref="Q25:Q46" si="11">B25</f>
        <v>临街状况</v>
      </c>
      <c r="R25" s="774" t="s">
        <v>17</v>
      </c>
      <c r="S25" s="775">
        <f>F25</f>
        <v>100</v>
      </c>
      <c r="T25" s="774" t="s">
        <v>17</v>
      </c>
      <c r="U25" s="775">
        <f>H25</f>
        <v>100</v>
      </c>
      <c r="V25" s="774" t="s">
        <v>17</v>
      </c>
      <c r="W25" s="775">
        <f>J25</f>
        <v>100</v>
      </c>
      <c r="X25" s="1815"/>
      <c r="Y25" s="3198"/>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2" t="str">
        <f t="shared" si="11"/>
        <v>平面位置/可视性</v>
      </c>
      <c r="R26" s="774" t="s">
        <v>17</v>
      </c>
      <c r="S26" s="775">
        <f>F26</f>
        <v>100</v>
      </c>
      <c r="T26" s="774" t="s">
        <v>17</v>
      </c>
      <c r="U26" s="775">
        <f>H26</f>
        <v>100</v>
      </c>
      <c r="V26" s="774" t="s">
        <v>17</v>
      </c>
      <c r="W26" s="775">
        <f>J26</f>
        <v>100</v>
      </c>
      <c r="X26" s="1815"/>
      <c r="Y26" s="3198"/>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4"/>
      <c r="Q27" s="1797" t="str">
        <f t="shared" si="11"/>
        <v>人流量</v>
      </c>
      <c r="R27" s="770" t="s">
        <v>17</v>
      </c>
      <c r="S27" s="771">
        <f>F27</f>
        <v>100</v>
      </c>
      <c r="T27" s="770" t="s">
        <v>17</v>
      </c>
      <c r="U27" s="771">
        <f>H27</f>
        <v>100</v>
      </c>
      <c r="V27" s="770" t="s">
        <v>17</v>
      </c>
      <c r="W27" s="771">
        <f>J27</f>
        <v>100</v>
      </c>
      <c r="X27" s="772"/>
      <c r="Y27" s="3198"/>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2">
        <f t="shared" si="11"/>
        <v>111</v>
      </c>
      <c r="R29" s="774" t="s">
        <v>17</v>
      </c>
      <c r="S29" s="775">
        <f t="shared" si="12"/>
        <v>100</v>
      </c>
      <c r="T29" s="774" t="s">
        <v>17</v>
      </c>
      <c r="U29" s="775">
        <f t="shared" si="13"/>
        <v>100</v>
      </c>
      <c r="V29" s="774" t="s">
        <v>17</v>
      </c>
      <c r="W29" s="775">
        <f t="shared" si="14"/>
        <v>100</v>
      </c>
      <c r="X29" s="1815"/>
      <c r="Y29" s="319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9" t="s">
        <v>2565</v>
      </c>
      <c r="Q32" s="1812" t="str">
        <f t="shared" si="11"/>
        <v>商业类型</v>
      </c>
      <c r="R32" s="774" t="s">
        <v>17</v>
      </c>
      <c r="S32" s="775">
        <f t="shared" si="12"/>
        <v>100</v>
      </c>
      <c r="T32" s="774" t="s">
        <v>17</v>
      </c>
      <c r="U32" s="775">
        <f t="shared" si="13"/>
        <v>100</v>
      </c>
      <c r="V32" s="774" t="s">
        <v>17</v>
      </c>
      <c r="W32" s="775">
        <f t="shared" si="14"/>
        <v>100</v>
      </c>
      <c r="X32" s="1815"/>
      <c r="Y32" s="3200"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0"/>
      <c r="Q33" s="776" t="str">
        <f t="shared" si="11"/>
        <v>项目建筑规模</v>
      </c>
      <c r="R33" s="777" t="s">
        <v>17</v>
      </c>
      <c r="S33" s="778" t="e">
        <f t="shared" si="12"/>
        <v>#N/A</v>
      </c>
      <c r="T33" s="777" t="s">
        <v>17</v>
      </c>
      <c r="U33" s="778" t="e">
        <f t="shared" si="13"/>
        <v>#N/A</v>
      </c>
      <c r="V33" s="777" t="s">
        <v>17</v>
      </c>
      <c r="W33" s="778" t="e">
        <f t="shared" si="14"/>
        <v>#N/A</v>
      </c>
      <c r="X33" s="779"/>
      <c r="Y33" s="3200"/>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40"/>
      <c r="Q34" s="1812" t="str">
        <f t="shared" si="11"/>
        <v>建筑结构</v>
      </c>
      <c r="R34" s="774" t="s">
        <v>17</v>
      </c>
      <c r="S34" s="775">
        <f t="shared" si="12"/>
        <v>100</v>
      </c>
      <c r="T34" s="774" t="s">
        <v>17</v>
      </c>
      <c r="U34" s="775">
        <f t="shared" si="13"/>
        <v>100</v>
      </c>
      <c r="V34" s="774" t="s">
        <v>17</v>
      </c>
      <c r="W34" s="775">
        <f t="shared" si="14"/>
        <v>100</v>
      </c>
      <c r="X34" s="1815"/>
      <c r="Y34" s="3200"/>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40"/>
      <c r="Q35" s="1812" t="str">
        <f t="shared" si="11"/>
        <v>公共部分装修</v>
      </c>
      <c r="R35" s="774" t="s">
        <v>17</v>
      </c>
      <c r="S35" s="775">
        <f t="shared" si="12"/>
        <v>100</v>
      </c>
      <c r="T35" s="774" t="s">
        <v>17</v>
      </c>
      <c r="U35" s="775">
        <f t="shared" si="13"/>
        <v>100</v>
      </c>
      <c r="V35" s="774" t="s">
        <v>17</v>
      </c>
      <c r="W35" s="775">
        <f t="shared" si="14"/>
        <v>100</v>
      </c>
      <c r="X35" s="1815"/>
      <c r="Y35" s="3200"/>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0"/>
      <c r="Q36" s="1812" t="str">
        <f t="shared" si="11"/>
        <v>成新度</v>
      </c>
      <c r="R36" s="774" t="s">
        <v>17</v>
      </c>
      <c r="S36" s="775" t="e">
        <f t="shared" si="12"/>
        <v>#N/A</v>
      </c>
      <c r="T36" s="774" t="s">
        <v>17</v>
      </c>
      <c r="U36" s="775" t="e">
        <f t="shared" si="13"/>
        <v>#N/A</v>
      </c>
      <c r="V36" s="774" t="s">
        <v>17</v>
      </c>
      <c r="W36" s="775" t="e">
        <f t="shared" si="14"/>
        <v>#N/A</v>
      </c>
      <c r="X36" s="1815"/>
      <c r="Y36" s="3200"/>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40"/>
      <c r="Q37" s="1797" t="str">
        <f t="shared" si="11"/>
        <v>市政基础设施</v>
      </c>
      <c r="R37" s="770" t="s">
        <v>17</v>
      </c>
      <c r="S37" s="771">
        <f t="shared" si="12"/>
        <v>100</v>
      </c>
      <c r="T37" s="770" t="s">
        <v>17</v>
      </c>
      <c r="U37" s="771">
        <f t="shared" si="13"/>
        <v>100</v>
      </c>
      <c r="V37" s="770" t="s">
        <v>17</v>
      </c>
      <c r="W37" s="771">
        <f t="shared" si="14"/>
        <v>100</v>
      </c>
      <c r="X37" s="772"/>
      <c r="Y37" s="3200"/>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40" t="s">
        <v>2565</v>
      </c>
      <c r="Q38" s="1812" t="str">
        <f t="shared" si="11"/>
        <v>业态</v>
      </c>
      <c r="R38" s="774" t="s">
        <v>17</v>
      </c>
      <c r="S38" s="775">
        <f t="shared" si="12"/>
        <v>100</v>
      </c>
      <c r="T38" s="774" t="s">
        <v>17</v>
      </c>
      <c r="U38" s="775">
        <f t="shared" si="13"/>
        <v>100</v>
      </c>
      <c r="V38" s="774" t="s">
        <v>17</v>
      </c>
      <c r="W38" s="775">
        <f t="shared" si="14"/>
        <v>100</v>
      </c>
      <c r="X38" s="1815"/>
      <c r="Y38" s="3200"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40"/>
      <c r="Q39" s="1812" t="str">
        <f t="shared" si="11"/>
        <v>层高</v>
      </c>
      <c r="R39" s="774" t="s">
        <v>17</v>
      </c>
      <c r="S39" s="775">
        <f t="shared" si="12"/>
        <v>100</v>
      </c>
      <c r="T39" s="774" t="s">
        <v>17</v>
      </c>
      <c r="U39" s="775">
        <f t="shared" si="13"/>
        <v>100</v>
      </c>
      <c r="V39" s="774" t="s">
        <v>17</v>
      </c>
      <c r="W39" s="775">
        <f t="shared" si="14"/>
        <v>100</v>
      </c>
      <c r="X39" s="1815"/>
      <c r="Y39" s="3200"/>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0"/>
      <c r="Q40" s="1812" t="str">
        <f t="shared" si="11"/>
        <v>单套建筑面积</v>
      </c>
      <c r="R40" s="774" t="s">
        <v>17</v>
      </c>
      <c r="S40" s="775">
        <f t="shared" si="12"/>
        <v>100</v>
      </c>
      <c r="T40" s="774" t="s">
        <v>17</v>
      </c>
      <c r="U40" s="775">
        <f t="shared" si="13"/>
        <v>100</v>
      </c>
      <c r="V40" s="774" t="s">
        <v>17</v>
      </c>
      <c r="W40" s="775">
        <f t="shared" si="14"/>
        <v>100</v>
      </c>
      <c r="X40" s="1815"/>
      <c r="Y40" s="3200"/>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0"/>
      <c r="Q41" s="776" t="str">
        <f t="shared" si="11"/>
        <v>进深比</v>
      </c>
      <c r="R41" s="777" t="s">
        <v>17</v>
      </c>
      <c r="S41" s="778">
        <f t="shared" si="12"/>
        <v>100</v>
      </c>
      <c r="T41" s="777" t="s">
        <v>17</v>
      </c>
      <c r="U41" s="778">
        <f t="shared" si="13"/>
        <v>100</v>
      </c>
      <c r="V41" s="777" t="s">
        <v>17</v>
      </c>
      <c r="W41" s="778">
        <f t="shared" si="14"/>
        <v>100</v>
      </c>
      <c r="X41" s="779"/>
      <c r="Y41" s="3200"/>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40"/>
      <c r="Q42" s="1812" t="str">
        <f t="shared" si="11"/>
        <v>内部装修</v>
      </c>
      <c r="R42" s="774" t="s">
        <v>17</v>
      </c>
      <c r="S42" s="775">
        <f t="shared" si="12"/>
        <v>100</v>
      </c>
      <c r="T42" s="774" t="s">
        <v>17</v>
      </c>
      <c r="U42" s="775">
        <f t="shared" si="13"/>
        <v>100</v>
      </c>
      <c r="V42" s="774" t="s">
        <v>17</v>
      </c>
      <c r="W42" s="775">
        <f t="shared" si="14"/>
        <v>100</v>
      </c>
      <c r="X42" s="1815"/>
      <c r="Y42" s="3200"/>
      <c r="Z42" s="1816" t="str">
        <f t="shared" si="15"/>
        <v>内部装修</v>
      </c>
      <c r="AA42" s="1813">
        <f t="shared" si="3"/>
        <v>1</v>
      </c>
      <c r="AB42" s="1813">
        <f t="shared" si="4"/>
        <v>1</v>
      </c>
      <c r="AC42" s="1813">
        <f t="shared" si="5"/>
        <v>1</v>
      </c>
    </row>
    <row r="43" spans="1:29" ht="15">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40"/>
      <c r="Q43" s="1812" t="str">
        <f t="shared" si="11"/>
        <v>内部装修维护情况</v>
      </c>
      <c r="R43" s="774" t="s">
        <v>17</v>
      </c>
      <c r="S43" s="775">
        <f t="shared" si="12"/>
        <v>100</v>
      </c>
      <c r="T43" s="774" t="s">
        <v>17</v>
      </c>
      <c r="U43" s="775">
        <f t="shared" si="13"/>
        <v>100</v>
      </c>
      <c r="V43" s="774" t="s">
        <v>17</v>
      </c>
      <c r="W43" s="775">
        <f t="shared" si="14"/>
        <v>100</v>
      </c>
      <c r="X43" s="1815"/>
      <c r="Y43" s="3200"/>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0"/>
      <c r="Q44" s="1797">
        <f t="shared" si="11"/>
        <v>111</v>
      </c>
      <c r="R44" s="770" t="s">
        <v>17</v>
      </c>
      <c r="S44" s="771">
        <f t="shared" si="12"/>
        <v>100</v>
      </c>
      <c r="T44" s="770" t="s">
        <v>17</v>
      </c>
      <c r="U44" s="771">
        <f t="shared" si="13"/>
        <v>100</v>
      </c>
      <c r="V44" s="770" t="s">
        <v>17</v>
      </c>
      <c r="W44" s="771">
        <f t="shared" si="14"/>
        <v>100</v>
      </c>
      <c r="X44" s="772"/>
      <c r="Y44" s="320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0"/>
      <c r="Q45" s="1812">
        <f t="shared" si="11"/>
        <v>111</v>
      </c>
      <c r="R45" s="774" t="s">
        <v>17</v>
      </c>
      <c r="S45" s="775">
        <f t="shared" si="12"/>
        <v>100</v>
      </c>
      <c r="T45" s="774" t="s">
        <v>17</v>
      </c>
      <c r="U45" s="775">
        <f t="shared" si="13"/>
        <v>100</v>
      </c>
      <c r="V45" s="774" t="s">
        <v>17</v>
      </c>
      <c r="W45" s="775">
        <f t="shared" si="14"/>
        <v>100</v>
      </c>
      <c r="X45" s="1815"/>
      <c r="Y45" s="3200"/>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1"/>
      <c r="Q46" s="1812">
        <f t="shared" si="11"/>
        <v>111</v>
      </c>
      <c r="R46" s="774" t="s">
        <v>17</v>
      </c>
      <c r="S46" s="775">
        <f t="shared" si="12"/>
        <v>100</v>
      </c>
      <c r="T46" s="774" t="s">
        <v>17</v>
      </c>
      <c r="U46" s="775">
        <f t="shared" si="13"/>
        <v>100</v>
      </c>
      <c r="V46" s="774" t="s">
        <v>17</v>
      </c>
      <c r="W46" s="775">
        <f t="shared" si="14"/>
        <v>100</v>
      </c>
      <c r="X46" s="1815"/>
      <c r="Y46" s="3242"/>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182" t="str">
        <f>A47</f>
        <v>成交单价（元/平方米）</v>
      </c>
      <c r="Q47" s="3182"/>
      <c r="R47" s="3195">
        <f>E47</f>
        <v>0</v>
      </c>
      <c r="S47" s="3195"/>
      <c r="T47" s="3195">
        <f>G47</f>
        <v>0</v>
      </c>
      <c r="U47" s="3195"/>
      <c r="V47" s="3195">
        <f>I47</f>
        <v>0</v>
      </c>
      <c r="W47" s="3195"/>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238" t="e">
        <f>IF(F1="售价",ROUND(PRODUCT(R47,AA7:AA46),0),ROUND(PRODUCT(R47,AA7:AA46),1))</f>
        <v>#DIV/0!</v>
      </c>
      <c r="S48" s="3238"/>
      <c r="T48" s="3238" t="e">
        <f>IF(F1="售价",ROUND(PRODUCT(T47,AB7:AB46),0),ROUND(PRODUCT(T47,AB7:AB46),1))</f>
        <v>#DIV/0!</v>
      </c>
      <c r="U48" s="3238"/>
      <c r="V48" s="3238" t="e">
        <f>IF(F1="售价",ROUND(PRODUCT(V47,AC7:AC46),0),ROUND(PRODUCT(V47,AC7:AC46),1))</f>
        <v>#DIV/0!</v>
      </c>
      <c r="W48" s="3238"/>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02" t="str">
        <f>A49</f>
        <v>估价对象XX用房的比较价值（楼面单价，元/平方米）</v>
      </c>
      <c r="Q49" s="3203"/>
      <c r="R49" s="3237" t="e">
        <f>IF(F1="售价",ROUND(AVERAGE(R48:V48),0),ROUND(AVERAGE(R48:V48),1))</f>
        <v>#DIV/0!</v>
      </c>
      <c r="S49" s="3237"/>
      <c r="T49" s="3237"/>
      <c r="U49" s="3237"/>
      <c r="V49" s="3237"/>
      <c r="W49" s="323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2548</v>
      </c>
      <c r="B58" s="506"/>
      <c r="C58" s="1576" t="str">
        <f>YEAR(C7)&amp;"-"&amp;MONTH(C7)</f>
        <v>2019-8</v>
      </c>
      <c r="D58" s="1577">
        <f>EDATE(C58,-1)</f>
        <v>43647</v>
      </c>
      <c r="E58" s="1577">
        <f t="shared" ref="E58:N58" si="16">EDATE(D58,-1)</f>
        <v>43617</v>
      </c>
      <c r="F58" s="1577">
        <f t="shared" si="16"/>
        <v>43586</v>
      </c>
      <c r="G58" s="1577">
        <f t="shared" si="16"/>
        <v>43556</v>
      </c>
      <c r="H58" s="1577">
        <f t="shared" si="16"/>
        <v>43525</v>
      </c>
      <c r="I58" s="1577">
        <f t="shared" si="16"/>
        <v>43497</v>
      </c>
      <c r="J58" s="1577">
        <f t="shared" si="16"/>
        <v>43466</v>
      </c>
      <c r="K58" s="1577">
        <f t="shared" si="16"/>
        <v>43435</v>
      </c>
      <c r="L58" s="1577">
        <f t="shared" si="16"/>
        <v>43405</v>
      </c>
      <c r="M58" s="1577">
        <f t="shared" si="16"/>
        <v>43374</v>
      </c>
      <c r="N58" s="1577">
        <f t="shared" si="16"/>
        <v>43344</v>
      </c>
      <c r="O58" s="1577">
        <f>EDATE(N58,-1)</f>
        <v>43313</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2550</v>
      </c>
      <c r="B61" s="510"/>
      <c r="C61" s="522" t="s">
        <v>2652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2563</v>
      </c>
      <c r="B100" s="528" t="s">
        <v>2681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估价对象为出让国有建设用地使用权及在建建筑物房地产，为所有。根据《国有土地使用证》[]，估价对象（分摊）出让国有建设用地使用权面积为16074.03平方米，建筑面积为34338.32平方米。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2019年8月12日（评估专业人员实地查勘之日）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251" t="s">
        <v>2651</v>
      </c>
      <c r="Q4" s="3252"/>
      <c r="R4" s="3246" t="s">
        <v>2647</v>
      </c>
      <c r="S4" s="3247"/>
      <c r="T4" s="3246" t="s">
        <v>2648</v>
      </c>
      <c r="U4" s="3247"/>
      <c r="V4" s="3255" t="s">
        <v>2649</v>
      </c>
      <c r="W4" s="3255"/>
      <c r="X4" s="2676"/>
      <c r="Y4" s="3246" t="s">
        <v>2651</v>
      </c>
      <c r="Z4" s="3247"/>
      <c r="AA4" s="3245" t="s">
        <v>2647</v>
      </c>
      <c r="AB4" s="3245" t="s">
        <v>2648</v>
      </c>
      <c r="AC4" s="3248" t="s">
        <v>2649</v>
      </c>
    </row>
    <row r="5" spans="1:29" ht="15">
      <c r="A5" s="404"/>
      <c r="B5" s="405"/>
      <c r="C5" s="3176" t="s">
        <v>2542</v>
      </c>
      <c r="D5" s="3177"/>
      <c r="E5" s="3174" t="s">
        <v>2543</v>
      </c>
      <c r="F5" s="3175"/>
      <c r="G5" s="3176" t="s">
        <v>2544</v>
      </c>
      <c r="H5" s="3177"/>
      <c r="I5" s="3176" t="s">
        <v>2545</v>
      </c>
      <c r="J5" s="3177"/>
      <c r="K5" s="610"/>
      <c r="L5" s="1133"/>
      <c r="M5" s="1134"/>
      <c r="N5" s="1134"/>
      <c r="O5" s="1134"/>
      <c r="P5" s="3253"/>
      <c r="Q5" s="3190"/>
      <c r="R5" s="3172"/>
      <c r="S5" s="3173"/>
      <c r="T5" s="3172"/>
      <c r="U5" s="3173"/>
      <c r="V5" s="3195"/>
      <c r="W5" s="3195"/>
      <c r="X5" s="1815"/>
      <c r="Y5" s="3172"/>
      <c r="Z5" s="3173"/>
      <c r="AA5" s="3166"/>
      <c r="AB5" s="3166"/>
      <c r="AC5" s="3249"/>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254"/>
      <c r="Q6" s="3192"/>
      <c r="R6" s="3172"/>
      <c r="S6" s="3173"/>
      <c r="T6" s="3193"/>
      <c r="U6" s="3194"/>
      <c r="V6" s="3195"/>
      <c r="W6" s="3195"/>
      <c r="X6" s="1815"/>
      <c r="Y6" s="3193"/>
      <c r="Z6" s="3194"/>
      <c r="AA6" s="3167"/>
      <c r="AB6" s="3167"/>
      <c r="AC6" s="3250"/>
    </row>
    <row r="7" spans="1:29" s="117" customFormat="1" ht="15.75" thickBot="1">
      <c r="A7" s="408" t="s">
        <v>2548</v>
      </c>
      <c r="B7" s="409"/>
      <c r="C7" s="410">
        <f>'数据-取费表'!B2</f>
        <v>43689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267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2552</v>
      </c>
      <c r="Q8" s="3169"/>
      <c r="R8" s="770" t="s">
        <v>17</v>
      </c>
      <c r="S8" s="771">
        <f t="shared" si="0"/>
        <v>0</v>
      </c>
      <c r="T8" s="770" t="s">
        <v>17</v>
      </c>
      <c r="U8" s="771">
        <f t="shared" si="1"/>
        <v>0</v>
      </c>
      <c r="V8" s="770" t="s">
        <v>17</v>
      </c>
      <c r="W8" s="771">
        <f t="shared" si="2"/>
        <v>0</v>
      </c>
      <c r="X8" s="772"/>
      <c r="Y8" s="3168" t="s">
        <v>2552</v>
      </c>
      <c r="Z8" s="3169"/>
      <c r="AA8" s="773" t="e">
        <f t="shared" ref="AA8:AA47" si="3">D8/F8</f>
        <v>#DIV/0!</v>
      </c>
      <c r="AB8" s="773" t="e">
        <f t="shared" ref="AB8:AB47" si="4">D8/H8</f>
        <v>#DIV/0!</v>
      </c>
      <c r="AC8" s="267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6"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267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6"/>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6"/>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06"/>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06"/>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06"/>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7">
        <f t="shared" si="5"/>
        <v>1</v>
      </c>
    </row>
    <row r="15" spans="1:29" ht="71.25">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2560</v>
      </c>
      <c r="Q15" s="1812" t="str">
        <f t="shared" si="6"/>
        <v>办公集聚程度</v>
      </c>
      <c r="R15" s="774" t="s">
        <v>17</v>
      </c>
      <c r="S15" s="775">
        <f t="shared" si="0"/>
        <v>100</v>
      </c>
      <c r="T15" s="774" t="s">
        <v>17</v>
      </c>
      <c r="U15" s="775">
        <f t="shared" si="1"/>
        <v>100</v>
      </c>
      <c r="V15" s="774" t="s">
        <v>17</v>
      </c>
      <c r="W15" s="775">
        <f t="shared" si="2"/>
        <v>100</v>
      </c>
      <c r="X15" s="1815"/>
      <c r="Y15" s="3197" t="s">
        <v>2560</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44"/>
      <c r="Q16" s="1812"/>
      <c r="R16" s="774"/>
      <c r="S16" s="775"/>
      <c r="T16" s="774"/>
      <c r="U16" s="775"/>
      <c r="V16" s="774"/>
      <c r="W16" s="775"/>
      <c r="X16" s="1815"/>
      <c r="Y16" s="3198"/>
      <c r="Z16" s="1816"/>
      <c r="AA16" s="1813">
        <v>1</v>
      </c>
      <c r="AB16" s="1813">
        <v>1</v>
      </c>
      <c r="AC16" s="2680">
        <v>1</v>
      </c>
    </row>
    <row r="17" spans="1:29" ht="71.25">
      <c r="A17" s="428"/>
      <c r="B17" s="631" t="s">
        <v>2098</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4"/>
      <c r="Q18" s="1812"/>
      <c r="R18" s="774"/>
      <c r="S18" s="775"/>
      <c r="T18" s="774"/>
      <c r="U18" s="775"/>
      <c r="V18" s="774"/>
      <c r="W18" s="775"/>
      <c r="X18" s="1815"/>
      <c r="Y18" s="3198"/>
      <c r="Z18" s="1816"/>
      <c r="AA18" s="1813">
        <v>1</v>
      </c>
      <c r="AB18" s="1813">
        <v>1</v>
      </c>
      <c r="AC18" s="2680">
        <v>1</v>
      </c>
    </row>
    <row r="19" spans="1:29" ht="42.75">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4"/>
      <c r="Q20" s="1812"/>
      <c r="R20" s="774"/>
      <c r="S20" s="775"/>
      <c r="T20" s="774"/>
      <c r="U20" s="775"/>
      <c r="V20" s="774"/>
      <c r="W20" s="775"/>
      <c r="X20" s="1815"/>
      <c r="Y20" s="3198"/>
      <c r="Z20" s="1816"/>
      <c r="AA20" s="1813">
        <v>1</v>
      </c>
      <c r="AB20" s="1813">
        <v>1</v>
      </c>
      <c r="AC20" s="2680">
        <v>1</v>
      </c>
    </row>
    <row r="21" spans="1:29" ht="28.5">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4"/>
      <c r="Q22" s="1812"/>
      <c r="R22" s="774"/>
      <c r="S22" s="775"/>
      <c r="T22" s="774"/>
      <c r="U22" s="775"/>
      <c r="V22" s="774"/>
      <c r="W22" s="775"/>
      <c r="X22" s="1815"/>
      <c r="Y22" s="3198"/>
      <c r="Z22" s="1816"/>
      <c r="AA22" s="1813">
        <v>1</v>
      </c>
      <c r="AB22" s="1813">
        <v>1</v>
      </c>
      <c r="AC22" s="2680">
        <v>1</v>
      </c>
    </row>
    <row r="23" spans="1:29" ht="42.75">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4"/>
      <c r="Q24" s="1812"/>
      <c r="R24" s="774"/>
      <c r="S24" s="775"/>
      <c r="T24" s="774"/>
      <c r="U24" s="775"/>
      <c r="V24" s="774"/>
      <c r="W24" s="775"/>
      <c r="X24" s="1815"/>
      <c r="Y24" s="3198"/>
      <c r="Z24" s="1816"/>
      <c r="AA24" s="1813">
        <v>1</v>
      </c>
      <c r="AB24" s="1813">
        <v>1</v>
      </c>
      <c r="AC24" s="2680">
        <v>1</v>
      </c>
    </row>
    <row r="25" spans="1:29" ht="27">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4"/>
      <c r="Q25" s="1812" t="str">
        <f>B25</f>
        <v>毗邻道路的类型与等级</v>
      </c>
      <c r="R25" s="774" t="s">
        <v>17</v>
      </c>
      <c r="S25" s="775">
        <f>F25</f>
        <v>100</v>
      </c>
      <c r="T25" s="774" t="s">
        <v>17</v>
      </c>
      <c r="U25" s="775">
        <f>H25</f>
        <v>100</v>
      </c>
      <c r="V25" s="774" t="s">
        <v>17</v>
      </c>
      <c r="W25" s="775">
        <f>J25</f>
        <v>100</v>
      </c>
      <c r="X25" s="1815"/>
      <c r="Y25" s="319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44"/>
      <c r="Q26" s="1812"/>
      <c r="R26" s="774"/>
      <c r="S26" s="775"/>
      <c r="T26" s="774"/>
      <c r="U26" s="775"/>
      <c r="V26" s="774"/>
      <c r="W26" s="775"/>
      <c r="X26" s="1815"/>
      <c r="Y26" s="3198"/>
      <c r="Z26" s="1816"/>
      <c r="AA26" s="1813">
        <v>1</v>
      </c>
      <c r="AB26" s="1813">
        <v>1</v>
      </c>
      <c r="AC26" s="268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2" t="str">
        <f t="shared" ref="Q27:Q47" si="11">B27</f>
        <v>楼层</v>
      </c>
      <c r="R27" s="774" t="s">
        <v>17</v>
      </c>
      <c r="S27" s="775">
        <f>F27</f>
        <v>100</v>
      </c>
      <c r="T27" s="774" t="s">
        <v>17</v>
      </c>
      <c r="U27" s="775">
        <f>H27</f>
        <v>100</v>
      </c>
      <c r="V27" s="774" t="s">
        <v>17</v>
      </c>
      <c r="W27" s="775">
        <f>J27</f>
        <v>100</v>
      </c>
      <c r="X27" s="1815"/>
      <c r="Y27" s="3198"/>
      <c r="Z27" s="1816" t="str">
        <f>Q27</f>
        <v>楼层</v>
      </c>
      <c r="AA27" s="1813">
        <f t="shared" si="3"/>
        <v>1</v>
      </c>
      <c r="AB27" s="1813">
        <f t="shared" si="4"/>
        <v>1</v>
      </c>
      <c r="AC27" s="2680">
        <f t="shared" si="5"/>
        <v>1</v>
      </c>
    </row>
    <row r="28" spans="1:29" s="117" customFormat="1" ht="15">
      <c r="A28" s="431"/>
      <c r="B28" s="631" t="s">
        <v>2692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4"/>
      <c r="Q28" s="1797" t="str">
        <f t="shared" si="11"/>
        <v>朝向</v>
      </c>
      <c r="R28" s="770" t="s">
        <v>17</v>
      </c>
      <c r="S28" s="771">
        <f>F28</f>
        <v>100</v>
      </c>
      <c r="T28" s="770" t="s">
        <v>17</v>
      </c>
      <c r="U28" s="771">
        <f>H28</f>
        <v>100</v>
      </c>
      <c r="V28" s="770" t="s">
        <v>17</v>
      </c>
      <c r="W28" s="771">
        <f>J28</f>
        <v>100</v>
      </c>
      <c r="X28" s="772"/>
      <c r="Y28" s="319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4"/>
      <c r="Q29" s="1812">
        <f t="shared" si="11"/>
        <v>111</v>
      </c>
      <c r="R29" s="774" t="s">
        <v>17</v>
      </c>
      <c r="S29" s="775">
        <f t="shared" ref="S29:S47" si="12">F29</f>
        <v>100</v>
      </c>
      <c r="T29" s="774" t="s">
        <v>17</v>
      </c>
      <c r="U29" s="775">
        <f t="shared" ref="U29:U47" si="13">H29</f>
        <v>100</v>
      </c>
      <c r="V29" s="774" t="s">
        <v>17</v>
      </c>
      <c r="W29" s="775">
        <f t="shared" ref="W29:W47" si="14">J29</f>
        <v>100</v>
      </c>
      <c r="X29" s="1815"/>
      <c r="Y29" s="319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4"/>
      <c r="Q30" s="1812">
        <f t="shared" si="11"/>
        <v>111</v>
      </c>
      <c r="R30" s="774" t="s">
        <v>17</v>
      </c>
      <c r="S30" s="775">
        <f t="shared" si="12"/>
        <v>100</v>
      </c>
      <c r="T30" s="774" t="s">
        <v>17</v>
      </c>
      <c r="U30" s="775">
        <f t="shared" si="13"/>
        <v>100</v>
      </c>
      <c r="V30" s="774" t="s">
        <v>17</v>
      </c>
      <c r="W30" s="775">
        <f t="shared" si="14"/>
        <v>100</v>
      </c>
      <c r="X30" s="1815"/>
      <c r="Y30" s="319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4"/>
      <c r="Q31" s="1812">
        <f t="shared" si="11"/>
        <v>111</v>
      </c>
      <c r="R31" s="774" t="s">
        <v>17</v>
      </c>
      <c r="S31" s="775">
        <f t="shared" si="12"/>
        <v>100</v>
      </c>
      <c r="T31" s="774" t="s">
        <v>17</v>
      </c>
      <c r="U31" s="775">
        <f t="shared" si="13"/>
        <v>100</v>
      </c>
      <c r="V31" s="774" t="s">
        <v>17</v>
      </c>
      <c r="W31" s="775">
        <f t="shared" si="14"/>
        <v>100</v>
      </c>
      <c r="X31" s="1815"/>
      <c r="Y31" s="319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4"/>
      <c r="Q32" s="1812">
        <f t="shared" si="11"/>
        <v>111</v>
      </c>
      <c r="R32" s="774" t="s">
        <v>17</v>
      </c>
      <c r="S32" s="775">
        <f t="shared" si="12"/>
        <v>100</v>
      </c>
      <c r="T32" s="774" t="s">
        <v>17</v>
      </c>
      <c r="U32" s="775">
        <f t="shared" si="13"/>
        <v>100</v>
      </c>
      <c r="V32" s="774" t="s">
        <v>17</v>
      </c>
      <c r="W32" s="775">
        <f t="shared" si="14"/>
        <v>100</v>
      </c>
      <c r="X32" s="1815"/>
      <c r="Y32" s="3198"/>
      <c r="Z32" s="1816">
        <f t="shared" si="15"/>
        <v>111</v>
      </c>
      <c r="AA32" s="1813">
        <f t="shared" si="3"/>
        <v>1</v>
      </c>
      <c r="AB32" s="1813">
        <f t="shared" si="4"/>
        <v>1</v>
      </c>
      <c r="AC32" s="2680">
        <f t="shared" si="5"/>
        <v>1</v>
      </c>
    </row>
    <row r="33" spans="1:29" ht="15">
      <c r="A33" s="440" t="s">
        <v>2563</v>
      </c>
      <c r="B33" s="71" t="s">
        <v>2693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9" t="s">
        <v>2565</v>
      </c>
      <c r="Q33" s="1812" t="str">
        <f t="shared" si="11"/>
        <v>建筑类型</v>
      </c>
      <c r="R33" s="774" t="s">
        <v>17</v>
      </c>
      <c r="S33" s="775">
        <f t="shared" si="12"/>
        <v>100</v>
      </c>
      <c r="T33" s="774" t="s">
        <v>17</v>
      </c>
      <c r="U33" s="775">
        <f t="shared" si="13"/>
        <v>100</v>
      </c>
      <c r="V33" s="774" t="s">
        <v>17</v>
      </c>
      <c r="W33" s="775">
        <f t="shared" si="14"/>
        <v>100</v>
      </c>
      <c r="X33" s="1815"/>
      <c r="Y33" s="3200" t="s">
        <v>2565</v>
      </c>
      <c r="Z33" s="1816" t="str">
        <f t="shared" si="15"/>
        <v>建筑类型</v>
      </c>
      <c r="AA33" s="1813">
        <f t="shared" si="3"/>
        <v>1</v>
      </c>
      <c r="AB33" s="1813">
        <f t="shared" si="4"/>
        <v>1</v>
      </c>
      <c r="AC33" s="268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0"/>
      <c r="Q34" s="776" t="str">
        <f t="shared" si="11"/>
        <v>项目建筑规模</v>
      </c>
      <c r="R34" s="777" t="s">
        <v>17</v>
      </c>
      <c r="S34" s="778" t="e">
        <f t="shared" si="12"/>
        <v>#N/A</v>
      </c>
      <c r="T34" s="777" t="s">
        <v>17</v>
      </c>
      <c r="U34" s="778" t="e">
        <f t="shared" si="13"/>
        <v>#N/A</v>
      </c>
      <c r="V34" s="777" t="s">
        <v>17</v>
      </c>
      <c r="W34" s="778" t="e">
        <f t="shared" si="14"/>
        <v>#N/A</v>
      </c>
      <c r="X34" s="779"/>
      <c r="Y34" s="3200"/>
      <c r="Z34" s="780" t="str">
        <f t="shared" si="15"/>
        <v>项目建筑规模</v>
      </c>
      <c r="AA34" s="1813" t="e">
        <f t="shared" si="3"/>
        <v>#N/A</v>
      </c>
      <c r="AB34" s="1813" t="e">
        <f t="shared" si="4"/>
        <v>#N/A</v>
      </c>
      <c r="AC34" s="268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0"/>
      <c r="Q35" s="1812" t="str">
        <f t="shared" si="11"/>
        <v>建筑结构</v>
      </c>
      <c r="R35" s="774" t="s">
        <v>17</v>
      </c>
      <c r="S35" s="775">
        <f t="shared" si="12"/>
        <v>100</v>
      </c>
      <c r="T35" s="774" t="s">
        <v>17</v>
      </c>
      <c r="U35" s="775">
        <f t="shared" si="13"/>
        <v>100</v>
      </c>
      <c r="V35" s="774" t="s">
        <v>17</v>
      </c>
      <c r="W35" s="775">
        <f t="shared" si="14"/>
        <v>100</v>
      </c>
      <c r="X35" s="1815"/>
      <c r="Y35" s="3200"/>
      <c r="Z35" s="1816" t="str">
        <f t="shared" si="15"/>
        <v>建筑结构</v>
      </c>
      <c r="AA35" s="1813">
        <f t="shared" si="3"/>
        <v>1</v>
      </c>
      <c r="AB35" s="1813">
        <f t="shared" si="4"/>
        <v>1</v>
      </c>
      <c r="AC35" s="268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0"/>
      <c r="Q36" s="1812" t="str">
        <f t="shared" si="11"/>
        <v>公共部分装修</v>
      </c>
      <c r="R36" s="774" t="s">
        <v>17</v>
      </c>
      <c r="S36" s="775">
        <f t="shared" si="12"/>
        <v>100</v>
      </c>
      <c r="T36" s="774" t="s">
        <v>17</v>
      </c>
      <c r="U36" s="775">
        <f t="shared" si="13"/>
        <v>100</v>
      </c>
      <c r="V36" s="774" t="s">
        <v>17</v>
      </c>
      <c r="W36" s="775">
        <f t="shared" si="14"/>
        <v>100</v>
      </c>
      <c r="X36" s="1815"/>
      <c r="Y36" s="3200"/>
      <c r="Z36" s="1816" t="str">
        <f t="shared" si="15"/>
        <v>公共部分装修</v>
      </c>
      <c r="AA36" s="1813">
        <f t="shared" si="3"/>
        <v>1</v>
      </c>
      <c r="AB36" s="1813">
        <f t="shared" si="4"/>
        <v>1</v>
      </c>
      <c r="AC36" s="268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0"/>
      <c r="Q37" s="1812" t="str">
        <f t="shared" si="11"/>
        <v>成新度</v>
      </c>
      <c r="R37" s="774" t="s">
        <v>17</v>
      </c>
      <c r="S37" s="775" t="e">
        <f t="shared" si="12"/>
        <v>#N/A</v>
      </c>
      <c r="T37" s="774" t="s">
        <v>17</v>
      </c>
      <c r="U37" s="775" t="e">
        <f t="shared" si="13"/>
        <v>#N/A</v>
      </c>
      <c r="V37" s="774" t="s">
        <v>17</v>
      </c>
      <c r="W37" s="775" t="e">
        <f t="shared" si="14"/>
        <v>#N/A</v>
      </c>
      <c r="X37" s="1815"/>
      <c r="Y37" s="3200"/>
      <c r="Z37" s="1816" t="str">
        <f t="shared" si="15"/>
        <v>成新度</v>
      </c>
      <c r="AA37" s="1813" t="e">
        <f t="shared" si="3"/>
        <v>#N/A</v>
      </c>
      <c r="AB37" s="1813" t="e">
        <f t="shared" si="4"/>
        <v>#N/A</v>
      </c>
      <c r="AC37" s="268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0"/>
      <c r="Q38" s="1797" t="str">
        <f t="shared" si="11"/>
        <v>写字楼等级</v>
      </c>
      <c r="R38" s="770" t="s">
        <v>17</v>
      </c>
      <c r="S38" s="771">
        <f t="shared" si="12"/>
        <v>100</v>
      </c>
      <c r="T38" s="770" t="s">
        <v>17</v>
      </c>
      <c r="U38" s="771">
        <f t="shared" si="13"/>
        <v>100</v>
      </c>
      <c r="V38" s="770" t="s">
        <v>17</v>
      </c>
      <c r="W38" s="771">
        <f t="shared" si="14"/>
        <v>100</v>
      </c>
      <c r="X38" s="772"/>
      <c r="Y38" s="3200"/>
      <c r="Z38" s="55" t="str">
        <f t="shared" si="15"/>
        <v>写字楼等级</v>
      </c>
      <c r="AA38" s="773">
        <f t="shared" si="3"/>
        <v>1</v>
      </c>
      <c r="AB38" s="773">
        <f t="shared" si="4"/>
        <v>1</v>
      </c>
      <c r="AC38" s="267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0" t="s">
        <v>2565</v>
      </c>
      <c r="Q39" s="1812" t="str">
        <f t="shared" si="11"/>
        <v>物业管理</v>
      </c>
      <c r="R39" s="774" t="s">
        <v>17</v>
      </c>
      <c r="S39" s="775">
        <f t="shared" si="12"/>
        <v>100</v>
      </c>
      <c r="T39" s="774" t="s">
        <v>17</v>
      </c>
      <c r="U39" s="775">
        <f t="shared" si="13"/>
        <v>100</v>
      </c>
      <c r="V39" s="774" t="s">
        <v>17</v>
      </c>
      <c r="W39" s="775">
        <f t="shared" si="14"/>
        <v>100</v>
      </c>
      <c r="X39" s="1815"/>
      <c r="Y39" s="3200"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0"/>
      <c r="Q40" s="1812" t="str">
        <f t="shared" si="11"/>
        <v>市政基础设施</v>
      </c>
      <c r="R40" s="774" t="s">
        <v>17</v>
      </c>
      <c r="S40" s="775">
        <f t="shared" si="12"/>
        <v>100</v>
      </c>
      <c r="T40" s="774" t="s">
        <v>17</v>
      </c>
      <c r="U40" s="775">
        <f t="shared" si="13"/>
        <v>100</v>
      </c>
      <c r="V40" s="774" t="s">
        <v>17</v>
      </c>
      <c r="W40" s="775">
        <f t="shared" si="14"/>
        <v>100</v>
      </c>
      <c r="X40" s="1815"/>
      <c r="Y40" s="3200"/>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0"/>
      <c r="Q41" s="1812" t="str">
        <f t="shared" si="11"/>
        <v>层高</v>
      </c>
      <c r="R41" s="774" t="s">
        <v>17</v>
      </c>
      <c r="S41" s="775">
        <f t="shared" si="12"/>
        <v>100</v>
      </c>
      <c r="T41" s="774" t="s">
        <v>17</v>
      </c>
      <c r="U41" s="775">
        <f t="shared" si="13"/>
        <v>100</v>
      </c>
      <c r="V41" s="774" t="s">
        <v>17</v>
      </c>
      <c r="W41" s="775">
        <f t="shared" si="14"/>
        <v>100</v>
      </c>
      <c r="X41" s="1815"/>
      <c r="Y41" s="3200"/>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0"/>
      <c r="Q42" s="776" t="str">
        <f t="shared" si="11"/>
        <v>单套建筑面积</v>
      </c>
      <c r="R42" s="777" t="s">
        <v>17</v>
      </c>
      <c r="S42" s="778">
        <f t="shared" si="12"/>
        <v>100</v>
      </c>
      <c r="T42" s="777" t="s">
        <v>17</v>
      </c>
      <c r="U42" s="778">
        <f t="shared" si="13"/>
        <v>100</v>
      </c>
      <c r="V42" s="777" t="s">
        <v>17</v>
      </c>
      <c r="W42" s="778">
        <f t="shared" si="14"/>
        <v>100</v>
      </c>
      <c r="X42" s="779"/>
      <c r="Y42" s="3200"/>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0"/>
      <c r="Q43" s="1812" t="str">
        <f t="shared" si="11"/>
        <v>内部装修</v>
      </c>
      <c r="R43" s="774" t="s">
        <v>17</v>
      </c>
      <c r="S43" s="775">
        <f t="shared" si="12"/>
        <v>100</v>
      </c>
      <c r="T43" s="774" t="s">
        <v>17</v>
      </c>
      <c r="U43" s="775">
        <f t="shared" si="13"/>
        <v>100</v>
      </c>
      <c r="V43" s="774" t="s">
        <v>17</v>
      </c>
      <c r="W43" s="775">
        <f t="shared" si="14"/>
        <v>100</v>
      </c>
      <c r="X43" s="1815"/>
      <c r="Y43" s="3200"/>
      <c r="Z43" s="1816" t="str">
        <f t="shared" si="15"/>
        <v>内部装修</v>
      </c>
      <c r="AA43" s="1813">
        <f t="shared" si="3"/>
        <v>1</v>
      </c>
      <c r="AB43" s="1813">
        <f t="shared" si="4"/>
        <v>1</v>
      </c>
      <c r="AC43" s="2680">
        <f t="shared" si="5"/>
        <v>1</v>
      </c>
    </row>
    <row r="44" spans="1:29" ht="15">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40"/>
      <c r="Q44" s="1812" t="str">
        <f t="shared" si="11"/>
        <v>内部装修维护情况</v>
      </c>
      <c r="R44" s="774" t="s">
        <v>17</v>
      </c>
      <c r="S44" s="775">
        <f t="shared" si="12"/>
        <v>100</v>
      </c>
      <c r="T44" s="774" t="s">
        <v>17</v>
      </c>
      <c r="U44" s="775">
        <f t="shared" si="13"/>
        <v>100</v>
      </c>
      <c r="V44" s="774" t="s">
        <v>17</v>
      </c>
      <c r="W44" s="775">
        <f t="shared" si="14"/>
        <v>100</v>
      </c>
      <c r="X44" s="1815"/>
      <c r="Y44" s="3200"/>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0"/>
      <c r="Q45" s="1797">
        <f t="shared" si="11"/>
        <v>111</v>
      </c>
      <c r="R45" s="770" t="s">
        <v>17</v>
      </c>
      <c r="S45" s="771">
        <f t="shared" si="12"/>
        <v>100</v>
      </c>
      <c r="T45" s="770" t="s">
        <v>17</v>
      </c>
      <c r="U45" s="771">
        <f t="shared" si="13"/>
        <v>100</v>
      </c>
      <c r="V45" s="770" t="s">
        <v>17</v>
      </c>
      <c r="W45" s="771">
        <f t="shared" si="14"/>
        <v>100</v>
      </c>
      <c r="X45" s="772"/>
      <c r="Y45" s="3200"/>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0"/>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1"/>
      <c r="Q47" s="1812">
        <f t="shared" si="11"/>
        <v>111</v>
      </c>
      <c r="R47" s="774" t="s">
        <v>17</v>
      </c>
      <c r="S47" s="775">
        <f t="shared" si="12"/>
        <v>100</v>
      </c>
      <c r="T47" s="774" t="s">
        <v>17</v>
      </c>
      <c r="U47" s="775">
        <f t="shared" si="13"/>
        <v>100</v>
      </c>
      <c r="V47" s="774" t="s">
        <v>17</v>
      </c>
      <c r="W47" s="775">
        <f t="shared" si="14"/>
        <v>100</v>
      </c>
      <c r="X47" s="1815"/>
      <c r="Y47" s="3242"/>
      <c r="Z47" s="1816">
        <f t="shared" si="15"/>
        <v>111</v>
      </c>
      <c r="AA47" s="1813">
        <f t="shared" si="3"/>
        <v>1</v>
      </c>
      <c r="AB47" s="1813">
        <f t="shared" si="4"/>
        <v>1</v>
      </c>
      <c r="AC47" s="2680">
        <f t="shared" si="5"/>
        <v>1</v>
      </c>
    </row>
    <row r="48" spans="1:29" ht="15">
      <c r="A48" s="479" t="s">
        <v>2577</v>
      </c>
      <c r="B48" s="480"/>
      <c r="C48" s="1410" t="s">
        <v>1</v>
      </c>
      <c r="D48" s="1411"/>
      <c r="E48" s="1412"/>
      <c r="F48" s="1413"/>
      <c r="G48" s="1414"/>
      <c r="H48" s="1415"/>
      <c r="I48" s="1412"/>
      <c r="J48" s="485"/>
      <c r="K48" s="783"/>
      <c r="L48" s="1146"/>
      <c r="M48" s="1134"/>
      <c r="N48" s="1134"/>
      <c r="O48" s="1134"/>
      <c r="P48" s="3206" t="str">
        <f>A48</f>
        <v>成交单价（元/平方米）</v>
      </c>
      <c r="Q48" s="3182"/>
      <c r="R48" s="3238">
        <f>E48</f>
        <v>0</v>
      </c>
      <c r="S48" s="3238"/>
      <c r="T48" s="3238">
        <f>G48</f>
        <v>0</v>
      </c>
      <c r="U48" s="3238"/>
      <c r="V48" s="3238">
        <f>I48</f>
        <v>0</v>
      </c>
      <c r="W48" s="3238"/>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6" t="str">
        <f>A49</f>
        <v>比较价值（元/平方米）</v>
      </c>
      <c r="Q49" s="3182"/>
      <c r="R49" s="3238" t="e">
        <f>IF(F1="售价",ROUND(PRODUCT(R48,AA7:AA47),0),ROUND(PRODUCT(R48,AA7:AA47),1))</f>
        <v>#DIV/0!</v>
      </c>
      <c r="S49" s="3238"/>
      <c r="T49" s="3238" t="e">
        <f>IF(F1="售价",ROUND(PRODUCT(T48,AB7:AB47),0),ROUND(PRODUCT(T48,AB7:AB47),1))</f>
        <v>#DIV/0!</v>
      </c>
      <c r="U49" s="3238"/>
      <c r="V49" s="3238" t="e">
        <f>IF(F1="售价",ROUND(PRODUCT(V48,AC7:AC47),0),ROUND(PRODUCT(V48,AC7:AC47),1))</f>
        <v>#DIV/0!</v>
      </c>
      <c r="W49" s="3238"/>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7"/>
      <c r="Q58" s="504"/>
    </row>
    <row r="59" spans="1:29" s="508" customFormat="1" ht="15">
      <c r="A59" s="505" t="s">
        <v>2548</v>
      </c>
      <c r="B59" s="506"/>
      <c r="C59" s="1576" t="str">
        <f>YEAR(C7)&amp;"-"&amp;MONTH(C7)</f>
        <v>2019-8</v>
      </c>
      <c r="D59" s="1577">
        <f>EDATE(C59,-1)</f>
        <v>43647</v>
      </c>
      <c r="E59" s="1577">
        <f>EDATE(D59,-1)</f>
        <v>43617</v>
      </c>
      <c r="F59" s="1577">
        <f t="shared" ref="F59:O59" si="16">EDATE(E59,-1)</f>
        <v>43586</v>
      </c>
      <c r="G59" s="1577">
        <f t="shared" si="16"/>
        <v>43556</v>
      </c>
      <c r="H59" s="1577">
        <f t="shared" si="16"/>
        <v>43525</v>
      </c>
      <c r="I59" s="1577">
        <f t="shared" si="16"/>
        <v>43497</v>
      </c>
      <c r="J59" s="1577">
        <f t="shared" si="16"/>
        <v>43466</v>
      </c>
      <c r="K59" s="1577">
        <f t="shared" si="16"/>
        <v>43435</v>
      </c>
      <c r="L59" s="1577">
        <f t="shared" si="16"/>
        <v>43405</v>
      </c>
      <c r="M59" s="1577">
        <f t="shared" si="16"/>
        <v>43374</v>
      </c>
      <c r="N59" s="1577">
        <f t="shared" si="16"/>
        <v>43344</v>
      </c>
      <c r="O59" s="1577">
        <f t="shared" si="16"/>
        <v>43313</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2585</v>
      </c>
      <c r="B61" s="516"/>
      <c r="C61" s="517"/>
      <c r="D61" s="518"/>
      <c r="E61" s="518"/>
      <c r="F61" s="518"/>
      <c r="G61" s="518"/>
      <c r="H61" s="518"/>
      <c r="I61" s="518"/>
      <c r="J61" s="518"/>
      <c r="K61" s="518"/>
      <c r="L61" s="518"/>
      <c r="M61" s="519"/>
      <c r="N61" s="518"/>
      <c r="O61" s="519"/>
      <c r="P61" s="2688"/>
      <c r="Q61" s="504"/>
    </row>
    <row r="62" spans="1:29" s="117" customFormat="1" ht="15">
      <c r="A62" s="521" t="s">
        <v>2550</v>
      </c>
      <c r="B62" s="510"/>
      <c r="C62" s="522" t="s">
        <v>2652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2588</v>
      </c>
      <c r="B64" s="528" t="s">
        <v>2554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2563</v>
      </c>
      <c r="B101" s="528" t="s">
        <v>2612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34338.32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43689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2559</v>
      </c>
      <c r="B15" s="69" t="s">
        <v>2703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7" t="s">
        <v>2560</v>
      </c>
      <c r="Q15" s="1812" t="str">
        <f t="shared" si="6"/>
        <v>产业集聚程度</v>
      </c>
      <c r="R15" s="774" t="s">
        <v>17</v>
      </c>
      <c r="S15" s="775">
        <f t="shared" si="0"/>
        <v>100</v>
      </c>
      <c r="T15" s="774" t="s">
        <v>17</v>
      </c>
      <c r="U15" s="775">
        <f t="shared" si="1"/>
        <v>100</v>
      </c>
      <c r="V15" s="774" t="s">
        <v>17</v>
      </c>
      <c r="W15" s="775">
        <f t="shared" si="2"/>
        <v>100</v>
      </c>
      <c r="X15" s="1815"/>
      <c r="Y15" s="3197"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451" t="s">
        <v>2098</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98"/>
      <c r="Q18" s="1812"/>
      <c r="R18" s="774"/>
      <c r="S18" s="775"/>
      <c r="T18" s="774"/>
      <c r="U18" s="775"/>
      <c r="V18" s="774"/>
      <c r="W18" s="775"/>
      <c r="X18" s="1815"/>
      <c r="Y18" s="3198"/>
      <c r="Z18" s="1816"/>
      <c r="AA18" s="1813">
        <v>1</v>
      </c>
      <c r="AB18" s="1813">
        <v>1</v>
      </c>
      <c r="AC18" s="1813">
        <v>1</v>
      </c>
    </row>
    <row r="19" spans="1:29" ht="42.75">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8"/>
      <c r="Q19" s="1812" t="str">
        <f>B19</f>
        <v>公共配套设施</v>
      </c>
      <c r="R19" s="774" t="s">
        <v>17</v>
      </c>
      <c r="S19" s="775">
        <f>F19</f>
        <v>100</v>
      </c>
      <c r="T19" s="774" t="s">
        <v>17</v>
      </c>
      <c r="U19" s="775">
        <f>H19</f>
        <v>100</v>
      </c>
      <c r="V19" s="774" t="s">
        <v>17</v>
      </c>
      <c r="W19" s="775">
        <f>J19</f>
        <v>100</v>
      </c>
      <c r="X19" s="1815"/>
      <c r="Y19" s="319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98"/>
      <c r="Q20" s="1812"/>
      <c r="R20" s="774"/>
      <c r="S20" s="775"/>
      <c r="T20" s="774"/>
      <c r="U20" s="775"/>
      <c r="V20" s="774"/>
      <c r="W20" s="775"/>
      <c r="X20" s="1815"/>
      <c r="Y20" s="3198"/>
      <c r="Z20" s="1816"/>
      <c r="AA20" s="1813">
        <v>1</v>
      </c>
      <c r="AB20" s="1813">
        <v>1</v>
      </c>
      <c r="AC20" s="1813">
        <v>1</v>
      </c>
    </row>
    <row r="21" spans="1:29" ht="28.5">
      <c r="A21" s="428"/>
      <c r="B21" s="1387"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8"/>
      <c r="Q21" s="1812" t="str">
        <f>B21</f>
        <v>基础设施水平</v>
      </c>
      <c r="R21" s="774" t="s">
        <v>17</v>
      </c>
      <c r="S21" s="775">
        <f>F21</f>
        <v>100</v>
      </c>
      <c r="T21" s="774" t="s">
        <v>17</v>
      </c>
      <c r="U21" s="775">
        <f>H21</f>
        <v>100</v>
      </c>
      <c r="V21" s="774" t="s">
        <v>17</v>
      </c>
      <c r="W21" s="775">
        <f>J21</f>
        <v>100</v>
      </c>
      <c r="X21" s="1815"/>
      <c r="Y21" s="319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98"/>
      <c r="Q22" s="1812"/>
      <c r="R22" s="774"/>
      <c r="S22" s="775"/>
      <c r="T22" s="774"/>
      <c r="U22" s="775"/>
      <c r="V22" s="774"/>
      <c r="W22" s="775"/>
      <c r="X22" s="1815"/>
      <c r="Y22" s="3198"/>
      <c r="Z22" s="1816"/>
      <c r="AA22" s="1813">
        <v>1</v>
      </c>
      <c r="AB22" s="1813">
        <v>1</v>
      </c>
      <c r="AC22" s="1813">
        <v>1</v>
      </c>
    </row>
    <row r="23" spans="1:29" ht="71.25">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8"/>
      <c r="Q23" s="1812" t="str">
        <f>B23</f>
        <v>环境质量</v>
      </c>
      <c r="R23" s="774" t="s">
        <v>17</v>
      </c>
      <c r="S23" s="775">
        <f>F23</f>
        <v>100</v>
      </c>
      <c r="T23" s="774" t="s">
        <v>17</v>
      </c>
      <c r="U23" s="775">
        <f>H23</f>
        <v>100</v>
      </c>
      <c r="V23" s="774" t="s">
        <v>17</v>
      </c>
      <c r="W23" s="775">
        <f>J23</f>
        <v>100</v>
      </c>
      <c r="X23" s="1815"/>
      <c r="Y23" s="319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98"/>
      <c r="Q24" s="1812"/>
      <c r="R24" s="774"/>
      <c r="S24" s="775"/>
      <c r="T24" s="774"/>
      <c r="U24" s="775"/>
      <c r="V24" s="774"/>
      <c r="W24" s="775"/>
      <c r="X24" s="1815"/>
      <c r="Y24" s="319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8"/>
      <c r="Q25" s="1812">
        <f>B25</f>
        <v>111</v>
      </c>
      <c r="R25" s="774" t="s">
        <v>17</v>
      </c>
      <c r="S25" s="775">
        <f>F25</f>
        <v>100</v>
      </c>
      <c r="T25" s="774" t="s">
        <v>17</v>
      </c>
      <c r="U25" s="775">
        <f>H25</f>
        <v>100</v>
      </c>
      <c r="V25" s="774" t="s">
        <v>17</v>
      </c>
      <c r="W25" s="775">
        <f>J25</f>
        <v>100</v>
      </c>
      <c r="X25" s="1815"/>
      <c r="Y25" s="319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8"/>
      <c r="Q26" s="1812">
        <f t="shared" ref="Q26:Q40" si="11">B26</f>
        <v>111</v>
      </c>
      <c r="R26" s="774" t="s">
        <v>17</v>
      </c>
      <c r="S26" s="775">
        <f>F26</f>
        <v>100</v>
      </c>
      <c r="T26" s="774" t="s">
        <v>17</v>
      </c>
      <c r="U26" s="775">
        <f>H26</f>
        <v>100</v>
      </c>
      <c r="V26" s="774" t="s">
        <v>17</v>
      </c>
      <c r="W26" s="775">
        <f>J26</f>
        <v>100</v>
      </c>
      <c r="X26" s="1815"/>
      <c r="Y26" s="319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8"/>
      <c r="Q27" s="1797">
        <f t="shared" si="11"/>
        <v>111</v>
      </c>
      <c r="R27" s="770" t="s">
        <v>17</v>
      </c>
      <c r="S27" s="771">
        <f>F27</f>
        <v>100</v>
      </c>
      <c r="T27" s="770" t="s">
        <v>17</v>
      </c>
      <c r="U27" s="771">
        <f>H27</f>
        <v>100</v>
      </c>
      <c r="V27" s="770" t="s">
        <v>17</v>
      </c>
      <c r="W27" s="771">
        <f>J27</f>
        <v>100</v>
      </c>
      <c r="X27" s="772"/>
      <c r="Y27" s="319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8"/>
      <c r="Q28" s="1812">
        <f t="shared" si="11"/>
        <v>111</v>
      </c>
      <c r="R28" s="774" t="s">
        <v>17</v>
      </c>
      <c r="S28" s="775">
        <f t="shared" ref="S28:S40" si="12">F28</f>
        <v>100</v>
      </c>
      <c r="T28" s="774" t="s">
        <v>17</v>
      </c>
      <c r="U28" s="775">
        <f t="shared" ref="U28:U40" si="13">H28</f>
        <v>100</v>
      </c>
      <c r="V28" s="774" t="s">
        <v>17</v>
      </c>
      <c r="W28" s="775">
        <f t="shared" ref="W28:W40" si="14">J28</f>
        <v>100</v>
      </c>
      <c r="X28" s="1815"/>
      <c r="Y28" s="3198"/>
      <c r="Z28" s="1816">
        <f t="shared" ref="Z28:Z40" si="15">Q28</f>
        <v>111</v>
      </c>
      <c r="AA28" s="1813">
        <f t="shared" si="3"/>
        <v>1</v>
      </c>
      <c r="AB28" s="1813">
        <f t="shared" si="4"/>
        <v>1</v>
      </c>
      <c r="AC28" s="1813">
        <f t="shared" si="5"/>
        <v>1</v>
      </c>
    </row>
    <row r="29" spans="1:29" ht="28.5">
      <c r="A29" s="466" t="s">
        <v>2563</v>
      </c>
      <c r="B29" s="71" t="s">
        <v>2693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99" t="s">
        <v>2565</v>
      </c>
      <c r="Q29" s="1812" t="str">
        <f t="shared" si="11"/>
        <v>建筑类型</v>
      </c>
      <c r="R29" s="774" t="s">
        <v>17</v>
      </c>
      <c r="S29" s="775">
        <f t="shared" si="12"/>
        <v>100</v>
      </c>
      <c r="T29" s="774" t="s">
        <v>17</v>
      </c>
      <c r="U29" s="775">
        <f t="shared" si="13"/>
        <v>100</v>
      </c>
      <c r="V29" s="774" t="s">
        <v>17</v>
      </c>
      <c r="W29" s="775">
        <f t="shared" si="14"/>
        <v>100</v>
      </c>
      <c r="X29" s="1815"/>
      <c r="Y29" s="3200"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0"/>
      <c r="Q30" s="776" t="str">
        <f t="shared" si="11"/>
        <v>项目建筑规模</v>
      </c>
      <c r="R30" s="777" t="s">
        <v>17</v>
      </c>
      <c r="S30" s="778" t="e">
        <f t="shared" si="12"/>
        <v>#N/A</v>
      </c>
      <c r="T30" s="777" t="s">
        <v>17</v>
      </c>
      <c r="U30" s="778" t="e">
        <f t="shared" si="13"/>
        <v>#N/A</v>
      </c>
      <c r="V30" s="777" t="s">
        <v>17</v>
      </c>
      <c r="W30" s="778" t="e">
        <f t="shared" si="14"/>
        <v>#N/A</v>
      </c>
      <c r="X30" s="779"/>
      <c r="Y30" s="3200"/>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0"/>
      <c r="Q31" s="1812" t="str">
        <f t="shared" si="11"/>
        <v>建筑结构</v>
      </c>
      <c r="R31" s="774" t="s">
        <v>17</v>
      </c>
      <c r="S31" s="775">
        <f t="shared" si="12"/>
        <v>100</v>
      </c>
      <c r="T31" s="774" t="s">
        <v>17</v>
      </c>
      <c r="U31" s="775">
        <f t="shared" si="13"/>
        <v>100</v>
      </c>
      <c r="V31" s="774" t="s">
        <v>17</v>
      </c>
      <c r="W31" s="775">
        <f t="shared" si="14"/>
        <v>100</v>
      </c>
      <c r="X31" s="1815"/>
      <c r="Y31" s="3200"/>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0"/>
      <c r="Q32" s="1812" t="str">
        <f t="shared" si="11"/>
        <v>公共部分装修</v>
      </c>
      <c r="R32" s="774" t="s">
        <v>17</v>
      </c>
      <c r="S32" s="775">
        <f t="shared" si="12"/>
        <v>100</v>
      </c>
      <c r="T32" s="774" t="s">
        <v>17</v>
      </c>
      <c r="U32" s="775">
        <f t="shared" si="13"/>
        <v>100</v>
      </c>
      <c r="V32" s="774" t="s">
        <v>17</v>
      </c>
      <c r="W32" s="775">
        <f t="shared" si="14"/>
        <v>100</v>
      </c>
      <c r="X32" s="1815"/>
      <c r="Y32" s="3200"/>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0"/>
      <c r="Q33" s="1812" t="str">
        <f t="shared" si="11"/>
        <v>成新度</v>
      </c>
      <c r="R33" s="774" t="s">
        <v>17</v>
      </c>
      <c r="S33" s="775" t="e">
        <f t="shared" si="12"/>
        <v>#N/A</v>
      </c>
      <c r="T33" s="774" t="s">
        <v>17</v>
      </c>
      <c r="U33" s="775" t="e">
        <f t="shared" si="13"/>
        <v>#N/A</v>
      </c>
      <c r="V33" s="774" t="s">
        <v>17</v>
      </c>
      <c r="W33" s="775" t="e">
        <f t="shared" si="14"/>
        <v>#N/A</v>
      </c>
      <c r="X33" s="1815"/>
      <c r="Y33" s="3200"/>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0"/>
      <c r="Q34" s="1797" t="str">
        <f t="shared" si="11"/>
        <v>物业管理</v>
      </c>
      <c r="R34" s="770" t="s">
        <v>17</v>
      </c>
      <c r="S34" s="771">
        <f t="shared" si="12"/>
        <v>100</v>
      </c>
      <c r="T34" s="770" t="s">
        <v>17</v>
      </c>
      <c r="U34" s="771">
        <f t="shared" si="13"/>
        <v>100</v>
      </c>
      <c r="V34" s="770" t="s">
        <v>17</v>
      </c>
      <c r="W34" s="771">
        <f t="shared" si="14"/>
        <v>100</v>
      </c>
      <c r="X34" s="772"/>
      <c r="Y34" s="320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0" t="s">
        <v>2565</v>
      </c>
      <c r="Q35" s="1812" t="str">
        <f t="shared" si="11"/>
        <v>市政基础设施</v>
      </c>
      <c r="R35" s="774" t="s">
        <v>17</v>
      </c>
      <c r="S35" s="775">
        <f t="shared" si="12"/>
        <v>100</v>
      </c>
      <c r="T35" s="774" t="s">
        <v>17</v>
      </c>
      <c r="U35" s="775">
        <f t="shared" si="13"/>
        <v>100</v>
      </c>
      <c r="V35" s="774" t="s">
        <v>17</v>
      </c>
      <c r="W35" s="775">
        <f t="shared" si="14"/>
        <v>100</v>
      </c>
      <c r="X35" s="1815"/>
      <c r="Y35" s="3200"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0"/>
      <c r="Q36" s="1812" t="str">
        <f t="shared" si="11"/>
        <v>内部装修</v>
      </c>
      <c r="R36" s="774" t="s">
        <v>17</v>
      </c>
      <c r="S36" s="775">
        <f t="shared" si="12"/>
        <v>100</v>
      </c>
      <c r="T36" s="774" t="s">
        <v>17</v>
      </c>
      <c r="U36" s="775">
        <f t="shared" si="13"/>
        <v>100</v>
      </c>
      <c r="V36" s="774" t="s">
        <v>17</v>
      </c>
      <c r="W36" s="775">
        <f t="shared" si="14"/>
        <v>100</v>
      </c>
      <c r="X36" s="1815"/>
      <c r="Y36" s="3200"/>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0"/>
      <c r="Q37" s="1812" t="str">
        <f t="shared" si="11"/>
        <v>内部装修状况</v>
      </c>
      <c r="R37" s="774" t="s">
        <v>17</v>
      </c>
      <c r="S37" s="775">
        <f t="shared" si="12"/>
        <v>100</v>
      </c>
      <c r="T37" s="774" t="s">
        <v>17</v>
      </c>
      <c r="U37" s="775">
        <f t="shared" si="13"/>
        <v>100</v>
      </c>
      <c r="V37" s="774" t="s">
        <v>17</v>
      </c>
      <c r="W37" s="775">
        <f t="shared" si="14"/>
        <v>100</v>
      </c>
      <c r="X37" s="1815"/>
      <c r="Y37" s="3200"/>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0"/>
      <c r="Q38" s="776">
        <f t="shared" si="11"/>
        <v>111</v>
      </c>
      <c r="R38" s="777" t="s">
        <v>17</v>
      </c>
      <c r="S38" s="778">
        <f t="shared" si="12"/>
        <v>100</v>
      </c>
      <c r="T38" s="777" t="s">
        <v>17</v>
      </c>
      <c r="U38" s="778">
        <f t="shared" si="13"/>
        <v>100</v>
      </c>
      <c r="V38" s="777" t="s">
        <v>17</v>
      </c>
      <c r="W38" s="778">
        <f t="shared" si="14"/>
        <v>100</v>
      </c>
      <c r="X38" s="779"/>
      <c r="Y38" s="3200"/>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0"/>
      <c r="Q39" s="1812">
        <f t="shared" si="11"/>
        <v>111</v>
      </c>
      <c r="R39" s="774" t="s">
        <v>17</v>
      </c>
      <c r="S39" s="775">
        <f t="shared" si="12"/>
        <v>100</v>
      </c>
      <c r="T39" s="774" t="s">
        <v>17</v>
      </c>
      <c r="U39" s="775">
        <f t="shared" si="13"/>
        <v>100</v>
      </c>
      <c r="V39" s="774" t="s">
        <v>17</v>
      </c>
      <c r="W39" s="775">
        <f t="shared" si="14"/>
        <v>100</v>
      </c>
      <c r="X39" s="1815"/>
      <c r="Y39" s="3200"/>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2">
        <f t="shared" si="11"/>
        <v>111</v>
      </c>
      <c r="R40" s="774" t="s">
        <v>17</v>
      </c>
      <c r="S40" s="775">
        <f t="shared" si="12"/>
        <v>100</v>
      </c>
      <c r="T40" s="774" t="s">
        <v>17</v>
      </c>
      <c r="U40" s="775">
        <f t="shared" si="13"/>
        <v>100</v>
      </c>
      <c r="V40" s="774" t="s">
        <v>17</v>
      </c>
      <c r="W40" s="775">
        <f t="shared" si="14"/>
        <v>100</v>
      </c>
      <c r="X40" s="1815"/>
      <c r="Y40" s="3242"/>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182" t="str">
        <f>A41</f>
        <v>成交单价（元/平方米）</v>
      </c>
      <c r="Q41" s="3182"/>
      <c r="R41" s="3238">
        <f>E41</f>
        <v>0</v>
      </c>
      <c r="S41" s="3238"/>
      <c r="T41" s="3238">
        <f>G41</f>
        <v>0</v>
      </c>
      <c r="U41" s="3238"/>
      <c r="V41" s="3238">
        <f>I41</f>
        <v>0</v>
      </c>
      <c r="W41" s="3238"/>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238" t="e">
        <f>IF(F1="售价",ROUND(PRODUCT(R41,AA7:AA40),0),ROUND(PRODUCT(R41,AA7:AA40),1))</f>
        <v>#DIV/0!</v>
      </c>
      <c r="S42" s="3238"/>
      <c r="T42" s="3238" t="e">
        <f>IF(F1="售价",ROUND(PRODUCT(T41,AB7:AB40),0),ROUND(PRODUCT(T41,AB7:AB40),1))</f>
        <v>#DIV/0!</v>
      </c>
      <c r="U42" s="3238"/>
      <c r="V42" s="3238" t="e">
        <f>IF(F1="售价",ROUND(PRODUCT(V41,AC7:AC40),0),ROUND(PRODUCT(V41,AC7:AC40),1))</f>
        <v>#DIV/0!</v>
      </c>
      <c r="W42" s="3238"/>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02" t="str">
        <f>A43</f>
        <v>估价对象XX用房的比较价值（楼面单价，元/平方米）</v>
      </c>
      <c r="Q43" s="3203"/>
      <c r="R43" s="3237" t="e">
        <f>IF(F1="售价",ROUND(AVERAGE(R42:V42),0),ROUND(AVERAGE(R42:V42),1))</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2019-8</v>
      </c>
      <c r="D52" s="1577">
        <f>EDATE(C52,-1)</f>
        <v>43647</v>
      </c>
      <c r="E52" s="1577">
        <f t="shared" ref="E52:O52" si="16">EDATE(D52,-1)</f>
        <v>43617</v>
      </c>
      <c r="F52" s="1577">
        <f t="shared" si="16"/>
        <v>43586</v>
      </c>
      <c r="G52" s="1577">
        <f t="shared" si="16"/>
        <v>43556</v>
      </c>
      <c r="H52" s="1577">
        <f t="shared" si="16"/>
        <v>43525</v>
      </c>
      <c r="I52" s="1577">
        <f t="shared" si="16"/>
        <v>43497</v>
      </c>
      <c r="J52" s="1577">
        <f t="shared" si="16"/>
        <v>43466</v>
      </c>
      <c r="K52" s="1577">
        <f t="shared" si="16"/>
        <v>43435</v>
      </c>
      <c r="L52" s="1577">
        <f t="shared" si="16"/>
        <v>43405</v>
      </c>
      <c r="M52" s="1577">
        <f t="shared" si="16"/>
        <v>43374</v>
      </c>
      <c r="N52" s="1577">
        <f t="shared" si="16"/>
        <v>43344</v>
      </c>
      <c r="O52" s="1577">
        <f t="shared" si="16"/>
        <v>43313</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43689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2549</v>
      </c>
      <c r="Q7" s="3196"/>
      <c r="R7" s="770" t="s">
        <v>17</v>
      </c>
      <c r="S7" s="771">
        <f t="shared" ref="S7:S14" si="0">F7</f>
        <v>0</v>
      </c>
      <c r="T7" s="770" t="s">
        <v>17</v>
      </c>
      <c r="U7" s="771">
        <f t="shared" ref="U7:U14" si="1">H7</f>
        <v>0</v>
      </c>
      <c r="V7" s="770" t="s">
        <v>17</v>
      </c>
      <c r="W7" s="771">
        <f t="shared" ref="W7:W14"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2555</v>
      </c>
      <c r="Q9" s="1797"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01" t="s">
        <v>2559</v>
      </c>
      <c r="B14" s="629" t="s">
        <v>2709</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7" t="s">
        <v>2560</v>
      </c>
      <c r="Q14" s="1812" t="str">
        <f t="shared" si="6"/>
        <v>交通便捷度</v>
      </c>
      <c r="R14" s="774" t="s">
        <v>17</v>
      </c>
      <c r="S14" s="775">
        <f t="shared" si="0"/>
        <v>100</v>
      </c>
      <c r="T14" s="774" t="s">
        <v>17</v>
      </c>
      <c r="U14" s="775">
        <f t="shared" si="1"/>
        <v>100</v>
      </c>
      <c r="V14" s="774" t="s">
        <v>17</v>
      </c>
      <c r="W14" s="775">
        <f t="shared" si="2"/>
        <v>100</v>
      </c>
      <c r="X14" s="1815"/>
      <c r="Y14" s="3197"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8"/>
      <c r="Q15" s="1812"/>
      <c r="R15" s="774"/>
      <c r="S15" s="775"/>
      <c r="T15" s="774"/>
      <c r="U15" s="775"/>
      <c r="V15" s="774"/>
      <c r="W15" s="775"/>
      <c r="X15" s="1815"/>
      <c r="Y15" s="3198"/>
      <c r="Z15" s="1816"/>
      <c r="AA15" s="1813">
        <v>1</v>
      </c>
      <c r="AB15" s="1813">
        <v>1</v>
      </c>
      <c r="AC15" s="1813">
        <v>1</v>
      </c>
    </row>
    <row r="16" spans="1:29" ht="42.75">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98"/>
      <c r="Q17" s="1812"/>
      <c r="R17" s="774"/>
      <c r="S17" s="775"/>
      <c r="T17" s="774"/>
      <c r="U17" s="775"/>
      <c r="V17" s="774"/>
      <c r="W17" s="775"/>
      <c r="X17" s="1815"/>
      <c r="Y17" s="3198"/>
      <c r="Z17" s="1816"/>
      <c r="AA17" s="1813">
        <v>1</v>
      </c>
      <c r="AB17" s="1813">
        <v>1</v>
      </c>
      <c r="AC17" s="1813">
        <v>1</v>
      </c>
    </row>
    <row r="18" spans="1:29" ht="28.5">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98"/>
      <c r="Q19" s="1812"/>
      <c r="R19" s="774"/>
      <c r="S19" s="775"/>
      <c r="T19" s="774"/>
      <c r="U19" s="775"/>
      <c r="V19" s="774"/>
      <c r="W19" s="775"/>
      <c r="X19" s="1815"/>
      <c r="Y19" s="3198"/>
      <c r="Z19" s="1816"/>
      <c r="AA19" s="1813">
        <v>1</v>
      </c>
      <c r="AB19" s="1813">
        <v>1</v>
      </c>
      <c r="AC19" s="1813">
        <v>1</v>
      </c>
    </row>
    <row r="20" spans="1:29" ht="57">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8"/>
      <c r="Q21" s="1812"/>
      <c r="R21" s="774"/>
      <c r="S21" s="775"/>
      <c r="T21" s="774"/>
      <c r="U21" s="775"/>
      <c r="V21" s="774"/>
      <c r="W21" s="775"/>
      <c r="X21" s="1815"/>
      <c r="Y21" s="3198"/>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8"/>
      <c r="Q24" s="1812">
        <f t="shared" ref="Q24:Q36"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28.5">
      <c r="A26" s="652" t="s">
        <v>2563</v>
      </c>
      <c r="B26" s="70" t="s">
        <v>2712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9"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0"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0"/>
      <c r="Q27" s="776" t="str">
        <f t="shared" si="11"/>
        <v>项目停车位配比</v>
      </c>
      <c r="R27" s="777" t="s">
        <v>17</v>
      </c>
      <c r="S27" s="778">
        <f t="shared" si="12"/>
        <v>100</v>
      </c>
      <c r="T27" s="777" t="s">
        <v>17</v>
      </c>
      <c r="U27" s="778">
        <f t="shared" si="13"/>
        <v>100</v>
      </c>
      <c r="V27" s="777" t="s">
        <v>17</v>
      </c>
      <c r="W27" s="778">
        <f t="shared" si="14"/>
        <v>100</v>
      </c>
      <c r="X27" s="779"/>
      <c r="Y27" s="3200"/>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0"/>
      <c r="Q28" s="1812" t="str">
        <f t="shared" si="11"/>
        <v>公共部分装修</v>
      </c>
      <c r="R28" s="774" t="s">
        <v>17</v>
      </c>
      <c r="S28" s="775">
        <f t="shared" si="12"/>
        <v>100</v>
      </c>
      <c r="T28" s="774" t="s">
        <v>17</v>
      </c>
      <c r="U28" s="775">
        <f t="shared" si="13"/>
        <v>100</v>
      </c>
      <c r="V28" s="774" t="s">
        <v>17</v>
      </c>
      <c r="W28" s="775">
        <f t="shared" si="14"/>
        <v>100</v>
      </c>
      <c r="X28" s="1815"/>
      <c r="Y28" s="3200"/>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0"/>
      <c r="Q29" s="1812" t="str">
        <f t="shared" si="11"/>
        <v>成新率</v>
      </c>
      <c r="R29" s="774" t="s">
        <v>17</v>
      </c>
      <c r="S29" s="775" t="e">
        <f t="shared" si="12"/>
        <v>#N/A</v>
      </c>
      <c r="T29" s="774" t="s">
        <v>17</v>
      </c>
      <c r="U29" s="775" t="e">
        <f t="shared" si="13"/>
        <v>#N/A</v>
      </c>
      <c r="V29" s="774" t="s">
        <v>17</v>
      </c>
      <c r="W29" s="775" t="e">
        <f t="shared" si="14"/>
        <v>#N/A</v>
      </c>
      <c r="X29" s="1815"/>
      <c r="Y29" s="3200"/>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0"/>
      <c r="Q30" s="1812" t="str">
        <f t="shared" si="11"/>
        <v>物业等级</v>
      </c>
      <c r="R30" s="774" t="s">
        <v>17</v>
      </c>
      <c r="S30" s="775">
        <f t="shared" si="12"/>
        <v>100</v>
      </c>
      <c r="T30" s="774" t="s">
        <v>17</v>
      </c>
      <c r="U30" s="775">
        <f t="shared" si="13"/>
        <v>100</v>
      </c>
      <c r="V30" s="774" t="s">
        <v>17</v>
      </c>
      <c r="W30" s="775">
        <f t="shared" si="14"/>
        <v>100</v>
      </c>
      <c r="X30" s="1815"/>
      <c r="Y30" s="3200"/>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0"/>
      <c r="Q31" s="1797" t="str">
        <f t="shared" si="11"/>
        <v>停车位面积</v>
      </c>
      <c r="R31" s="770" t="s">
        <v>17</v>
      </c>
      <c r="S31" s="771" t="e">
        <f t="shared" si="12"/>
        <v>#N/A</v>
      </c>
      <c r="T31" s="770" t="s">
        <v>17</v>
      </c>
      <c r="U31" s="771" t="e">
        <f t="shared" si="13"/>
        <v>#N/A</v>
      </c>
      <c r="V31" s="770" t="s">
        <v>17</v>
      </c>
      <c r="W31" s="771" t="e">
        <f t="shared" si="14"/>
        <v>#N/A</v>
      </c>
      <c r="X31" s="772"/>
      <c r="Y31" s="320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0" t="s">
        <v>2565</v>
      </c>
      <c r="Q32" s="1812" t="str">
        <f t="shared" si="11"/>
        <v>车位类型</v>
      </c>
      <c r="R32" s="774" t="s">
        <v>17</v>
      </c>
      <c r="S32" s="775">
        <f t="shared" si="12"/>
        <v>100</v>
      </c>
      <c r="T32" s="774" t="s">
        <v>17</v>
      </c>
      <c r="U32" s="775">
        <f t="shared" si="13"/>
        <v>100</v>
      </c>
      <c r="V32" s="774" t="s">
        <v>17</v>
      </c>
      <c r="W32" s="775">
        <f t="shared" si="14"/>
        <v>100</v>
      </c>
      <c r="X32" s="1815"/>
      <c r="Y32" s="3200"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0"/>
      <c r="Q33" s="1812" t="str">
        <f t="shared" si="11"/>
        <v>是否直接入户</v>
      </c>
      <c r="R33" s="774" t="s">
        <v>17</v>
      </c>
      <c r="S33" s="775">
        <f t="shared" si="12"/>
        <v>100</v>
      </c>
      <c r="T33" s="774" t="s">
        <v>17</v>
      </c>
      <c r="U33" s="775">
        <f t="shared" si="13"/>
        <v>100</v>
      </c>
      <c r="V33" s="774" t="s">
        <v>17</v>
      </c>
      <c r="W33" s="775">
        <f t="shared" si="14"/>
        <v>100</v>
      </c>
      <c r="X33" s="1815"/>
      <c r="Y33" s="3200"/>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0"/>
      <c r="Q35" s="776">
        <f t="shared" si="11"/>
        <v>111</v>
      </c>
      <c r="R35" s="777" t="s">
        <v>17</v>
      </c>
      <c r="S35" s="778">
        <f t="shared" si="12"/>
        <v>100</v>
      </c>
      <c r="T35" s="777" t="s">
        <v>17</v>
      </c>
      <c r="U35" s="778">
        <f t="shared" si="13"/>
        <v>100</v>
      </c>
      <c r="V35" s="777" t="s">
        <v>17</v>
      </c>
      <c r="W35" s="778">
        <f t="shared" si="14"/>
        <v>100</v>
      </c>
      <c r="X35" s="779"/>
      <c r="Y35" s="3200"/>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0"/>
      <c r="Q36" s="1812">
        <f t="shared" si="11"/>
        <v>111</v>
      </c>
      <c r="R36" s="774" t="s">
        <v>17</v>
      </c>
      <c r="S36" s="775">
        <f t="shared" si="12"/>
        <v>100</v>
      </c>
      <c r="T36" s="774" t="s">
        <v>17</v>
      </c>
      <c r="U36" s="775">
        <f t="shared" si="13"/>
        <v>100</v>
      </c>
      <c r="V36" s="774" t="s">
        <v>17</v>
      </c>
      <c r="W36" s="775">
        <f t="shared" si="14"/>
        <v>100</v>
      </c>
      <c r="X36" s="1815"/>
      <c r="Y36" s="3200"/>
      <c r="Z36" s="1816">
        <f t="shared" si="15"/>
        <v>111</v>
      </c>
      <c r="AA36" s="1813">
        <f t="shared" si="3"/>
        <v>1</v>
      </c>
      <c r="AB36" s="1813">
        <f t="shared" si="4"/>
        <v>1</v>
      </c>
      <c r="AC36" s="1813">
        <f t="shared" si="5"/>
        <v>1</v>
      </c>
    </row>
    <row r="37" spans="1:29" ht="15">
      <c r="A37" s="479" t="s">
        <v>2720</v>
      </c>
      <c r="B37" s="2701" t="s">
        <v>2721</v>
      </c>
      <c r="C37" s="1410" t="s">
        <v>1</v>
      </c>
      <c r="D37" s="1411"/>
      <c r="E37" s="1412"/>
      <c r="F37" s="1413"/>
      <c r="G37" s="1414"/>
      <c r="H37" s="1415"/>
      <c r="I37" s="1412"/>
      <c r="J37" s="1415"/>
      <c r="K37" s="619"/>
      <c r="L37" s="1146"/>
      <c r="M37" s="1147"/>
      <c r="N37" s="1134"/>
      <c r="O37" s="1147"/>
      <c r="P37" s="3182" t="str">
        <f>A37</f>
        <v>成交单价</v>
      </c>
      <c r="Q37" s="3182"/>
      <c r="R37" s="3238">
        <f>E37</f>
        <v>0</v>
      </c>
      <c r="S37" s="3238"/>
      <c r="T37" s="3238">
        <f>G37</f>
        <v>0</v>
      </c>
      <c r="U37" s="3238"/>
      <c r="V37" s="3238">
        <f>I37</f>
        <v>0</v>
      </c>
      <c r="W37" s="3238"/>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238" t="e">
        <f>IF(F1="售价",ROUND(PRODUCT(R37,AA7:AA36),0),ROUND(PRODUCT(R37,AA7:AA36),1))</f>
        <v>#DIV/0!</v>
      </c>
      <c r="S38" s="3238"/>
      <c r="T38" s="3238" t="e">
        <f>IF(F1="售价",ROUND(PRODUCT(T37,AB7:AB36),0),ROUND(PRODUCT(T37,AB7:AB36),1))</f>
        <v>#DIV/0!</v>
      </c>
      <c r="U38" s="3238"/>
      <c r="V38" s="3238" t="e">
        <f>IF(F1="售价",ROUND(PRODUCT(V37,AC7:AC36),0),ROUND(PRODUCT(V37,AC7:AC36),1))</f>
        <v>#DIV/0!</v>
      </c>
      <c r="W38" s="3238"/>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02" t="str">
        <f>A39</f>
        <v>估价对象XX用房的比较价值（楼面单价，元/平方米）</v>
      </c>
      <c r="Q39" s="3203"/>
      <c r="R39" s="3237" t="e">
        <f>IF(F1="售价",ROUND(AVERAGE(R38:V38),0),ROUND(AVERAGE(R38:V38),1))</f>
        <v>#DIV/0!</v>
      </c>
      <c r="S39" s="3237"/>
      <c r="T39" s="3237"/>
      <c r="U39" s="3237"/>
      <c r="V39" s="3237"/>
      <c r="W39" s="323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2019-8</v>
      </c>
      <c r="D48" s="1577">
        <f>EDATE(C48,-1)</f>
        <v>43647</v>
      </c>
      <c r="E48" s="1577">
        <f t="shared" ref="E48:O48" si="16">EDATE(D48,-1)</f>
        <v>43617</v>
      </c>
      <c r="F48" s="1577">
        <f t="shared" si="16"/>
        <v>43586</v>
      </c>
      <c r="G48" s="1577">
        <f t="shared" si="16"/>
        <v>43556</v>
      </c>
      <c r="H48" s="1577">
        <f t="shared" si="16"/>
        <v>43525</v>
      </c>
      <c r="I48" s="1577">
        <f t="shared" si="16"/>
        <v>43497</v>
      </c>
      <c r="J48" s="1577">
        <f t="shared" si="16"/>
        <v>43466</v>
      </c>
      <c r="K48" s="1577">
        <f t="shared" si="16"/>
        <v>43435</v>
      </c>
      <c r="L48" s="1577">
        <f t="shared" si="16"/>
        <v>43405</v>
      </c>
      <c r="M48" s="1577">
        <f t="shared" si="16"/>
        <v>43374</v>
      </c>
      <c r="N48" s="1577">
        <f t="shared" si="16"/>
        <v>43344</v>
      </c>
      <c r="O48" s="1577">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178" t="s">
        <v>2546</v>
      </c>
      <c r="D6" s="3179"/>
      <c r="E6" s="3180" t="s">
        <v>2546</v>
      </c>
      <c r="F6" s="3181"/>
      <c r="G6" s="3178" t="s">
        <v>2546</v>
      </c>
      <c r="H6" s="3179"/>
      <c r="I6" s="3178" t="s">
        <v>2546</v>
      </c>
      <c r="J6" s="3179"/>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43689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68" t="s">
        <v>2549</v>
      </c>
      <c r="Q7" s="3196"/>
      <c r="R7" s="770" t="s">
        <v>17</v>
      </c>
      <c r="S7" s="771">
        <f t="shared" ref="S7:S14" si="0">F7</f>
        <v>0</v>
      </c>
      <c r="T7" s="770" t="s">
        <v>17</v>
      </c>
      <c r="U7" s="771">
        <f t="shared" ref="U7:U14" si="1">H7</f>
        <v>0</v>
      </c>
      <c r="V7" s="770" t="s">
        <v>17</v>
      </c>
      <c r="W7" s="771">
        <f t="shared" ref="W7:W14" si="2">J7</f>
        <v>0</v>
      </c>
      <c r="X7" s="772"/>
      <c r="Y7" s="3168" t="s">
        <v>2549</v>
      </c>
      <c r="Z7" s="3169"/>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2555</v>
      </c>
      <c r="Q9" s="1797"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7"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7">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85.5">
      <c r="A14" s="440" t="s">
        <v>2559</v>
      </c>
      <c r="B14" s="69" t="s">
        <v>2709</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7" t="s">
        <v>2560</v>
      </c>
      <c r="Q14" s="1812" t="str">
        <f t="shared" si="6"/>
        <v>交通便捷度</v>
      </c>
      <c r="R14" s="774" t="s">
        <v>17</v>
      </c>
      <c r="S14" s="775">
        <f t="shared" si="0"/>
        <v>100</v>
      </c>
      <c r="T14" s="774" t="s">
        <v>17</v>
      </c>
      <c r="U14" s="775">
        <f t="shared" si="1"/>
        <v>100</v>
      </c>
      <c r="V14" s="774" t="s">
        <v>17</v>
      </c>
      <c r="W14" s="775">
        <f t="shared" si="2"/>
        <v>100</v>
      </c>
      <c r="X14" s="1815"/>
      <c r="Y14" s="3197"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8"/>
      <c r="Q15" s="1812"/>
      <c r="R15" s="774"/>
      <c r="S15" s="775"/>
      <c r="T15" s="774"/>
      <c r="U15" s="775"/>
      <c r="V15" s="774"/>
      <c r="W15" s="775"/>
      <c r="X15" s="1815"/>
      <c r="Y15" s="3198"/>
      <c r="Z15" s="1816"/>
      <c r="AA15" s="1813">
        <v>1</v>
      </c>
      <c r="AB15" s="1813">
        <v>1</v>
      </c>
      <c r="AC15" s="1813">
        <v>1</v>
      </c>
    </row>
    <row r="16" spans="1:29" ht="42.75">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8"/>
      <c r="Q16" s="1812" t="str">
        <f>B16</f>
        <v>公共配套设施</v>
      </c>
      <c r="R16" s="774" t="s">
        <v>17</v>
      </c>
      <c r="S16" s="775">
        <f>F16</f>
        <v>100</v>
      </c>
      <c r="T16" s="774" t="s">
        <v>17</v>
      </c>
      <c r="U16" s="775">
        <f>H16</f>
        <v>100</v>
      </c>
      <c r="V16" s="774" t="s">
        <v>17</v>
      </c>
      <c r="W16" s="775">
        <f>J16</f>
        <v>100</v>
      </c>
      <c r="X16" s="1815"/>
      <c r="Y16" s="319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98"/>
      <c r="Q17" s="1812"/>
      <c r="R17" s="774"/>
      <c r="S17" s="775"/>
      <c r="T17" s="774"/>
      <c r="U17" s="775"/>
      <c r="V17" s="774"/>
      <c r="W17" s="775"/>
      <c r="X17" s="1815"/>
      <c r="Y17" s="3198"/>
      <c r="Z17" s="1816"/>
      <c r="AA17" s="1813">
        <v>1</v>
      </c>
      <c r="AB17" s="1813">
        <v>1</v>
      </c>
      <c r="AC17" s="1813">
        <v>1</v>
      </c>
    </row>
    <row r="18" spans="1:29" ht="28.5">
      <c r="A18" s="428"/>
      <c r="B18" s="1387"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8"/>
      <c r="Q18" s="1812" t="str">
        <f>B18</f>
        <v>基础设施水平</v>
      </c>
      <c r="R18" s="774" t="s">
        <v>17</v>
      </c>
      <c r="S18" s="775">
        <f>F18</f>
        <v>100</v>
      </c>
      <c r="T18" s="774" t="s">
        <v>17</v>
      </c>
      <c r="U18" s="775">
        <f>H18</f>
        <v>100</v>
      </c>
      <c r="V18" s="774" t="s">
        <v>17</v>
      </c>
      <c r="W18" s="775">
        <f>J18</f>
        <v>100</v>
      </c>
      <c r="X18" s="1815"/>
      <c r="Y18" s="319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98"/>
      <c r="Q19" s="1812"/>
      <c r="R19" s="774"/>
      <c r="S19" s="775"/>
      <c r="T19" s="774"/>
      <c r="U19" s="775"/>
      <c r="V19" s="774"/>
      <c r="W19" s="775"/>
      <c r="X19" s="1815"/>
      <c r="Y19" s="3198"/>
      <c r="Z19" s="1816"/>
      <c r="AA19" s="1813">
        <v>1</v>
      </c>
      <c r="AB19" s="1813">
        <v>1</v>
      </c>
      <c r="AC19" s="1813">
        <v>1</v>
      </c>
    </row>
    <row r="20" spans="1:29" ht="57">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8"/>
      <c r="Q20" s="1812" t="str">
        <f>B20</f>
        <v>自然及人文环境</v>
      </c>
      <c r="R20" s="774" t="s">
        <v>17</v>
      </c>
      <c r="S20" s="775">
        <f>F20</f>
        <v>100</v>
      </c>
      <c r="T20" s="774" t="s">
        <v>17</v>
      </c>
      <c r="U20" s="775">
        <f>H20</f>
        <v>100</v>
      </c>
      <c r="V20" s="774" t="s">
        <v>17</v>
      </c>
      <c r="W20" s="775">
        <f>J20</f>
        <v>100</v>
      </c>
      <c r="X20" s="1815"/>
      <c r="Y20" s="319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8"/>
      <c r="Q21" s="1812"/>
      <c r="R21" s="774"/>
      <c r="S21" s="775"/>
      <c r="T21" s="774"/>
      <c r="U21" s="775"/>
      <c r="V21" s="774"/>
      <c r="W21" s="775"/>
      <c r="X21" s="1815"/>
      <c r="Y21" s="3198"/>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8"/>
      <c r="Q22" s="1812" t="str">
        <f>B22</f>
        <v>楼层</v>
      </c>
      <c r="R22" s="774" t="s">
        <v>17</v>
      </c>
      <c r="S22" s="775">
        <f>F22</f>
        <v>100</v>
      </c>
      <c r="T22" s="774" t="s">
        <v>17</v>
      </c>
      <c r="U22" s="775">
        <f>H22</f>
        <v>100</v>
      </c>
      <c r="V22" s="774" t="s">
        <v>17</v>
      </c>
      <c r="W22" s="775">
        <f>J22</f>
        <v>100</v>
      </c>
      <c r="X22" s="1815"/>
      <c r="Y22" s="319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8"/>
      <c r="Q23" s="1812">
        <f>B23</f>
        <v>111</v>
      </c>
      <c r="R23" s="774" t="s">
        <v>17</v>
      </c>
      <c r="S23" s="775">
        <f>F23</f>
        <v>100</v>
      </c>
      <c r="T23" s="774" t="s">
        <v>17</v>
      </c>
      <c r="U23" s="775">
        <f>H23</f>
        <v>100</v>
      </c>
      <c r="V23" s="774" t="s">
        <v>17</v>
      </c>
      <c r="W23" s="775">
        <f>J23</f>
        <v>100</v>
      </c>
      <c r="X23" s="1815"/>
      <c r="Y23" s="319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8"/>
      <c r="Q24" s="1812">
        <f t="shared" ref="Q24:Q34" si="11">B24</f>
        <v>111</v>
      </c>
      <c r="R24" s="774" t="s">
        <v>17</v>
      </c>
      <c r="S24" s="775">
        <f>F24</f>
        <v>100</v>
      </c>
      <c r="T24" s="774" t="s">
        <v>17</v>
      </c>
      <c r="U24" s="775">
        <f>H24</f>
        <v>100</v>
      </c>
      <c r="V24" s="774" t="s">
        <v>17</v>
      </c>
      <c r="W24" s="775">
        <f>J24</f>
        <v>100</v>
      </c>
      <c r="X24" s="1815"/>
      <c r="Y24" s="319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98"/>
      <c r="Q25" s="1797">
        <f t="shared" si="11"/>
        <v>111</v>
      </c>
      <c r="R25" s="770" t="s">
        <v>17</v>
      </c>
      <c r="S25" s="771">
        <f>F25</f>
        <v>100</v>
      </c>
      <c r="T25" s="770" t="s">
        <v>17</v>
      </c>
      <c r="U25" s="771">
        <f>H25</f>
        <v>100</v>
      </c>
      <c r="V25" s="770" t="s">
        <v>17</v>
      </c>
      <c r="W25" s="771">
        <f>J25</f>
        <v>100</v>
      </c>
      <c r="X25" s="772"/>
      <c r="Y25" s="3198"/>
      <c r="Z25" s="55">
        <f>Q25</f>
        <v>111</v>
      </c>
      <c r="AA25" s="1813">
        <f>D25/F25</f>
        <v>1</v>
      </c>
      <c r="AB25" s="1813">
        <f>D25/H25</f>
        <v>1</v>
      </c>
      <c r="AC25" s="1813">
        <f>D25/J25</f>
        <v>1</v>
      </c>
    </row>
    <row r="26" spans="1:29" ht="28.5">
      <c r="A26" s="466" t="s">
        <v>2563</v>
      </c>
      <c r="B26" s="71" t="s">
        <v>2714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99"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0"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0"/>
      <c r="Q27" s="776" t="str">
        <f t="shared" si="11"/>
        <v>成新率</v>
      </c>
      <c r="R27" s="777" t="s">
        <v>17</v>
      </c>
      <c r="S27" s="778" t="e">
        <f t="shared" si="12"/>
        <v>#N/A</v>
      </c>
      <c r="T27" s="777" t="s">
        <v>17</v>
      </c>
      <c r="U27" s="778" t="e">
        <f t="shared" si="13"/>
        <v>#N/A</v>
      </c>
      <c r="V27" s="777" t="s">
        <v>17</v>
      </c>
      <c r="W27" s="778" t="e">
        <f t="shared" si="14"/>
        <v>#N/A</v>
      </c>
      <c r="X27" s="779"/>
      <c r="Y27" s="3200"/>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0"/>
      <c r="Q28" s="1812" t="str">
        <f t="shared" si="11"/>
        <v>物业等级</v>
      </c>
      <c r="R28" s="774" t="s">
        <v>17</v>
      </c>
      <c r="S28" s="775">
        <f t="shared" si="12"/>
        <v>100</v>
      </c>
      <c r="T28" s="774" t="s">
        <v>17</v>
      </c>
      <c r="U28" s="775">
        <f t="shared" si="13"/>
        <v>100</v>
      </c>
      <c r="V28" s="774" t="s">
        <v>17</v>
      </c>
      <c r="W28" s="775">
        <f t="shared" si="14"/>
        <v>100</v>
      </c>
      <c r="X28" s="1815"/>
      <c r="Y28" s="3200"/>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0"/>
      <c r="Q29" s="1812" t="str">
        <f t="shared" si="11"/>
        <v>有无电梯</v>
      </c>
      <c r="R29" s="774" t="s">
        <v>17</v>
      </c>
      <c r="S29" s="775">
        <f t="shared" si="12"/>
        <v>100</v>
      </c>
      <c r="T29" s="774" t="s">
        <v>17</v>
      </c>
      <c r="U29" s="775">
        <f t="shared" si="13"/>
        <v>100</v>
      </c>
      <c r="V29" s="774" t="s">
        <v>17</v>
      </c>
      <c r="W29" s="775">
        <f t="shared" si="14"/>
        <v>100</v>
      </c>
      <c r="X29" s="1815"/>
      <c r="Y29" s="3200"/>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0"/>
      <c r="Q30" s="1812" t="str">
        <f t="shared" si="11"/>
        <v>建筑面积</v>
      </c>
      <c r="R30" s="774" t="s">
        <v>17</v>
      </c>
      <c r="S30" s="775" t="e">
        <f t="shared" si="12"/>
        <v>#N/A</v>
      </c>
      <c r="T30" s="774" t="s">
        <v>17</v>
      </c>
      <c r="U30" s="775" t="e">
        <f t="shared" si="13"/>
        <v>#N/A</v>
      </c>
      <c r="V30" s="774" t="s">
        <v>17</v>
      </c>
      <c r="W30" s="775" t="e">
        <f t="shared" si="14"/>
        <v>#N/A</v>
      </c>
      <c r="X30" s="1815"/>
      <c r="Y30" s="3200"/>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0"/>
      <c r="Q31" s="1797" t="str">
        <f t="shared" si="11"/>
        <v>是否封闭</v>
      </c>
      <c r="R31" s="770" t="s">
        <v>17</v>
      </c>
      <c r="S31" s="771">
        <f t="shared" si="12"/>
        <v>100</v>
      </c>
      <c r="T31" s="770" t="s">
        <v>17</v>
      </c>
      <c r="U31" s="771">
        <f t="shared" si="13"/>
        <v>100</v>
      </c>
      <c r="V31" s="770" t="s">
        <v>17</v>
      </c>
      <c r="W31" s="771">
        <f t="shared" si="14"/>
        <v>100</v>
      </c>
      <c r="X31" s="772"/>
      <c r="Y31" s="3200"/>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0" t="s">
        <v>2565</v>
      </c>
      <c r="Q32" s="1812">
        <f t="shared" si="11"/>
        <v>111</v>
      </c>
      <c r="R32" s="774" t="s">
        <v>17</v>
      </c>
      <c r="S32" s="775">
        <f t="shared" si="12"/>
        <v>100</v>
      </c>
      <c r="T32" s="774" t="s">
        <v>17</v>
      </c>
      <c r="U32" s="775">
        <f t="shared" si="13"/>
        <v>100</v>
      </c>
      <c r="V32" s="774" t="s">
        <v>17</v>
      </c>
      <c r="W32" s="775">
        <f t="shared" si="14"/>
        <v>100</v>
      </c>
      <c r="X32" s="1815"/>
      <c r="Y32" s="3200"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0"/>
      <c r="Q33" s="1812">
        <f t="shared" si="11"/>
        <v>111</v>
      </c>
      <c r="R33" s="774" t="s">
        <v>17</v>
      </c>
      <c r="S33" s="775">
        <f t="shared" si="12"/>
        <v>100</v>
      </c>
      <c r="T33" s="774" t="s">
        <v>17</v>
      </c>
      <c r="U33" s="775">
        <f t="shared" si="13"/>
        <v>100</v>
      </c>
      <c r="V33" s="774" t="s">
        <v>17</v>
      </c>
      <c r="W33" s="775">
        <f t="shared" si="14"/>
        <v>100</v>
      </c>
      <c r="X33" s="1815"/>
      <c r="Y33" s="3200"/>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00"/>
      <c r="Q34" s="1812">
        <f t="shared" si="11"/>
        <v>111</v>
      </c>
      <c r="R34" s="774" t="s">
        <v>17</v>
      </c>
      <c r="S34" s="775">
        <f t="shared" si="12"/>
        <v>100</v>
      </c>
      <c r="T34" s="774" t="s">
        <v>17</v>
      </c>
      <c r="U34" s="775">
        <f t="shared" si="13"/>
        <v>100</v>
      </c>
      <c r="V34" s="774" t="s">
        <v>17</v>
      </c>
      <c r="W34" s="775">
        <f t="shared" si="14"/>
        <v>100</v>
      </c>
      <c r="X34" s="1815"/>
      <c r="Y34" s="3200"/>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182" t="str">
        <f>A35</f>
        <v>成交单价（元/平方米）</v>
      </c>
      <c r="Q35" s="3182"/>
      <c r="R35" s="3238">
        <f>E35</f>
        <v>0</v>
      </c>
      <c r="S35" s="3238"/>
      <c r="T35" s="3238">
        <f>G35</f>
        <v>0</v>
      </c>
      <c r="U35" s="3238"/>
      <c r="V35" s="3238">
        <f>I35</f>
        <v>0</v>
      </c>
      <c r="W35" s="3238"/>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238" t="e">
        <f>IF(F1="售价",ROUND(PRODUCT(R35,AA7:AA34),0),ROUND(PRODUCT(R35,AA7:AA34),1))</f>
        <v>#DIV/0!</v>
      </c>
      <c r="S36" s="3238"/>
      <c r="T36" s="3238" t="e">
        <f>IF(F1="售价",ROUND(PRODUCT(T35,AB7:AB34),0),ROUND(PRODUCT(T35,AB7:AB34),1))</f>
        <v>#DIV/0!</v>
      </c>
      <c r="U36" s="3238"/>
      <c r="V36" s="3238" t="e">
        <f>IF(F1="售价",ROUND(PRODUCT(V35,AC7:AC34),0),ROUND(PRODUCT(V35,AC7:AC34),1))</f>
        <v>#DIV/0!</v>
      </c>
      <c r="W36" s="3238"/>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02" t="str">
        <f>A37</f>
        <v>估价对象XX用房的比较价值（楼面单价，元/平方米）</v>
      </c>
      <c r="Q37" s="3203"/>
      <c r="R37" s="3237" t="e">
        <f>IF(F1="售价",ROUND(AVERAGE(R36:V36),0),ROUND(AVERAGE(R36:V36),1))</f>
        <v>#DIV/0!</v>
      </c>
      <c r="S37" s="3237"/>
      <c r="T37" s="3237"/>
      <c r="U37" s="3237"/>
      <c r="V37" s="3237"/>
      <c r="W37" s="323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2019-8</v>
      </c>
      <c r="D46" s="1577">
        <f>EDATE(C46,-1)</f>
        <v>43647</v>
      </c>
      <c r="E46" s="1577">
        <f t="shared" ref="E46:O46" si="16">EDATE(D46,-1)</f>
        <v>43617</v>
      </c>
      <c r="F46" s="1577">
        <f t="shared" si="16"/>
        <v>43586</v>
      </c>
      <c r="G46" s="1577">
        <f t="shared" si="16"/>
        <v>43556</v>
      </c>
      <c r="H46" s="1577">
        <f t="shared" si="16"/>
        <v>43525</v>
      </c>
      <c r="I46" s="1577">
        <f t="shared" si="16"/>
        <v>43497</v>
      </c>
      <c r="J46" s="1577">
        <f t="shared" si="16"/>
        <v>43466</v>
      </c>
      <c r="K46" s="1577">
        <f t="shared" si="16"/>
        <v>43435</v>
      </c>
      <c r="L46" s="1577">
        <f t="shared" si="16"/>
        <v>43405</v>
      </c>
      <c r="M46" s="1577">
        <f t="shared" si="16"/>
        <v>43374</v>
      </c>
      <c r="N46" s="1577">
        <f t="shared" si="16"/>
        <v>43344</v>
      </c>
      <c r="O46" s="1577">
        <f t="shared" si="16"/>
        <v>43313</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G9" sqref="G9"/>
    </sheetView>
  </sheetViews>
  <sheetFormatPr defaultRowHeight="13.5"/>
  <cols>
    <col min="1" max="1" width="37.625" style="2948" customWidth="1"/>
    <col min="2" max="2" width="6.25" style="2948" customWidth="1"/>
    <col min="3" max="3" width="11.75" style="2948" customWidth="1"/>
    <col min="4" max="5" width="13.875" style="2948" customWidth="1"/>
    <col min="6" max="6" width="6.25" style="2948" customWidth="1"/>
    <col min="7" max="7" width="7.875" style="2948" customWidth="1"/>
    <col min="8" max="8" width="12.125" style="2948" customWidth="1"/>
    <col min="9" max="10" width="10.625" style="2948" customWidth="1"/>
    <col min="11" max="11" width="14.375" style="2948" customWidth="1"/>
    <col min="12" max="12" width="6.25" style="2948" customWidth="1"/>
    <col min="13" max="13" width="16" style="2948" customWidth="1"/>
    <col min="14" max="14" width="7.875" style="2948" customWidth="1"/>
    <col min="15" max="15" width="12.75" style="2948" bestFit="1" customWidth="1"/>
    <col min="16" max="256" width="9" style="2948"/>
    <col min="257" max="257" width="37.625" style="2948" customWidth="1"/>
    <col min="258" max="258" width="6.25" style="2948" customWidth="1"/>
    <col min="259" max="259" width="11.75" style="2948" customWidth="1"/>
    <col min="260" max="261" width="13.875" style="2948" customWidth="1"/>
    <col min="262" max="262" width="6.25" style="2948" customWidth="1"/>
    <col min="263" max="263" width="7.875" style="2948" customWidth="1"/>
    <col min="264" max="264" width="9" style="2948" customWidth="1"/>
    <col min="265" max="266" width="10.625" style="2948" customWidth="1"/>
    <col min="267" max="267" width="14.375" style="2948" customWidth="1"/>
    <col min="268" max="268" width="6.25" style="2948" customWidth="1"/>
    <col min="269" max="269" width="147.75" style="2948" customWidth="1"/>
    <col min="270" max="270" width="7.875" style="2948" customWidth="1"/>
    <col min="271" max="512" width="9" style="2948"/>
    <col min="513" max="513" width="37.625" style="2948" customWidth="1"/>
    <col min="514" max="514" width="6.25" style="2948" customWidth="1"/>
    <col min="515" max="515" width="11.75" style="2948" customWidth="1"/>
    <col min="516" max="517" width="13.875" style="2948" customWidth="1"/>
    <col min="518" max="518" width="6.25" style="2948" customWidth="1"/>
    <col min="519" max="519" width="7.875" style="2948" customWidth="1"/>
    <col min="520" max="520" width="9" style="2948" customWidth="1"/>
    <col min="521" max="522" width="10.625" style="2948" customWidth="1"/>
    <col min="523" max="523" width="14.375" style="2948" customWidth="1"/>
    <col min="524" max="524" width="6.25" style="2948" customWidth="1"/>
    <col min="525" max="525" width="147.75" style="2948" customWidth="1"/>
    <col min="526" max="526" width="7.875" style="2948" customWidth="1"/>
    <col min="527" max="768" width="9" style="2948"/>
    <col min="769" max="769" width="37.625" style="2948" customWidth="1"/>
    <col min="770" max="770" width="6.25" style="2948" customWidth="1"/>
    <col min="771" max="771" width="11.75" style="2948" customWidth="1"/>
    <col min="772" max="773" width="13.875" style="2948" customWidth="1"/>
    <col min="774" max="774" width="6.25" style="2948" customWidth="1"/>
    <col min="775" max="775" width="7.875" style="2948" customWidth="1"/>
    <col min="776" max="776" width="9" style="2948" customWidth="1"/>
    <col min="777" max="778" width="10.625" style="2948" customWidth="1"/>
    <col min="779" max="779" width="14.375" style="2948" customWidth="1"/>
    <col min="780" max="780" width="6.25" style="2948" customWidth="1"/>
    <col min="781" max="781" width="147.75" style="2948" customWidth="1"/>
    <col min="782" max="782" width="7.875" style="2948" customWidth="1"/>
    <col min="783" max="1024" width="9" style="2948"/>
    <col min="1025" max="1025" width="37.625" style="2948" customWidth="1"/>
    <col min="1026" max="1026" width="6.25" style="2948" customWidth="1"/>
    <col min="1027" max="1027" width="11.75" style="2948" customWidth="1"/>
    <col min="1028" max="1029" width="13.875" style="2948" customWidth="1"/>
    <col min="1030" max="1030" width="6.25" style="2948" customWidth="1"/>
    <col min="1031" max="1031" width="7.875" style="2948" customWidth="1"/>
    <col min="1032" max="1032" width="9" style="2948" customWidth="1"/>
    <col min="1033" max="1034" width="10.625" style="2948" customWidth="1"/>
    <col min="1035" max="1035" width="14.375" style="2948" customWidth="1"/>
    <col min="1036" max="1036" width="6.25" style="2948" customWidth="1"/>
    <col min="1037" max="1037" width="147.75" style="2948" customWidth="1"/>
    <col min="1038" max="1038" width="7.875" style="2948" customWidth="1"/>
    <col min="1039" max="1280" width="9" style="2948"/>
    <col min="1281" max="1281" width="37.625" style="2948" customWidth="1"/>
    <col min="1282" max="1282" width="6.25" style="2948" customWidth="1"/>
    <col min="1283" max="1283" width="11.75" style="2948" customWidth="1"/>
    <col min="1284" max="1285" width="13.875" style="2948" customWidth="1"/>
    <col min="1286" max="1286" width="6.25" style="2948" customWidth="1"/>
    <col min="1287" max="1287" width="7.875" style="2948" customWidth="1"/>
    <col min="1288" max="1288" width="9" style="2948" customWidth="1"/>
    <col min="1289" max="1290" width="10.625" style="2948" customWidth="1"/>
    <col min="1291" max="1291" width="14.375" style="2948" customWidth="1"/>
    <col min="1292" max="1292" width="6.25" style="2948" customWidth="1"/>
    <col min="1293" max="1293" width="147.75" style="2948" customWidth="1"/>
    <col min="1294" max="1294" width="7.875" style="2948" customWidth="1"/>
    <col min="1295" max="1536" width="9" style="2948"/>
    <col min="1537" max="1537" width="37.625" style="2948" customWidth="1"/>
    <col min="1538" max="1538" width="6.25" style="2948" customWidth="1"/>
    <col min="1539" max="1539" width="11.75" style="2948" customWidth="1"/>
    <col min="1540" max="1541" width="13.875" style="2948" customWidth="1"/>
    <col min="1542" max="1542" width="6.25" style="2948" customWidth="1"/>
    <col min="1543" max="1543" width="7.875" style="2948" customWidth="1"/>
    <col min="1544" max="1544" width="9" style="2948" customWidth="1"/>
    <col min="1545" max="1546" width="10.625" style="2948" customWidth="1"/>
    <col min="1547" max="1547" width="14.375" style="2948" customWidth="1"/>
    <col min="1548" max="1548" width="6.25" style="2948" customWidth="1"/>
    <col min="1549" max="1549" width="147.75" style="2948" customWidth="1"/>
    <col min="1550" max="1550" width="7.875" style="2948" customWidth="1"/>
    <col min="1551" max="1792" width="9" style="2948"/>
    <col min="1793" max="1793" width="37.625" style="2948" customWidth="1"/>
    <col min="1794" max="1794" width="6.25" style="2948" customWidth="1"/>
    <col min="1795" max="1795" width="11.75" style="2948" customWidth="1"/>
    <col min="1796" max="1797" width="13.875" style="2948" customWidth="1"/>
    <col min="1798" max="1798" width="6.25" style="2948" customWidth="1"/>
    <col min="1799" max="1799" width="7.875" style="2948" customWidth="1"/>
    <col min="1800" max="1800" width="9" style="2948" customWidth="1"/>
    <col min="1801" max="1802" width="10.625" style="2948" customWidth="1"/>
    <col min="1803" max="1803" width="14.375" style="2948" customWidth="1"/>
    <col min="1804" max="1804" width="6.25" style="2948" customWidth="1"/>
    <col min="1805" max="1805" width="147.75" style="2948" customWidth="1"/>
    <col min="1806" max="1806" width="7.875" style="2948" customWidth="1"/>
    <col min="1807" max="2048" width="9" style="2948"/>
    <col min="2049" max="2049" width="37.625" style="2948" customWidth="1"/>
    <col min="2050" max="2050" width="6.25" style="2948" customWidth="1"/>
    <col min="2051" max="2051" width="11.75" style="2948" customWidth="1"/>
    <col min="2052" max="2053" width="13.875" style="2948" customWidth="1"/>
    <col min="2054" max="2054" width="6.25" style="2948" customWidth="1"/>
    <col min="2055" max="2055" width="7.875" style="2948" customWidth="1"/>
    <col min="2056" max="2056" width="9" style="2948" customWidth="1"/>
    <col min="2057" max="2058" width="10.625" style="2948" customWidth="1"/>
    <col min="2059" max="2059" width="14.375" style="2948" customWidth="1"/>
    <col min="2060" max="2060" width="6.25" style="2948" customWidth="1"/>
    <col min="2061" max="2061" width="147.75" style="2948" customWidth="1"/>
    <col min="2062" max="2062" width="7.875" style="2948" customWidth="1"/>
    <col min="2063" max="2304" width="9" style="2948"/>
    <col min="2305" max="2305" width="37.625" style="2948" customWidth="1"/>
    <col min="2306" max="2306" width="6.25" style="2948" customWidth="1"/>
    <col min="2307" max="2307" width="11.75" style="2948" customWidth="1"/>
    <col min="2308" max="2309" width="13.875" style="2948" customWidth="1"/>
    <col min="2310" max="2310" width="6.25" style="2948" customWidth="1"/>
    <col min="2311" max="2311" width="7.875" style="2948" customWidth="1"/>
    <col min="2312" max="2312" width="9" style="2948" customWidth="1"/>
    <col min="2313" max="2314" width="10.625" style="2948" customWidth="1"/>
    <col min="2315" max="2315" width="14.375" style="2948" customWidth="1"/>
    <col min="2316" max="2316" width="6.25" style="2948" customWidth="1"/>
    <col min="2317" max="2317" width="147.75" style="2948" customWidth="1"/>
    <col min="2318" max="2318" width="7.875" style="2948" customWidth="1"/>
    <col min="2319" max="2560" width="9" style="2948"/>
    <col min="2561" max="2561" width="37.625" style="2948" customWidth="1"/>
    <col min="2562" max="2562" width="6.25" style="2948" customWidth="1"/>
    <col min="2563" max="2563" width="11.75" style="2948" customWidth="1"/>
    <col min="2564" max="2565" width="13.875" style="2948" customWidth="1"/>
    <col min="2566" max="2566" width="6.25" style="2948" customWidth="1"/>
    <col min="2567" max="2567" width="7.875" style="2948" customWidth="1"/>
    <col min="2568" max="2568" width="9" style="2948" customWidth="1"/>
    <col min="2569" max="2570" width="10.625" style="2948" customWidth="1"/>
    <col min="2571" max="2571" width="14.375" style="2948" customWidth="1"/>
    <col min="2572" max="2572" width="6.25" style="2948" customWidth="1"/>
    <col min="2573" max="2573" width="147.75" style="2948" customWidth="1"/>
    <col min="2574" max="2574" width="7.875" style="2948" customWidth="1"/>
    <col min="2575" max="2816" width="9" style="2948"/>
    <col min="2817" max="2817" width="37.625" style="2948" customWidth="1"/>
    <col min="2818" max="2818" width="6.25" style="2948" customWidth="1"/>
    <col min="2819" max="2819" width="11.75" style="2948" customWidth="1"/>
    <col min="2820" max="2821" width="13.875" style="2948" customWidth="1"/>
    <col min="2822" max="2822" width="6.25" style="2948" customWidth="1"/>
    <col min="2823" max="2823" width="7.875" style="2948" customWidth="1"/>
    <col min="2824" max="2824" width="9" style="2948" customWidth="1"/>
    <col min="2825" max="2826" width="10.625" style="2948" customWidth="1"/>
    <col min="2827" max="2827" width="14.375" style="2948" customWidth="1"/>
    <col min="2828" max="2828" width="6.25" style="2948" customWidth="1"/>
    <col min="2829" max="2829" width="147.75" style="2948" customWidth="1"/>
    <col min="2830" max="2830" width="7.875" style="2948" customWidth="1"/>
    <col min="2831" max="3072" width="9" style="2948"/>
    <col min="3073" max="3073" width="37.625" style="2948" customWidth="1"/>
    <col min="3074" max="3074" width="6.25" style="2948" customWidth="1"/>
    <col min="3075" max="3075" width="11.75" style="2948" customWidth="1"/>
    <col min="3076" max="3077" width="13.875" style="2948" customWidth="1"/>
    <col min="3078" max="3078" width="6.25" style="2948" customWidth="1"/>
    <col min="3079" max="3079" width="7.875" style="2948" customWidth="1"/>
    <col min="3080" max="3080" width="9" style="2948" customWidth="1"/>
    <col min="3081" max="3082" width="10.625" style="2948" customWidth="1"/>
    <col min="3083" max="3083" width="14.375" style="2948" customWidth="1"/>
    <col min="3084" max="3084" width="6.25" style="2948" customWidth="1"/>
    <col min="3085" max="3085" width="147.75" style="2948" customWidth="1"/>
    <col min="3086" max="3086" width="7.875" style="2948" customWidth="1"/>
    <col min="3087" max="3328" width="9" style="2948"/>
    <col min="3329" max="3329" width="37.625" style="2948" customWidth="1"/>
    <col min="3330" max="3330" width="6.25" style="2948" customWidth="1"/>
    <col min="3331" max="3331" width="11.75" style="2948" customWidth="1"/>
    <col min="3332" max="3333" width="13.875" style="2948" customWidth="1"/>
    <col min="3334" max="3334" width="6.25" style="2948" customWidth="1"/>
    <col min="3335" max="3335" width="7.875" style="2948" customWidth="1"/>
    <col min="3336" max="3336" width="9" style="2948" customWidth="1"/>
    <col min="3337" max="3338" width="10.625" style="2948" customWidth="1"/>
    <col min="3339" max="3339" width="14.375" style="2948" customWidth="1"/>
    <col min="3340" max="3340" width="6.25" style="2948" customWidth="1"/>
    <col min="3341" max="3341" width="147.75" style="2948" customWidth="1"/>
    <col min="3342" max="3342" width="7.875" style="2948" customWidth="1"/>
    <col min="3343" max="3584" width="9" style="2948"/>
    <col min="3585" max="3585" width="37.625" style="2948" customWidth="1"/>
    <col min="3586" max="3586" width="6.25" style="2948" customWidth="1"/>
    <col min="3587" max="3587" width="11.75" style="2948" customWidth="1"/>
    <col min="3588" max="3589" width="13.875" style="2948" customWidth="1"/>
    <col min="3590" max="3590" width="6.25" style="2948" customWidth="1"/>
    <col min="3591" max="3591" width="7.875" style="2948" customWidth="1"/>
    <col min="3592" max="3592" width="9" style="2948" customWidth="1"/>
    <col min="3593" max="3594" width="10.625" style="2948" customWidth="1"/>
    <col min="3595" max="3595" width="14.375" style="2948" customWidth="1"/>
    <col min="3596" max="3596" width="6.25" style="2948" customWidth="1"/>
    <col min="3597" max="3597" width="147.75" style="2948" customWidth="1"/>
    <col min="3598" max="3598" width="7.875" style="2948" customWidth="1"/>
    <col min="3599" max="3840" width="9" style="2948"/>
    <col min="3841" max="3841" width="37.625" style="2948" customWidth="1"/>
    <col min="3842" max="3842" width="6.25" style="2948" customWidth="1"/>
    <col min="3843" max="3843" width="11.75" style="2948" customWidth="1"/>
    <col min="3844" max="3845" width="13.875" style="2948" customWidth="1"/>
    <col min="3846" max="3846" width="6.25" style="2948" customWidth="1"/>
    <col min="3847" max="3847" width="7.875" style="2948" customWidth="1"/>
    <col min="3848" max="3848" width="9" style="2948" customWidth="1"/>
    <col min="3849" max="3850" width="10.625" style="2948" customWidth="1"/>
    <col min="3851" max="3851" width="14.375" style="2948" customWidth="1"/>
    <col min="3852" max="3852" width="6.25" style="2948" customWidth="1"/>
    <col min="3853" max="3853" width="147.75" style="2948" customWidth="1"/>
    <col min="3854" max="3854" width="7.875" style="2948" customWidth="1"/>
    <col min="3855" max="4096" width="9" style="2948"/>
    <col min="4097" max="4097" width="37.625" style="2948" customWidth="1"/>
    <col min="4098" max="4098" width="6.25" style="2948" customWidth="1"/>
    <col min="4099" max="4099" width="11.75" style="2948" customWidth="1"/>
    <col min="4100" max="4101" width="13.875" style="2948" customWidth="1"/>
    <col min="4102" max="4102" width="6.25" style="2948" customWidth="1"/>
    <col min="4103" max="4103" width="7.875" style="2948" customWidth="1"/>
    <col min="4104" max="4104" width="9" style="2948" customWidth="1"/>
    <col min="4105" max="4106" width="10.625" style="2948" customWidth="1"/>
    <col min="4107" max="4107" width="14.375" style="2948" customWidth="1"/>
    <col min="4108" max="4108" width="6.25" style="2948" customWidth="1"/>
    <col min="4109" max="4109" width="147.75" style="2948" customWidth="1"/>
    <col min="4110" max="4110" width="7.875" style="2948" customWidth="1"/>
    <col min="4111" max="4352" width="9" style="2948"/>
    <col min="4353" max="4353" width="37.625" style="2948" customWidth="1"/>
    <col min="4354" max="4354" width="6.25" style="2948" customWidth="1"/>
    <col min="4355" max="4355" width="11.75" style="2948" customWidth="1"/>
    <col min="4356" max="4357" width="13.875" style="2948" customWidth="1"/>
    <col min="4358" max="4358" width="6.25" style="2948" customWidth="1"/>
    <col min="4359" max="4359" width="7.875" style="2948" customWidth="1"/>
    <col min="4360" max="4360" width="9" style="2948" customWidth="1"/>
    <col min="4361" max="4362" width="10.625" style="2948" customWidth="1"/>
    <col min="4363" max="4363" width="14.375" style="2948" customWidth="1"/>
    <col min="4364" max="4364" width="6.25" style="2948" customWidth="1"/>
    <col min="4365" max="4365" width="147.75" style="2948" customWidth="1"/>
    <col min="4366" max="4366" width="7.875" style="2948" customWidth="1"/>
    <col min="4367" max="4608" width="9" style="2948"/>
    <col min="4609" max="4609" width="37.625" style="2948" customWidth="1"/>
    <col min="4610" max="4610" width="6.25" style="2948" customWidth="1"/>
    <col min="4611" max="4611" width="11.75" style="2948" customWidth="1"/>
    <col min="4612" max="4613" width="13.875" style="2948" customWidth="1"/>
    <col min="4614" max="4614" width="6.25" style="2948" customWidth="1"/>
    <col min="4615" max="4615" width="7.875" style="2948" customWidth="1"/>
    <col min="4616" max="4616" width="9" style="2948" customWidth="1"/>
    <col min="4617" max="4618" width="10.625" style="2948" customWidth="1"/>
    <col min="4619" max="4619" width="14.375" style="2948" customWidth="1"/>
    <col min="4620" max="4620" width="6.25" style="2948" customWidth="1"/>
    <col min="4621" max="4621" width="147.75" style="2948" customWidth="1"/>
    <col min="4622" max="4622" width="7.875" style="2948" customWidth="1"/>
    <col min="4623" max="4864" width="9" style="2948"/>
    <col min="4865" max="4865" width="37.625" style="2948" customWidth="1"/>
    <col min="4866" max="4866" width="6.25" style="2948" customWidth="1"/>
    <col min="4867" max="4867" width="11.75" style="2948" customWidth="1"/>
    <col min="4868" max="4869" width="13.875" style="2948" customWidth="1"/>
    <col min="4870" max="4870" width="6.25" style="2948" customWidth="1"/>
    <col min="4871" max="4871" width="7.875" style="2948" customWidth="1"/>
    <col min="4872" max="4872" width="9" style="2948" customWidth="1"/>
    <col min="4873" max="4874" width="10.625" style="2948" customWidth="1"/>
    <col min="4875" max="4875" width="14.375" style="2948" customWidth="1"/>
    <col min="4876" max="4876" width="6.25" style="2948" customWidth="1"/>
    <col min="4877" max="4877" width="147.75" style="2948" customWidth="1"/>
    <col min="4878" max="4878" width="7.875" style="2948" customWidth="1"/>
    <col min="4879" max="5120" width="9" style="2948"/>
    <col min="5121" max="5121" width="37.625" style="2948" customWidth="1"/>
    <col min="5122" max="5122" width="6.25" style="2948" customWidth="1"/>
    <col min="5123" max="5123" width="11.75" style="2948" customWidth="1"/>
    <col min="5124" max="5125" width="13.875" style="2948" customWidth="1"/>
    <col min="5126" max="5126" width="6.25" style="2948" customWidth="1"/>
    <col min="5127" max="5127" width="7.875" style="2948" customWidth="1"/>
    <col min="5128" max="5128" width="9" style="2948" customWidth="1"/>
    <col min="5129" max="5130" width="10.625" style="2948" customWidth="1"/>
    <col min="5131" max="5131" width="14.375" style="2948" customWidth="1"/>
    <col min="5132" max="5132" width="6.25" style="2948" customWidth="1"/>
    <col min="5133" max="5133" width="147.75" style="2948" customWidth="1"/>
    <col min="5134" max="5134" width="7.875" style="2948" customWidth="1"/>
    <col min="5135" max="5376" width="9" style="2948"/>
    <col min="5377" max="5377" width="37.625" style="2948" customWidth="1"/>
    <col min="5378" max="5378" width="6.25" style="2948" customWidth="1"/>
    <col min="5379" max="5379" width="11.75" style="2948" customWidth="1"/>
    <col min="5380" max="5381" width="13.875" style="2948" customWidth="1"/>
    <col min="5382" max="5382" width="6.25" style="2948" customWidth="1"/>
    <col min="5383" max="5383" width="7.875" style="2948" customWidth="1"/>
    <col min="5384" max="5384" width="9" style="2948" customWidth="1"/>
    <col min="5385" max="5386" width="10.625" style="2948" customWidth="1"/>
    <col min="5387" max="5387" width="14.375" style="2948" customWidth="1"/>
    <col min="5388" max="5388" width="6.25" style="2948" customWidth="1"/>
    <col min="5389" max="5389" width="147.75" style="2948" customWidth="1"/>
    <col min="5390" max="5390" width="7.875" style="2948" customWidth="1"/>
    <col min="5391" max="5632" width="9" style="2948"/>
    <col min="5633" max="5633" width="37.625" style="2948" customWidth="1"/>
    <col min="5634" max="5634" width="6.25" style="2948" customWidth="1"/>
    <col min="5635" max="5635" width="11.75" style="2948" customWidth="1"/>
    <col min="5636" max="5637" width="13.875" style="2948" customWidth="1"/>
    <col min="5638" max="5638" width="6.25" style="2948" customWidth="1"/>
    <col min="5639" max="5639" width="7.875" style="2948" customWidth="1"/>
    <col min="5640" max="5640" width="9" style="2948" customWidth="1"/>
    <col min="5641" max="5642" width="10.625" style="2948" customWidth="1"/>
    <col min="5643" max="5643" width="14.375" style="2948" customWidth="1"/>
    <col min="5644" max="5644" width="6.25" style="2948" customWidth="1"/>
    <col min="5645" max="5645" width="147.75" style="2948" customWidth="1"/>
    <col min="5646" max="5646" width="7.875" style="2948" customWidth="1"/>
    <col min="5647" max="5888" width="9" style="2948"/>
    <col min="5889" max="5889" width="37.625" style="2948" customWidth="1"/>
    <col min="5890" max="5890" width="6.25" style="2948" customWidth="1"/>
    <col min="5891" max="5891" width="11.75" style="2948" customWidth="1"/>
    <col min="5892" max="5893" width="13.875" style="2948" customWidth="1"/>
    <col min="5894" max="5894" width="6.25" style="2948" customWidth="1"/>
    <col min="5895" max="5895" width="7.875" style="2948" customWidth="1"/>
    <col min="5896" max="5896" width="9" style="2948" customWidth="1"/>
    <col min="5897" max="5898" width="10.625" style="2948" customWidth="1"/>
    <col min="5899" max="5899" width="14.375" style="2948" customWidth="1"/>
    <col min="5900" max="5900" width="6.25" style="2948" customWidth="1"/>
    <col min="5901" max="5901" width="147.75" style="2948" customWidth="1"/>
    <col min="5902" max="5902" width="7.875" style="2948" customWidth="1"/>
    <col min="5903" max="6144" width="9" style="2948"/>
    <col min="6145" max="6145" width="37.625" style="2948" customWidth="1"/>
    <col min="6146" max="6146" width="6.25" style="2948" customWidth="1"/>
    <col min="6147" max="6147" width="11.75" style="2948" customWidth="1"/>
    <col min="6148" max="6149" width="13.875" style="2948" customWidth="1"/>
    <col min="6150" max="6150" width="6.25" style="2948" customWidth="1"/>
    <col min="6151" max="6151" width="7.875" style="2948" customWidth="1"/>
    <col min="6152" max="6152" width="9" style="2948" customWidth="1"/>
    <col min="6153" max="6154" width="10.625" style="2948" customWidth="1"/>
    <col min="6155" max="6155" width="14.375" style="2948" customWidth="1"/>
    <col min="6156" max="6156" width="6.25" style="2948" customWidth="1"/>
    <col min="6157" max="6157" width="147.75" style="2948" customWidth="1"/>
    <col min="6158" max="6158" width="7.875" style="2948" customWidth="1"/>
    <col min="6159" max="6400" width="9" style="2948"/>
    <col min="6401" max="6401" width="37.625" style="2948" customWidth="1"/>
    <col min="6402" max="6402" width="6.25" style="2948" customWidth="1"/>
    <col min="6403" max="6403" width="11.75" style="2948" customWidth="1"/>
    <col min="6404" max="6405" width="13.875" style="2948" customWidth="1"/>
    <col min="6406" max="6406" width="6.25" style="2948" customWidth="1"/>
    <col min="6407" max="6407" width="7.875" style="2948" customWidth="1"/>
    <col min="6408" max="6408" width="9" style="2948" customWidth="1"/>
    <col min="6409" max="6410" width="10.625" style="2948" customWidth="1"/>
    <col min="6411" max="6411" width="14.375" style="2948" customWidth="1"/>
    <col min="6412" max="6412" width="6.25" style="2948" customWidth="1"/>
    <col min="6413" max="6413" width="147.75" style="2948" customWidth="1"/>
    <col min="6414" max="6414" width="7.875" style="2948" customWidth="1"/>
    <col min="6415" max="6656" width="9" style="2948"/>
    <col min="6657" max="6657" width="37.625" style="2948" customWidth="1"/>
    <col min="6658" max="6658" width="6.25" style="2948" customWidth="1"/>
    <col min="6659" max="6659" width="11.75" style="2948" customWidth="1"/>
    <col min="6660" max="6661" width="13.875" style="2948" customWidth="1"/>
    <col min="6662" max="6662" width="6.25" style="2948" customWidth="1"/>
    <col min="6663" max="6663" width="7.875" style="2948" customWidth="1"/>
    <col min="6664" max="6664" width="9" style="2948" customWidth="1"/>
    <col min="6665" max="6666" width="10.625" style="2948" customWidth="1"/>
    <col min="6667" max="6667" width="14.375" style="2948" customWidth="1"/>
    <col min="6668" max="6668" width="6.25" style="2948" customWidth="1"/>
    <col min="6669" max="6669" width="147.75" style="2948" customWidth="1"/>
    <col min="6670" max="6670" width="7.875" style="2948" customWidth="1"/>
    <col min="6671" max="6912" width="9" style="2948"/>
    <col min="6913" max="6913" width="37.625" style="2948" customWidth="1"/>
    <col min="6914" max="6914" width="6.25" style="2948" customWidth="1"/>
    <col min="6915" max="6915" width="11.75" style="2948" customWidth="1"/>
    <col min="6916" max="6917" width="13.875" style="2948" customWidth="1"/>
    <col min="6918" max="6918" width="6.25" style="2948" customWidth="1"/>
    <col min="6919" max="6919" width="7.875" style="2948" customWidth="1"/>
    <col min="6920" max="6920" width="9" style="2948" customWidth="1"/>
    <col min="6921" max="6922" width="10.625" style="2948" customWidth="1"/>
    <col min="6923" max="6923" width="14.375" style="2948" customWidth="1"/>
    <col min="6924" max="6924" width="6.25" style="2948" customWidth="1"/>
    <col min="6925" max="6925" width="147.75" style="2948" customWidth="1"/>
    <col min="6926" max="6926" width="7.875" style="2948" customWidth="1"/>
    <col min="6927" max="7168" width="9" style="2948"/>
    <col min="7169" max="7169" width="37.625" style="2948" customWidth="1"/>
    <col min="7170" max="7170" width="6.25" style="2948" customWidth="1"/>
    <col min="7171" max="7171" width="11.75" style="2948" customWidth="1"/>
    <col min="7172" max="7173" width="13.875" style="2948" customWidth="1"/>
    <col min="7174" max="7174" width="6.25" style="2948" customWidth="1"/>
    <col min="7175" max="7175" width="7.875" style="2948" customWidth="1"/>
    <col min="7176" max="7176" width="9" style="2948" customWidth="1"/>
    <col min="7177" max="7178" width="10.625" style="2948" customWidth="1"/>
    <col min="7179" max="7179" width="14.375" style="2948" customWidth="1"/>
    <col min="7180" max="7180" width="6.25" style="2948" customWidth="1"/>
    <col min="7181" max="7181" width="147.75" style="2948" customWidth="1"/>
    <col min="7182" max="7182" width="7.875" style="2948" customWidth="1"/>
    <col min="7183" max="7424" width="9" style="2948"/>
    <col min="7425" max="7425" width="37.625" style="2948" customWidth="1"/>
    <col min="7426" max="7426" width="6.25" style="2948" customWidth="1"/>
    <col min="7427" max="7427" width="11.75" style="2948" customWidth="1"/>
    <col min="7428" max="7429" width="13.875" style="2948" customWidth="1"/>
    <col min="7430" max="7430" width="6.25" style="2948" customWidth="1"/>
    <col min="7431" max="7431" width="7.875" style="2948" customWidth="1"/>
    <col min="7432" max="7432" width="9" style="2948" customWidth="1"/>
    <col min="7433" max="7434" width="10.625" style="2948" customWidth="1"/>
    <col min="7435" max="7435" width="14.375" style="2948" customWidth="1"/>
    <col min="7436" max="7436" width="6.25" style="2948" customWidth="1"/>
    <col min="7437" max="7437" width="147.75" style="2948" customWidth="1"/>
    <col min="7438" max="7438" width="7.875" style="2948" customWidth="1"/>
    <col min="7439" max="7680" width="9" style="2948"/>
    <col min="7681" max="7681" width="37.625" style="2948" customWidth="1"/>
    <col min="7682" max="7682" width="6.25" style="2948" customWidth="1"/>
    <col min="7683" max="7683" width="11.75" style="2948" customWidth="1"/>
    <col min="7684" max="7685" width="13.875" style="2948" customWidth="1"/>
    <col min="7686" max="7686" width="6.25" style="2948" customWidth="1"/>
    <col min="7687" max="7687" width="7.875" style="2948" customWidth="1"/>
    <col min="7688" max="7688" width="9" style="2948" customWidth="1"/>
    <col min="7689" max="7690" width="10.625" style="2948" customWidth="1"/>
    <col min="7691" max="7691" width="14.375" style="2948" customWidth="1"/>
    <col min="7692" max="7692" width="6.25" style="2948" customWidth="1"/>
    <col min="7693" max="7693" width="147.75" style="2948" customWidth="1"/>
    <col min="7694" max="7694" width="7.875" style="2948" customWidth="1"/>
    <col min="7695" max="7936" width="9" style="2948"/>
    <col min="7937" max="7937" width="37.625" style="2948" customWidth="1"/>
    <col min="7938" max="7938" width="6.25" style="2948" customWidth="1"/>
    <col min="7939" max="7939" width="11.75" style="2948" customWidth="1"/>
    <col min="7940" max="7941" width="13.875" style="2948" customWidth="1"/>
    <col min="7942" max="7942" width="6.25" style="2948" customWidth="1"/>
    <col min="7943" max="7943" width="7.875" style="2948" customWidth="1"/>
    <col min="7944" max="7944" width="9" style="2948" customWidth="1"/>
    <col min="7945" max="7946" width="10.625" style="2948" customWidth="1"/>
    <col min="7947" max="7947" width="14.375" style="2948" customWidth="1"/>
    <col min="7948" max="7948" width="6.25" style="2948" customWidth="1"/>
    <col min="7949" max="7949" width="147.75" style="2948" customWidth="1"/>
    <col min="7950" max="7950" width="7.875" style="2948" customWidth="1"/>
    <col min="7951" max="8192" width="9" style="2948"/>
    <col min="8193" max="8193" width="37.625" style="2948" customWidth="1"/>
    <col min="8194" max="8194" width="6.25" style="2948" customWidth="1"/>
    <col min="8195" max="8195" width="11.75" style="2948" customWidth="1"/>
    <col min="8196" max="8197" width="13.875" style="2948" customWidth="1"/>
    <col min="8198" max="8198" width="6.25" style="2948" customWidth="1"/>
    <col min="8199" max="8199" width="7.875" style="2948" customWidth="1"/>
    <col min="8200" max="8200" width="9" style="2948" customWidth="1"/>
    <col min="8201" max="8202" width="10.625" style="2948" customWidth="1"/>
    <col min="8203" max="8203" width="14.375" style="2948" customWidth="1"/>
    <col min="8204" max="8204" width="6.25" style="2948" customWidth="1"/>
    <col min="8205" max="8205" width="147.75" style="2948" customWidth="1"/>
    <col min="8206" max="8206" width="7.875" style="2948" customWidth="1"/>
    <col min="8207" max="8448" width="9" style="2948"/>
    <col min="8449" max="8449" width="37.625" style="2948" customWidth="1"/>
    <col min="8450" max="8450" width="6.25" style="2948" customWidth="1"/>
    <col min="8451" max="8451" width="11.75" style="2948" customWidth="1"/>
    <col min="8452" max="8453" width="13.875" style="2948" customWidth="1"/>
    <col min="8454" max="8454" width="6.25" style="2948" customWidth="1"/>
    <col min="8455" max="8455" width="7.875" style="2948" customWidth="1"/>
    <col min="8456" max="8456" width="9" style="2948" customWidth="1"/>
    <col min="8457" max="8458" width="10.625" style="2948" customWidth="1"/>
    <col min="8459" max="8459" width="14.375" style="2948" customWidth="1"/>
    <col min="8460" max="8460" width="6.25" style="2948" customWidth="1"/>
    <col min="8461" max="8461" width="147.75" style="2948" customWidth="1"/>
    <col min="8462" max="8462" width="7.875" style="2948" customWidth="1"/>
    <col min="8463" max="8704" width="9" style="2948"/>
    <col min="8705" max="8705" width="37.625" style="2948" customWidth="1"/>
    <col min="8706" max="8706" width="6.25" style="2948" customWidth="1"/>
    <col min="8707" max="8707" width="11.75" style="2948" customWidth="1"/>
    <col min="8708" max="8709" width="13.875" style="2948" customWidth="1"/>
    <col min="8710" max="8710" width="6.25" style="2948" customWidth="1"/>
    <col min="8711" max="8711" width="7.875" style="2948" customWidth="1"/>
    <col min="8712" max="8712" width="9" style="2948" customWidth="1"/>
    <col min="8713" max="8714" width="10.625" style="2948" customWidth="1"/>
    <col min="8715" max="8715" width="14.375" style="2948" customWidth="1"/>
    <col min="8716" max="8716" width="6.25" style="2948" customWidth="1"/>
    <col min="8717" max="8717" width="147.75" style="2948" customWidth="1"/>
    <col min="8718" max="8718" width="7.875" style="2948" customWidth="1"/>
    <col min="8719" max="8960" width="9" style="2948"/>
    <col min="8961" max="8961" width="37.625" style="2948" customWidth="1"/>
    <col min="8962" max="8962" width="6.25" style="2948" customWidth="1"/>
    <col min="8963" max="8963" width="11.75" style="2948" customWidth="1"/>
    <col min="8964" max="8965" width="13.875" style="2948" customWidth="1"/>
    <col min="8966" max="8966" width="6.25" style="2948" customWidth="1"/>
    <col min="8967" max="8967" width="7.875" style="2948" customWidth="1"/>
    <col min="8968" max="8968" width="9" style="2948" customWidth="1"/>
    <col min="8969" max="8970" width="10.625" style="2948" customWidth="1"/>
    <col min="8971" max="8971" width="14.375" style="2948" customWidth="1"/>
    <col min="8972" max="8972" width="6.25" style="2948" customWidth="1"/>
    <col min="8973" max="8973" width="147.75" style="2948" customWidth="1"/>
    <col min="8974" max="8974" width="7.875" style="2948" customWidth="1"/>
    <col min="8975" max="9216" width="9" style="2948"/>
    <col min="9217" max="9217" width="37.625" style="2948" customWidth="1"/>
    <col min="9218" max="9218" width="6.25" style="2948" customWidth="1"/>
    <col min="9219" max="9219" width="11.75" style="2948" customWidth="1"/>
    <col min="9220" max="9221" width="13.875" style="2948" customWidth="1"/>
    <col min="9222" max="9222" width="6.25" style="2948" customWidth="1"/>
    <col min="9223" max="9223" width="7.875" style="2948" customWidth="1"/>
    <col min="9224" max="9224" width="9" style="2948" customWidth="1"/>
    <col min="9225" max="9226" width="10.625" style="2948" customWidth="1"/>
    <col min="9227" max="9227" width="14.375" style="2948" customWidth="1"/>
    <col min="9228" max="9228" width="6.25" style="2948" customWidth="1"/>
    <col min="9229" max="9229" width="147.75" style="2948" customWidth="1"/>
    <col min="9230" max="9230" width="7.875" style="2948" customWidth="1"/>
    <col min="9231" max="9472" width="9" style="2948"/>
    <col min="9473" max="9473" width="37.625" style="2948" customWidth="1"/>
    <col min="9474" max="9474" width="6.25" style="2948" customWidth="1"/>
    <col min="9475" max="9475" width="11.75" style="2948" customWidth="1"/>
    <col min="9476" max="9477" width="13.875" style="2948" customWidth="1"/>
    <col min="9478" max="9478" width="6.25" style="2948" customWidth="1"/>
    <col min="9479" max="9479" width="7.875" style="2948" customWidth="1"/>
    <col min="9480" max="9480" width="9" style="2948" customWidth="1"/>
    <col min="9481" max="9482" width="10.625" style="2948" customWidth="1"/>
    <col min="9483" max="9483" width="14.375" style="2948" customWidth="1"/>
    <col min="9484" max="9484" width="6.25" style="2948" customWidth="1"/>
    <col min="9485" max="9485" width="147.75" style="2948" customWidth="1"/>
    <col min="9486" max="9486" width="7.875" style="2948" customWidth="1"/>
    <col min="9487" max="9728" width="9" style="2948"/>
    <col min="9729" max="9729" width="37.625" style="2948" customWidth="1"/>
    <col min="9730" max="9730" width="6.25" style="2948" customWidth="1"/>
    <col min="9731" max="9731" width="11.75" style="2948" customWidth="1"/>
    <col min="9732" max="9733" width="13.875" style="2948" customWidth="1"/>
    <col min="9734" max="9734" width="6.25" style="2948" customWidth="1"/>
    <col min="9735" max="9735" width="7.875" style="2948" customWidth="1"/>
    <col min="9736" max="9736" width="9" style="2948" customWidth="1"/>
    <col min="9737" max="9738" width="10.625" style="2948" customWidth="1"/>
    <col min="9739" max="9739" width="14.375" style="2948" customWidth="1"/>
    <col min="9740" max="9740" width="6.25" style="2948" customWidth="1"/>
    <col min="9741" max="9741" width="147.75" style="2948" customWidth="1"/>
    <col min="9742" max="9742" width="7.875" style="2948" customWidth="1"/>
    <col min="9743" max="9984" width="9" style="2948"/>
    <col min="9985" max="9985" width="37.625" style="2948" customWidth="1"/>
    <col min="9986" max="9986" width="6.25" style="2948" customWidth="1"/>
    <col min="9987" max="9987" width="11.75" style="2948" customWidth="1"/>
    <col min="9988" max="9989" width="13.875" style="2948" customWidth="1"/>
    <col min="9990" max="9990" width="6.25" style="2948" customWidth="1"/>
    <col min="9991" max="9991" width="7.875" style="2948" customWidth="1"/>
    <col min="9992" max="9992" width="9" style="2948" customWidth="1"/>
    <col min="9993" max="9994" width="10.625" style="2948" customWidth="1"/>
    <col min="9995" max="9995" width="14.375" style="2948" customWidth="1"/>
    <col min="9996" max="9996" width="6.25" style="2948" customWidth="1"/>
    <col min="9997" max="9997" width="147.75" style="2948" customWidth="1"/>
    <col min="9998" max="9998" width="7.875" style="2948" customWidth="1"/>
    <col min="9999" max="10240" width="9" style="2948"/>
    <col min="10241" max="10241" width="37.625" style="2948" customWidth="1"/>
    <col min="10242" max="10242" width="6.25" style="2948" customWidth="1"/>
    <col min="10243" max="10243" width="11.75" style="2948" customWidth="1"/>
    <col min="10244" max="10245" width="13.875" style="2948" customWidth="1"/>
    <col min="10246" max="10246" width="6.25" style="2948" customWidth="1"/>
    <col min="10247" max="10247" width="7.875" style="2948" customWidth="1"/>
    <col min="10248" max="10248" width="9" style="2948" customWidth="1"/>
    <col min="10249" max="10250" width="10.625" style="2948" customWidth="1"/>
    <col min="10251" max="10251" width="14.375" style="2948" customWidth="1"/>
    <col min="10252" max="10252" width="6.25" style="2948" customWidth="1"/>
    <col min="10253" max="10253" width="147.75" style="2948" customWidth="1"/>
    <col min="10254" max="10254" width="7.875" style="2948" customWidth="1"/>
    <col min="10255" max="10496" width="9" style="2948"/>
    <col min="10497" max="10497" width="37.625" style="2948" customWidth="1"/>
    <col min="10498" max="10498" width="6.25" style="2948" customWidth="1"/>
    <col min="10499" max="10499" width="11.75" style="2948" customWidth="1"/>
    <col min="10500" max="10501" width="13.875" style="2948" customWidth="1"/>
    <col min="10502" max="10502" width="6.25" style="2948" customWidth="1"/>
    <col min="10503" max="10503" width="7.875" style="2948" customWidth="1"/>
    <col min="10504" max="10504" width="9" style="2948" customWidth="1"/>
    <col min="10505" max="10506" width="10.625" style="2948" customWidth="1"/>
    <col min="10507" max="10507" width="14.375" style="2948" customWidth="1"/>
    <col min="10508" max="10508" width="6.25" style="2948" customWidth="1"/>
    <col min="10509" max="10509" width="147.75" style="2948" customWidth="1"/>
    <col min="10510" max="10510" width="7.875" style="2948" customWidth="1"/>
    <col min="10511" max="10752" width="9" style="2948"/>
    <col min="10753" max="10753" width="37.625" style="2948" customWidth="1"/>
    <col min="10754" max="10754" width="6.25" style="2948" customWidth="1"/>
    <col min="10755" max="10755" width="11.75" style="2948" customWidth="1"/>
    <col min="10756" max="10757" width="13.875" style="2948" customWidth="1"/>
    <col min="10758" max="10758" width="6.25" style="2948" customWidth="1"/>
    <col min="10759" max="10759" width="7.875" style="2948" customWidth="1"/>
    <col min="10760" max="10760" width="9" style="2948" customWidth="1"/>
    <col min="10761" max="10762" width="10.625" style="2948" customWidth="1"/>
    <col min="10763" max="10763" width="14.375" style="2948" customWidth="1"/>
    <col min="10764" max="10764" width="6.25" style="2948" customWidth="1"/>
    <col min="10765" max="10765" width="147.75" style="2948" customWidth="1"/>
    <col min="10766" max="10766" width="7.875" style="2948" customWidth="1"/>
    <col min="10767" max="11008" width="9" style="2948"/>
    <col min="11009" max="11009" width="37.625" style="2948" customWidth="1"/>
    <col min="11010" max="11010" width="6.25" style="2948" customWidth="1"/>
    <col min="11011" max="11011" width="11.75" style="2948" customWidth="1"/>
    <col min="11012" max="11013" width="13.875" style="2948" customWidth="1"/>
    <col min="11014" max="11014" width="6.25" style="2948" customWidth="1"/>
    <col min="11015" max="11015" width="7.875" style="2948" customWidth="1"/>
    <col min="11016" max="11016" width="9" style="2948" customWidth="1"/>
    <col min="11017" max="11018" width="10.625" style="2948" customWidth="1"/>
    <col min="11019" max="11019" width="14.375" style="2948" customWidth="1"/>
    <col min="11020" max="11020" width="6.25" style="2948" customWidth="1"/>
    <col min="11021" max="11021" width="147.75" style="2948" customWidth="1"/>
    <col min="11022" max="11022" width="7.875" style="2948" customWidth="1"/>
    <col min="11023" max="11264" width="9" style="2948"/>
    <col min="11265" max="11265" width="37.625" style="2948" customWidth="1"/>
    <col min="11266" max="11266" width="6.25" style="2948" customWidth="1"/>
    <col min="11267" max="11267" width="11.75" style="2948" customWidth="1"/>
    <col min="11268" max="11269" width="13.875" style="2948" customWidth="1"/>
    <col min="11270" max="11270" width="6.25" style="2948" customWidth="1"/>
    <col min="11271" max="11271" width="7.875" style="2948" customWidth="1"/>
    <col min="11272" max="11272" width="9" style="2948" customWidth="1"/>
    <col min="11273" max="11274" width="10.625" style="2948" customWidth="1"/>
    <col min="11275" max="11275" width="14.375" style="2948" customWidth="1"/>
    <col min="11276" max="11276" width="6.25" style="2948" customWidth="1"/>
    <col min="11277" max="11277" width="147.75" style="2948" customWidth="1"/>
    <col min="11278" max="11278" width="7.875" style="2948" customWidth="1"/>
    <col min="11279" max="11520" width="9" style="2948"/>
    <col min="11521" max="11521" width="37.625" style="2948" customWidth="1"/>
    <col min="11522" max="11522" width="6.25" style="2948" customWidth="1"/>
    <col min="11523" max="11523" width="11.75" style="2948" customWidth="1"/>
    <col min="11524" max="11525" width="13.875" style="2948" customWidth="1"/>
    <col min="11526" max="11526" width="6.25" style="2948" customWidth="1"/>
    <col min="11527" max="11527" width="7.875" style="2948" customWidth="1"/>
    <col min="11528" max="11528" width="9" style="2948" customWidth="1"/>
    <col min="11529" max="11530" width="10.625" style="2948" customWidth="1"/>
    <col min="11531" max="11531" width="14.375" style="2948" customWidth="1"/>
    <col min="11532" max="11532" width="6.25" style="2948" customWidth="1"/>
    <col min="11533" max="11533" width="147.75" style="2948" customWidth="1"/>
    <col min="11534" max="11534" width="7.875" style="2948" customWidth="1"/>
    <col min="11535" max="11776" width="9" style="2948"/>
    <col min="11777" max="11777" width="37.625" style="2948" customWidth="1"/>
    <col min="11778" max="11778" width="6.25" style="2948" customWidth="1"/>
    <col min="11779" max="11779" width="11.75" style="2948" customWidth="1"/>
    <col min="11780" max="11781" width="13.875" style="2948" customWidth="1"/>
    <col min="11782" max="11782" width="6.25" style="2948" customWidth="1"/>
    <col min="11783" max="11783" width="7.875" style="2948" customWidth="1"/>
    <col min="11784" max="11784" width="9" style="2948" customWidth="1"/>
    <col min="11785" max="11786" width="10.625" style="2948" customWidth="1"/>
    <col min="11787" max="11787" width="14.375" style="2948" customWidth="1"/>
    <col min="11788" max="11788" width="6.25" style="2948" customWidth="1"/>
    <col min="11789" max="11789" width="147.75" style="2948" customWidth="1"/>
    <col min="11790" max="11790" width="7.875" style="2948" customWidth="1"/>
    <col min="11791" max="12032" width="9" style="2948"/>
    <col min="12033" max="12033" width="37.625" style="2948" customWidth="1"/>
    <col min="12034" max="12034" width="6.25" style="2948" customWidth="1"/>
    <col min="12035" max="12035" width="11.75" style="2948" customWidth="1"/>
    <col min="12036" max="12037" width="13.875" style="2948" customWidth="1"/>
    <col min="12038" max="12038" width="6.25" style="2948" customWidth="1"/>
    <col min="12039" max="12039" width="7.875" style="2948" customWidth="1"/>
    <col min="12040" max="12040" width="9" style="2948" customWidth="1"/>
    <col min="12041" max="12042" width="10.625" style="2948" customWidth="1"/>
    <col min="12043" max="12043" width="14.375" style="2948" customWidth="1"/>
    <col min="12044" max="12044" width="6.25" style="2948" customWidth="1"/>
    <col min="12045" max="12045" width="147.75" style="2948" customWidth="1"/>
    <col min="12046" max="12046" width="7.875" style="2948" customWidth="1"/>
    <col min="12047" max="12288" width="9" style="2948"/>
    <col min="12289" max="12289" width="37.625" style="2948" customWidth="1"/>
    <col min="12290" max="12290" width="6.25" style="2948" customWidth="1"/>
    <col min="12291" max="12291" width="11.75" style="2948" customWidth="1"/>
    <col min="12292" max="12293" width="13.875" style="2948" customWidth="1"/>
    <col min="12294" max="12294" width="6.25" style="2948" customWidth="1"/>
    <col min="12295" max="12295" width="7.875" style="2948" customWidth="1"/>
    <col min="12296" max="12296" width="9" style="2948" customWidth="1"/>
    <col min="12297" max="12298" width="10.625" style="2948" customWidth="1"/>
    <col min="12299" max="12299" width="14.375" style="2948" customWidth="1"/>
    <col min="12300" max="12300" width="6.25" style="2948" customWidth="1"/>
    <col min="12301" max="12301" width="147.75" style="2948" customWidth="1"/>
    <col min="12302" max="12302" width="7.875" style="2948" customWidth="1"/>
    <col min="12303" max="12544" width="9" style="2948"/>
    <col min="12545" max="12545" width="37.625" style="2948" customWidth="1"/>
    <col min="12546" max="12546" width="6.25" style="2948" customWidth="1"/>
    <col min="12547" max="12547" width="11.75" style="2948" customWidth="1"/>
    <col min="12548" max="12549" width="13.875" style="2948" customWidth="1"/>
    <col min="12550" max="12550" width="6.25" style="2948" customWidth="1"/>
    <col min="12551" max="12551" width="7.875" style="2948" customWidth="1"/>
    <col min="12552" max="12552" width="9" style="2948" customWidth="1"/>
    <col min="12553" max="12554" width="10.625" style="2948" customWidth="1"/>
    <col min="12555" max="12555" width="14.375" style="2948" customWidth="1"/>
    <col min="12556" max="12556" width="6.25" style="2948" customWidth="1"/>
    <col min="12557" max="12557" width="147.75" style="2948" customWidth="1"/>
    <col min="12558" max="12558" width="7.875" style="2948" customWidth="1"/>
    <col min="12559" max="12800" width="9" style="2948"/>
    <col min="12801" max="12801" width="37.625" style="2948" customWidth="1"/>
    <col min="12802" max="12802" width="6.25" style="2948" customWidth="1"/>
    <col min="12803" max="12803" width="11.75" style="2948" customWidth="1"/>
    <col min="12804" max="12805" width="13.875" style="2948" customWidth="1"/>
    <col min="12806" max="12806" width="6.25" style="2948" customWidth="1"/>
    <col min="12807" max="12807" width="7.875" style="2948" customWidth="1"/>
    <col min="12808" max="12808" width="9" style="2948" customWidth="1"/>
    <col min="12809" max="12810" width="10.625" style="2948" customWidth="1"/>
    <col min="12811" max="12811" width="14.375" style="2948" customWidth="1"/>
    <col min="12812" max="12812" width="6.25" style="2948" customWidth="1"/>
    <col min="12813" max="12813" width="147.75" style="2948" customWidth="1"/>
    <col min="12814" max="12814" width="7.875" style="2948" customWidth="1"/>
    <col min="12815" max="13056" width="9" style="2948"/>
    <col min="13057" max="13057" width="37.625" style="2948" customWidth="1"/>
    <col min="13058" max="13058" width="6.25" style="2948" customWidth="1"/>
    <col min="13059" max="13059" width="11.75" style="2948" customWidth="1"/>
    <col min="13060" max="13061" width="13.875" style="2948" customWidth="1"/>
    <col min="13062" max="13062" width="6.25" style="2948" customWidth="1"/>
    <col min="13063" max="13063" width="7.875" style="2948" customWidth="1"/>
    <col min="13064" max="13064" width="9" style="2948" customWidth="1"/>
    <col min="13065" max="13066" width="10.625" style="2948" customWidth="1"/>
    <col min="13067" max="13067" width="14.375" style="2948" customWidth="1"/>
    <col min="13068" max="13068" width="6.25" style="2948" customWidth="1"/>
    <col min="13069" max="13069" width="147.75" style="2948" customWidth="1"/>
    <col min="13070" max="13070" width="7.875" style="2948" customWidth="1"/>
    <col min="13071" max="13312" width="9" style="2948"/>
    <col min="13313" max="13313" width="37.625" style="2948" customWidth="1"/>
    <col min="13314" max="13314" width="6.25" style="2948" customWidth="1"/>
    <col min="13315" max="13315" width="11.75" style="2948" customWidth="1"/>
    <col min="13316" max="13317" width="13.875" style="2948" customWidth="1"/>
    <col min="13318" max="13318" width="6.25" style="2948" customWidth="1"/>
    <col min="13319" max="13319" width="7.875" style="2948" customWidth="1"/>
    <col min="13320" max="13320" width="9" style="2948" customWidth="1"/>
    <col min="13321" max="13322" width="10.625" style="2948" customWidth="1"/>
    <col min="13323" max="13323" width="14.375" style="2948" customWidth="1"/>
    <col min="13324" max="13324" width="6.25" style="2948" customWidth="1"/>
    <col min="13325" max="13325" width="147.75" style="2948" customWidth="1"/>
    <col min="13326" max="13326" width="7.875" style="2948" customWidth="1"/>
    <col min="13327" max="13568" width="9" style="2948"/>
    <col min="13569" max="13569" width="37.625" style="2948" customWidth="1"/>
    <col min="13570" max="13570" width="6.25" style="2948" customWidth="1"/>
    <col min="13571" max="13571" width="11.75" style="2948" customWidth="1"/>
    <col min="13572" max="13573" width="13.875" style="2948" customWidth="1"/>
    <col min="13574" max="13574" width="6.25" style="2948" customWidth="1"/>
    <col min="13575" max="13575" width="7.875" style="2948" customWidth="1"/>
    <col min="13576" max="13576" width="9" style="2948" customWidth="1"/>
    <col min="13577" max="13578" width="10.625" style="2948" customWidth="1"/>
    <col min="13579" max="13579" width="14.375" style="2948" customWidth="1"/>
    <col min="13580" max="13580" width="6.25" style="2948" customWidth="1"/>
    <col min="13581" max="13581" width="147.75" style="2948" customWidth="1"/>
    <col min="13582" max="13582" width="7.875" style="2948" customWidth="1"/>
    <col min="13583" max="13824" width="9" style="2948"/>
    <col min="13825" max="13825" width="37.625" style="2948" customWidth="1"/>
    <col min="13826" max="13826" width="6.25" style="2948" customWidth="1"/>
    <col min="13827" max="13827" width="11.75" style="2948" customWidth="1"/>
    <col min="13828" max="13829" width="13.875" style="2948" customWidth="1"/>
    <col min="13830" max="13830" width="6.25" style="2948" customWidth="1"/>
    <col min="13831" max="13831" width="7.875" style="2948" customWidth="1"/>
    <col min="13832" max="13832" width="9" style="2948" customWidth="1"/>
    <col min="13833" max="13834" width="10.625" style="2948" customWidth="1"/>
    <col min="13835" max="13835" width="14.375" style="2948" customWidth="1"/>
    <col min="13836" max="13836" width="6.25" style="2948" customWidth="1"/>
    <col min="13837" max="13837" width="147.75" style="2948" customWidth="1"/>
    <col min="13838" max="13838" width="7.875" style="2948" customWidth="1"/>
    <col min="13839" max="14080" width="9" style="2948"/>
    <col min="14081" max="14081" width="37.625" style="2948" customWidth="1"/>
    <col min="14082" max="14082" width="6.25" style="2948" customWidth="1"/>
    <col min="14083" max="14083" width="11.75" style="2948" customWidth="1"/>
    <col min="14084" max="14085" width="13.875" style="2948" customWidth="1"/>
    <col min="14086" max="14086" width="6.25" style="2948" customWidth="1"/>
    <col min="14087" max="14087" width="7.875" style="2948" customWidth="1"/>
    <col min="14088" max="14088" width="9" style="2948" customWidth="1"/>
    <col min="14089" max="14090" width="10.625" style="2948" customWidth="1"/>
    <col min="14091" max="14091" width="14.375" style="2948" customWidth="1"/>
    <col min="14092" max="14092" width="6.25" style="2948" customWidth="1"/>
    <col min="14093" max="14093" width="147.75" style="2948" customWidth="1"/>
    <col min="14094" max="14094" width="7.875" style="2948" customWidth="1"/>
    <col min="14095" max="14336" width="9" style="2948"/>
    <col min="14337" max="14337" width="37.625" style="2948" customWidth="1"/>
    <col min="14338" max="14338" width="6.25" style="2948" customWidth="1"/>
    <col min="14339" max="14339" width="11.75" style="2948" customWidth="1"/>
    <col min="14340" max="14341" width="13.875" style="2948" customWidth="1"/>
    <col min="14342" max="14342" width="6.25" style="2948" customWidth="1"/>
    <col min="14343" max="14343" width="7.875" style="2948" customWidth="1"/>
    <col min="14344" max="14344" width="9" style="2948" customWidth="1"/>
    <col min="14345" max="14346" width="10.625" style="2948" customWidth="1"/>
    <col min="14347" max="14347" width="14.375" style="2948" customWidth="1"/>
    <col min="14348" max="14348" width="6.25" style="2948" customWidth="1"/>
    <col min="14349" max="14349" width="147.75" style="2948" customWidth="1"/>
    <col min="14350" max="14350" width="7.875" style="2948" customWidth="1"/>
    <col min="14351" max="14592" width="9" style="2948"/>
    <col min="14593" max="14593" width="37.625" style="2948" customWidth="1"/>
    <col min="14594" max="14594" width="6.25" style="2948" customWidth="1"/>
    <col min="14595" max="14595" width="11.75" style="2948" customWidth="1"/>
    <col min="14596" max="14597" width="13.875" style="2948" customWidth="1"/>
    <col min="14598" max="14598" width="6.25" style="2948" customWidth="1"/>
    <col min="14599" max="14599" width="7.875" style="2948" customWidth="1"/>
    <col min="14600" max="14600" width="9" style="2948" customWidth="1"/>
    <col min="14601" max="14602" width="10.625" style="2948" customWidth="1"/>
    <col min="14603" max="14603" width="14.375" style="2948" customWidth="1"/>
    <col min="14604" max="14604" width="6.25" style="2948" customWidth="1"/>
    <col min="14605" max="14605" width="147.75" style="2948" customWidth="1"/>
    <col min="14606" max="14606" width="7.875" style="2948" customWidth="1"/>
    <col min="14607" max="14848" width="9" style="2948"/>
    <col min="14849" max="14849" width="37.625" style="2948" customWidth="1"/>
    <col min="14850" max="14850" width="6.25" style="2948" customWidth="1"/>
    <col min="14851" max="14851" width="11.75" style="2948" customWidth="1"/>
    <col min="14852" max="14853" width="13.875" style="2948" customWidth="1"/>
    <col min="14854" max="14854" width="6.25" style="2948" customWidth="1"/>
    <col min="14855" max="14855" width="7.875" style="2948" customWidth="1"/>
    <col min="14856" max="14856" width="9" style="2948" customWidth="1"/>
    <col min="14857" max="14858" width="10.625" style="2948" customWidth="1"/>
    <col min="14859" max="14859" width="14.375" style="2948" customWidth="1"/>
    <col min="14860" max="14860" width="6.25" style="2948" customWidth="1"/>
    <col min="14861" max="14861" width="147.75" style="2948" customWidth="1"/>
    <col min="14862" max="14862" width="7.875" style="2948" customWidth="1"/>
    <col min="14863" max="15104" width="9" style="2948"/>
    <col min="15105" max="15105" width="37.625" style="2948" customWidth="1"/>
    <col min="15106" max="15106" width="6.25" style="2948" customWidth="1"/>
    <col min="15107" max="15107" width="11.75" style="2948" customWidth="1"/>
    <col min="15108" max="15109" width="13.875" style="2948" customWidth="1"/>
    <col min="15110" max="15110" width="6.25" style="2948" customWidth="1"/>
    <col min="15111" max="15111" width="7.875" style="2948" customWidth="1"/>
    <col min="15112" max="15112" width="9" style="2948" customWidth="1"/>
    <col min="15113" max="15114" width="10.625" style="2948" customWidth="1"/>
    <col min="15115" max="15115" width="14.375" style="2948" customWidth="1"/>
    <col min="15116" max="15116" width="6.25" style="2948" customWidth="1"/>
    <col min="15117" max="15117" width="147.75" style="2948" customWidth="1"/>
    <col min="15118" max="15118" width="7.875" style="2948" customWidth="1"/>
    <col min="15119" max="15360" width="9" style="2948"/>
    <col min="15361" max="15361" width="37.625" style="2948" customWidth="1"/>
    <col min="15362" max="15362" width="6.25" style="2948" customWidth="1"/>
    <col min="15363" max="15363" width="11.75" style="2948" customWidth="1"/>
    <col min="15364" max="15365" width="13.875" style="2948" customWidth="1"/>
    <col min="15366" max="15366" width="6.25" style="2948" customWidth="1"/>
    <col min="15367" max="15367" width="7.875" style="2948" customWidth="1"/>
    <col min="15368" max="15368" width="9" style="2948" customWidth="1"/>
    <col min="15369" max="15370" width="10.625" style="2948" customWidth="1"/>
    <col min="15371" max="15371" width="14.375" style="2948" customWidth="1"/>
    <col min="15372" max="15372" width="6.25" style="2948" customWidth="1"/>
    <col min="15373" max="15373" width="147.75" style="2948" customWidth="1"/>
    <col min="15374" max="15374" width="7.875" style="2948" customWidth="1"/>
    <col min="15375" max="15616" width="9" style="2948"/>
    <col min="15617" max="15617" width="37.625" style="2948" customWidth="1"/>
    <col min="15618" max="15618" width="6.25" style="2948" customWidth="1"/>
    <col min="15619" max="15619" width="11.75" style="2948" customWidth="1"/>
    <col min="15620" max="15621" width="13.875" style="2948" customWidth="1"/>
    <col min="15622" max="15622" width="6.25" style="2948" customWidth="1"/>
    <col min="15623" max="15623" width="7.875" style="2948" customWidth="1"/>
    <col min="15624" max="15624" width="9" style="2948" customWidth="1"/>
    <col min="15625" max="15626" width="10.625" style="2948" customWidth="1"/>
    <col min="15627" max="15627" width="14.375" style="2948" customWidth="1"/>
    <col min="15628" max="15628" width="6.25" style="2948" customWidth="1"/>
    <col min="15629" max="15629" width="147.75" style="2948" customWidth="1"/>
    <col min="15630" max="15630" width="7.875" style="2948" customWidth="1"/>
    <col min="15631" max="15872" width="9" style="2948"/>
    <col min="15873" max="15873" width="37.625" style="2948" customWidth="1"/>
    <col min="15874" max="15874" width="6.25" style="2948" customWidth="1"/>
    <col min="15875" max="15875" width="11.75" style="2948" customWidth="1"/>
    <col min="15876" max="15877" width="13.875" style="2948" customWidth="1"/>
    <col min="15878" max="15878" width="6.25" style="2948" customWidth="1"/>
    <col min="15879" max="15879" width="7.875" style="2948" customWidth="1"/>
    <col min="15880" max="15880" width="9" style="2948" customWidth="1"/>
    <col min="15881" max="15882" width="10.625" style="2948" customWidth="1"/>
    <col min="15883" max="15883" width="14.375" style="2948" customWidth="1"/>
    <col min="15884" max="15884" width="6.25" style="2948" customWidth="1"/>
    <col min="15885" max="15885" width="147.75" style="2948" customWidth="1"/>
    <col min="15886" max="15886" width="7.875" style="2948" customWidth="1"/>
    <col min="15887" max="16128" width="9" style="2948"/>
    <col min="16129" max="16129" width="37.625" style="2948" customWidth="1"/>
    <col min="16130" max="16130" width="6.25" style="2948" customWidth="1"/>
    <col min="16131" max="16131" width="11.75" style="2948" customWidth="1"/>
    <col min="16132" max="16133" width="13.875" style="2948" customWidth="1"/>
    <col min="16134" max="16134" width="6.25" style="2948" customWidth="1"/>
    <col min="16135" max="16135" width="7.875" style="2948" customWidth="1"/>
    <col min="16136" max="16136" width="9" style="2948" customWidth="1"/>
    <col min="16137" max="16138" width="10.625" style="2948" customWidth="1"/>
    <col min="16139" max="16139" width="14.375" style="2948" customWidth="1"/>
    <col min="16140" max="16140" width="6.25" style="2948" customWidth="1"/>
    <col min="16141" max="16141" width="147.75" style="2948" customWidth="1"/>
    <col min="16142" max="16142" width="7.875" style="2948" customWidth="1"/>
    <col min="16143" max="16384" width="9" style="2948"/>
  </cols>
  <sheetData>
    <row r="1" spans="1:14" ht="27">
      <c r="A1" s="2948" t="s">
        <v>3056</v>
      </c>
      <c r="B1" s="2948" t="s">
        <v>3057</v>
      </c>
      <c r="C1" s="2948" t="s">
        <v>3058</v>
      </c>
      <c r="D1" s="2948" t="s">
        <v>3059</v>
      </c>
      <c r="E1" s="2948" t="s">
        <v>3060</v>
      </c>
      <c r="F1" s="2948" t="s">
        <v>3061</v>
      </c>
      <c r="G1" s="2948" t="s">
        <v>3062</v>
      </c>
      <c r="H1" s="2948" t="s">
        <v>3063</v>
      </c>
      <c r="I1" s="2948" t="s">
        <v>3064</v>
      </c>
      <c r="J1" s="2948" t="s">
        <v>3065</v>
      </c>
      <c r="K1" s="2948" t="s">
        <v>3066</v>
      </c>
      <c r="L1" s="2948" t="s">
        <v>3067</v>
      </c>
      <c r="M1" s="2948" t="s">
        <v>3068</v>
      </c>
      <c r="N1" s="2948" t="s">
        <v>3069</v>
      </c>
    </row>
    <row r="2" spans="1:14" ht="27">
      <c r="A2" s="2948" t="s">
        <v>3070</v>
      </c>
      <c r="B2" s="2948" t="s">
        <v>3071</v>
      </c>
      <c r="C2" s="2948" t="s">
        <v>3072</v>
      </c>
      <c r="D2" s="2948">
        <v>88566</v>
      </c>
      <c r="E2" s="2948">
        <v>200159.2</v>
      </c>
      <c r="F2" s="2948">
        <f>E2/D2</f>
        <v>2.2600004516405847</v>
      </c>
      <c r="G2" s="2948" t="s">
        <v>3073</v>
      </c>
      <c r="H2" s="2948" t="s">
        <v>3074</v>
      </c>
      <c r="I2" s="2948">
        <v>41198</v>
      </c>
      <c r="J2" s="2948">
        <v>41203</v>
      </c>
      <c r="K2" s="2948">
        <v>2058.5100000000002</v>
      </c>
      <c r="L2" s="2948">
        <v>0.01</v>
      </c>
      <c r="M2" s="2948" t="s">
        <v>3075</v>
      </c>
      <c r="N2" s="2948" t="s">
        <v>3076</v>
      </c>
    </row>
    <row r="3" spans="1:14" s="2949" customFormat="1" ht="27">
      <c r="A3" s="2949" t="s">
        <v>3070</v>
      </c>
      <c r="B3" s="2949" t="s">
        <v>3071</v>
      </c>
      <c r="C3" s="2949" t="s">
        <v>3072</v>
      </c>
      <c r="D3" s="2949">
        <v>137323.5</v>
      </c>
      <c r="E3" s="2949">
        <v>233450</v>
      </c>
      <c r="F3" s="2949">
        <f t="shared" ref="F3:F16" si="0">E3/D3</f>
        <v>1.7000003641037404</v>
      </c>
      <c r="G3" s="2949" t="s">
        <v>3073</v>
      </c>
      <c r="H3" s="2949" t="s">
        <v>3074</v>
      </c>
      <c r="I3" s="2949">
        <v>61162</v>
      </c>
      <c r="J3" s="2949">
        <v>61167</v>
      </c>
      <c r="K3" s="2949">
        <v>2620.13</v>
      </c>
      <c r="L3" s="2949">
        <v>0.01</v>
      </c>
      <c r="M3" s="2949" t="s">
        <v>3075</v>
      </c>
      <c r="N3" s="2949" t="s">
        <v>3076</v>
      </c>
    </row>
    <row r="4" spans="1:14" ht="27">
      <c r="A4" s="2948" t="s">
        <v>3070</v>
      </c>
      <c r="B4" s="2948" t="s">
        <v>3071</v>
      </c>
      <c r="C4" s="2948" t="s">
        <v>3072</v>
      </c>
      <c r="D4" s="2948">
        <v>21255.599999999999</v>
      </c>
      <c r="E4" s="2948">
        <v>59515.68</v>
      </c>
      <c r="F4" s="2948">
        <f t="shared" si="0"/>
        <v>2.8000000000000003</v>
      </c>
      <c r="G4" s="2948" t="s">
        <v>3073</v>
      </c>
      <c r="H4" s="2948" t="s">
        <v>3074</v>
      </c>
      <c r="I4" s="2948">
        <v>11069</v>
      </c>
      <c r="J4" s="2948">
        <v>11074</v>
      </c>
      <c r="K4" s="2948">
        <v>1860.69</v>
      </c>
      <c r="L4" s="2948">
        <v>0.05</v>
      </c>
      <c r="M4" s="2948" t="s">
        <v>3075</v>
      </c>
      <c r="N4" s="2948" t="s">
        <v>3076</v>
      </c>
    </row>
    <row r="5" spans="1:14" ht="27">
      <c r="A5" s="2948" t="s">
        <v>3070</v>
      </c>
      <c r="B5" s="2948" t="s">
        <v>3071</v>
      </c>
      <c r="C5" s="2948" t="s">
        <v>3072</v>
      </c>
      <c r="D5" s="2948">
        <v>16561</v>
      </c>
      <c r="E5" s="2948">
        <v>41402.5</v>
      </c>
      <c r="F5" s="2948">
        <f t="shared" si="0"/>
        <v>2.5</v>
      </c>
      <c r="G5" s="2948" t="s">
        <v>3073</v>
      </c>
      <c r="H5" s="2948" t="s">
        <v>3074</v>
      </c>
      <c r="I5" s="2948">
        <v>7867</v>
      </c>
      <c r="J5" s="2948">
        <v>7872</v>
      </c>
      <c r="K5" s="2948">
        <v>1901.32</v>
      </c>
      <c r="L5" s="2948">
        <v>0.06</v>
      </c>
      <c r="M5" s="2948" t="s">
        <v>3075</v>
      </c>
      <c r="N5" s="2948" t="s">
        <v>3076</v>
      </c>
    </row>
    <row r="6" spans="1:14" s="2949" customFormat="1" ht="27">
      <c r="A6" s="2949" t="s">
        <v>3077</v>
      </c>
      <c r="B6" s="2949" t="s">
        <v>3071</v>
      </c>
      <c r="C6" s="2949" t="s">
        <v>3072</v>
      </c>
      <c r="D6" s="2949">
        <v>3330</v>
      </c>
      <c r="E6" s="2949">
        <v>13320</v>
      </c>
      <c r="F6" s="2949">
        <f t="shared" si="0"/>
        <v>4</v>
      </c>
      <c r="G6" s="2949" t="s">
        <v>3078</v>
      </c>
      <c r="H6" s="2949" t="s">
        <v>3079</v>
      </c>
      <c r="I6" s="2949">
        <v>4495.5</v>
      </c>
      <c r="J6" s="2949">
        <v>4508.8100000000004</v>
      </c>
      <c r="K6" s="2949">
        <v>3385</v>
      </c>
      <c r="L6" s="2949">
        <v>0.3</v>
      </c>
      <c r="M6" s="2949" t="s">
        <v>3080</v>
      </c>
      <c r="N6" s="2949" t="s">
        <v>3076</v>
      </c>
    </row>
    <row r="7" spans="1:14" s="2949" customFormat="1" ht="27">
      <c r="A7" s="2949" t="s">
        <v>3081</v>
      </c>
      <c r="B7" s="2949" t="s">
        <v>3071</v>
      </c>
      <c r="C7" s="2949" t="s">
        <v>3072</v>
      </c>
      <c r="D7" s="2949">
        <v>1331.42</v>
      </c>
      <c r="E7" s="2949">
        <v>3328.55</v>
      </c>
      <c r="F7" s="2949">
        <f t="shared" si="0"/>
        <v>2.5</v>
      </c>
      <c r="G7" s="2949" t="s">
        <v>3078</v>
      </c>
      <c r="H7" s="2949" t="s">
        <v>3082</v>
      </c>
      <c r="I7" s="2949">
        <v>1198.26</v>
      </c>
      <c r="J7" s="2949">
        <v>1198.4100000000001</v>
      </c>
      <c r="K7" s="2949">
        <v>3600.4</v>
      </c>
      <c r="L7" s="2949">
        <v>0.01</v>
      </c>
      <c r="M7" s="2949" t="s">
        <v>3083</v>
      </c>
      <c r="N7" s="2949" t="s">
        <v>3076</v>
      </c>
    </row>
    <row r="8" spans="1:14" ht="27">
      <c r="A8" s="2948" t="s">
        <v>3084</v>
      </c>
      <c r="B8" s="2948" t="s">
        <v>3071</v>
      </c>
      <c r="C8" s="2948" t="s">
        <v>3072</v>
      </c>
      <c r="D8" s="2948">
        <v>2196.15</v>
      </c>
      <c r="E8" s="2948">
        <v>5477.2</v>
      </c>
      <c r="F8" s="2948">
        <f t="shared" si="0"/>
        <v>2.4940008651503764</v>
      </c>
      <c r="G8" s="2948" t="s">
        <v>3078</v>
      </c>
      <c r="H8" s="2948" t="s">
        <v>3085</v>
      </c>
      <c r="I8" s="2948">
        <v>979.25</v>
      </c>
      <c r="J8" s="2948">
        <v>979.48</v>
      </c>
      <c r="K8" s="2948">
        <v>1788.28</v>
      </c>
      <c r="L8" s="2948">
        <v>0.02</v>
      </c>
      <c r="M8" s="2948" t="s">
        <v>3086</v>
      </c>
      <c r="N8" s="2948" t="s">
        <v>3087</v>
      </c>
    </row>
    <row r="9" spans="1:14" ht="27">
      <c r="A9" s="2948" t="s">
        <v>3088</v>
      </c>
      <c r="B9" s="2948" t="s">
        <v>3071</v>
      </c>
      <c r="C9" s="2948" t="s">
        <v>3072</v>
      </c>
      <c r="D9" s="2948">
        <v>1600.07</v>
      </c>
      <c r="E9" s="2948">
        <v>5600.25</v>
      </c>
      <c r="F9" s="2948">
        <f t="shared" si="0"/>
        <v>3.5000031248632872</v>
      </c>
      <c r="G9" s="2948" t="s">
        <v>3078</v>
      </c>
      <c r="H9" s="2948" t="s">
        <v>3089</v>
      </c>
      <c r="I9" s="2948">
        <v>639.71</v>
      </c>
      <c r="J9" s="2948">
        <v>640.26</v>
      </c>
      <c r="K9" s="2948">
        <v>1143.28</v>
      </c>
      <c r="L9" s="2948">
        <v>0.09</v>
      </c>
      <c r="M9" s="2948" t="s">
        <v>3090</v>
      </c>
      <c r="N9" s="2948" t="s">
        <v>3087</v>
      </c>
    </row>
    <row r="10" spans="1:14" ht="27">
      <c r="A10" s="2948" t="s">
        <v>3091</v>
      </c>
      <c r="B10" s="2948" t="s">
        <v>3071</v>
      </c>
      <c r="C10" s="2948" t="s">
        <v>3072</v>
      </c>
      <c r="D10" s="2948">
        <v>10506.36</v>
      </c>
      <c r="E10" s="2948">
        <v>21012.720000000001</v>
      </c>
      <c r="F10" s="2948">
        <f t="shared" si="0"/>
        <v>2</v>
      </c>
      <c r="G10" s="2948" t="s">
        <v>3078</v>
      </c>
      <c r="H10" s="2948" t="s">
        <v>3092</v>
      </c>
      <c r="I10" s="2948">
        <v>5831.02</v>
      </c>
      <c r="J10" s="2948">
        <v>5832.07</v>
      </c>
      <c r="K10" s="2948">
        <v>2775.5</v>
      </c>
      <c r="L10" s="2948">
        <v>0.02</v>
      </c>
      <c r="M10" s="2948" t="s">
        <v>3093</v>
      </c>
      <c r="N10" s="2948" t="s">
        <v>3076</v>
      </c>
    </row>
    <row r="11" spans="1:14" ht="27">
      <c r="A11" s="2948" t="s">
        <v>3094</v>
      </c>
      <c r="B11" s="2948" t="s">
        <v>3071</v>
      </c>
      <c r="C11" s="2948" t="s">
        <v>3072</v>
      </c>
      <c r="D11" s="2948">
        <v>24413.47</v>
      </c>
      <c r="E11" s="2948">
        <v>26122.41</v>
      </c>
      <c r="F11" s="2948">
        <f t="shared" si="0"/>
        <v>1.0699998812131171</v>
      </c>
      <c r="G11" s="2948" t="s">
        <v>3078</v>
      </c>
      <c r="H11" s="2948" t="s">
        <v>3095</v>
      </c>
      <c r="I11" s="2948">
        <v>3742.59</v>
      </c>
      <c r="J11" s="2948">
        <v>3745.03</v>
      </c>
      <c r="K11" s="2948">
        <v>1433.65</v>
      </c>
      <c r="L11" s="2948">
        <v>0.06</v>
      </c>
      <c r="M11" s="2948" t="s">
        <v>3096</v>
      </c>
      <c r="N11" s="2948" t="s">
        <v>3097</v>
      </c>
    </row>
    <row r="12" spans="1:14" ht="27">
      <c r="A12" s="2948" t="s">
        <v>3098</v>
      </c>
      <c r="B12" s="2948" t="s">
        <v>3071</v>
      </c>
      <c r="C12" s="2948" t="s">
        <v>3072</v>
      </c>
      <c r="D12" s="2948">
        <v>13099.24</v>
      </c>
      <c r="E12" s="2948">
        <v>39297.72</v>
      </c>
      <c r="F12" s="2948">
        <f t="shared" si="0"/>
        <v>3</v>
      </c>
      <c r="G12" s="2948" t="s">
        <v>3078</v>
      </c>
      <c r="H12" s="2948" t="s">
        <v>3099</v>
      </c>
      <c r="I12" s="2948">
        <v>6060.1</v>
      </c>
      <c r="J12" s="2948">
        <v>6061.4</v>
      </c>
      <c r="K12" s="2948">
        <v>1542.43</v>
      </c>
      <c r="L12" s="2948">
        <v>0.02</v>
      </c>
      <c r="M12" s="2948" t="s">
        <v>3100</v>
      </c>
      <c r="N12" s="2948" t="s">
        <v>3076</v>
      </c>
    </row>
    <row r="13" spans="1:14" ht="27">
      <c r="A13" s="2948" t="s">
        <v>3101</v>
      </c>
      <c r="B13" s="2948" t="s">
        <v>3071</v>
      </c>
      <c r="C13" s="2948" t="s">
        <v>3072</v>
      </c>
      <c r="D13" s="2948">
        <v>33568.449999999997</v>
      </c>
      <c r="E13" s="2948">
        <v>33568.449999999997</v>
      </c>
      <c r="F13" s="2948">
        <f t="shared" si="0"/>
        <v>1</v>
      </c>
      <c r="G13" s="2948" t="s">
        <v>3078</v>
      </c>
      <c r="H13" s="2948" t="s">
        <v>3102</v>
      </c>
      <c r="I13" s="2948">
        <v>5009.7700000000004</v>
      </c>
      <c r="J13" s="2948">
        <v>5019.7700000000004</v>
      </c>
      <c r="K13" s="2948">
        <v>1495.38</v>
      </c>
      <c r="L13" s="2948">
        <v>0.2</v>
      </c>
      <c r="M13" s="2948" t="s">
        <v>3103</v>
      </c>
      <c r="N13" s="2948" t="s">
        <v>3076</v>
      </c>
    </row>
    <row r="14" spans="1:14" ht="67.5">
      <c r="A14" s="2948" t="s">
        <v>3104</v>
      </c>
      <c r="B14" s="2948" t="s">
        <v>3071</v>
      </c>
      <c r="C14" s="2948" t="s">
        <v>3072</v>
      </c>
      <c r="D14" s="2948">
        <v>3491.53</v>
      </c>
      <c r="E14" s="2948">
        <v>2094.92</v>
      </c>
      <c r="F14" s="2948">
        <f t="shared" si="0"/>
        <v>0.60000057281478314</v>
      </c>
      <c r="G14" s="2948" t="s">
        <v>3078</v>
      </c>
      <c r="H14" s="2948" t="s">
        <v>3105</v>
      </c>
      <c r="I14" s="2948">
        <v>485.64</v>
      </c>
      <c r="J14" s="2948">
        <v>486</v>
      </c>
      <c r="K14" s="2948">
        <v>2319.9</v>
      </c>
      <c r="L14" s="2948">
        <v>7.0000000000000007E-2</v>
      </c>
      <c r="M14" s="2948" t="s">
        <v>3106</v>
      </c>
      <c r="N14" s="2948" t="s">
        <v>3087</v>
      </c>
    </row>
    <row r="15" spans="1:14" ht="67.5">
      <c r="A15" s="2948" t="s">
        <v>3104</v>
      </c>
      <c r="B15" s="2948" t="s">
        <v>3071</v>
      </c>
      <c r="C15" s="2948" t="s">
        <v>3072</v>
      </c>
      <c r="D15" s="2948">
        <v>62083.39</v>
      </c>
      <c r="E15" s="2948">
        <v>37250.03</v>
      </c>
      <c r="F15" s="2948">
        <f t="shared" si="0"/>
        <v>0.59999993557052855</v>
      </c>
      <c r="G15" s="2948" t="s">
        <v>3078</v>
      </c>
      <c r="H15" s="2948" t="s">
        <v>3105</v>
      </c>
      <c r="I15" s="2948">
        <v>8620.09</v>
      </c>
      <c r="J15" s="2948">
        <v>8626.2900000000009</v>
      </c>
      <c r="K15" s="2948">
        <v>2315.7800000000002</v>
      </c>
      <c r="L15" s="2948">
        <v>7.0000000000000007E-2</v>
      </c>
      <c r="M15" s="2948" t="s">
        <v>3106</v>
      </c>
      <c r="N15" s="2948" t="s">
        <v>3087</v>
      </c>
    </row>
    <row r="16" spans="1:14" ht="162">
      <c r="A16" s="2948" t="s">
        <v>3107</v>
      </c>
      <c r="B16" s="2948" t="s">
        <v>3071</v>
      </c>
      <c r="C16" s="2948" t="s">
        <v>3072</v>
      </c>
      <c r="D16" s="2948">
        <v>46186.09</v>
      </c>
      <c r="E16" s="2948">
        <v>50804.7</v>
      </c>
      <c r="F16" s="2948">
        <f t="shared" si="0"/>
        <v>1.1000000216515406</v>
      </c>
      <c r="G16" s="2948" t="s">
        <v>3078</v>
      </c>
      <c r="H16" s="2948" t="s">
        <v>3108</v>
      </c>
      <c r="I16" s="2948">
        <v>7288.17</v>
      </c>
      <c r="J16" s="2948">
        <v>7292.78</v>
      </c>
      <c r="K16" s="2948">
        <v>1435.46</v>
      </c>
      <c r="L16" s="2948">
        <v>0.06</v>
      </c>
      <c r="M16" s="2948" t="s">
        <v>3109</v>
      </c>
      <c r="N16" s="2948" t="s">
        <v>3097</v>
      </c>
    </row>
  </sheetData>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183" t="s">
        <v>2646</v>
      </c>
      <c r="D4" s="3184"/>
      <c r="E4" s="3185" t="s">
        <v>2647</v>
      </c>
      <c r="F4" s="3186"/>
      <c r="G4" s="3183" t="s">
        <v>2648</v>
      </c>
      <c r="H4" s="3184"/>
      <c r="I4" s="3183" t="s">
        <v>2649</v>
      </c>
      <c r="J4" s="3184"/>
      <c r="K4" s="610" t="s">
        <v>2650</v>
      </c>
      <c r="L4" s="1133"/>
      <c r="M4" s="1134"/>
      <c r="N4" s="1134"/>
      <c r="O4" s="1134"/>
      <c r="P4" s="3187" t="s">
        <v>2651</v>
      </c>
      <c r="Q4" s="3188"/>
      <c r="R4" s="3170" t="s">
        <v>2647</v>
      </c>
      <c r="S4" s="3171"/>
      <c r="T4" s="3170" t="s">
        <v>2648</v>
      </c>
      <c r="U4" s="3171"/>
      <c r="V4" s="3195" t="s">
        <v>2649</v>
      </c>
      <c r="W4" s="3195"/>
      <c r="X4" s="1815"/>
      <c r="Y4" s="3170" t="s">
        <v>2651</v>
      </c>
      <c r="Z4" s="3171"/>
      <c r="AA4" s="3165" t="s">
        <v>2647</v>
      </c>
      <c r="AB4" s="3166" t="s">
        <v>2648</v>
      </c>
      <c r="AC4" s="3165" t="s">
        <v>2649</v>
      </c>
    </row>
    <row r="5" spans="1:29" ht="15">
      <c r="A5" s="404"/>
      <c r="B5" s="405"/>
      <c r="C5" s="3176" t="s">
        <v>2542</v>
      </c>
      <c r="D5" s="3177"/>
      <c r="E5" s="3174" t="s">
        <v>2543</v>
      </c>
      <c r="F5" s="3175"/>
      <c r="G5" s="3176" t="s">
        <v>2544</v>
      </c>
      <c r="H5" s="3177"/>
      <c r="I5" s="3176" t="s">
        <v>2545</v>
      </c>
      <c r="J5" s="3177"/>
      <c r="K5" s="610"/>
      <c r="L5" s="1133"/>
      <c r="M5" s="1134"/>
      <c r="N5" s="1134"/>
      <c r="O5" s="1134"/>
      <c r="P5" s="3189"/>
      <c r="Q5" s="3190"/>
      <c r="R5" s="3172"/>
      <c r="S5" s="3173"/>
      <c r="T5" s="3172"/>
      <c r="U5" s="3173"/>
      <c r="V5" s="3195"/>
      <c r="W5" s="3195"/>
      <c r="X5" s="1815"/>
      <c r="Y5" s="3172"/>
      <c r="Z5" s="3173"/>
      <c r="AA5" s="3166"/>
      <c r="AB5" s="3166"/>
      <c r="AC5" s="3166"/>
    </row>
    <row r="6" spans="1:29" ht="15.75" thickBot="1">
      <c r="A6" s="406"/>
      <c r="B6" s="407"/>
      <c r="C6" s="3260" t="s">
        <v>2797</v>
      </c>
      <c r="D6" s="3261"/>
      <c r="E6" s="3262" t="s">
        <v>2797</v>
      </c>
      <c r="F6" s="3263"/>
      <c r="G6" s="3260" t="s">
        <v>2797</v>
      </c>
      <c r="H6" s="3261"/>
      <c r="I6" s="3260" t="s">
        <v>2797</v>
      </c>
      <c r="J6" s="3261"/>
      <c r="K6" s="610" t="s">
        <v>2547</v>
      </c>
      <c r="L6" s="1133"/>
      <c r="M6" s="1134"/>
      <c r="N6" s="1134"/>
      <c r="O6" s="1134"/>
      <c r="P6" s="3191"/>
      <c r="Q6" s="3192"/>
      <c r="R6" s="3172"/>
      <c r="S6" s="3173"/>
      <c r="T6" s="3193"/>
      <c r="U6" s="3194"/>
      <c r="V6" s="3195"/>
      <c r="W6" s="3195"/>
      <c r="X6" s="1815"/>
      <c r="Y6" s="3193"/>
      <c r="Z6" s="3194"/>
      <c r="AA6" s="3167"/>
      <c r="AB6" s="3167"/>
      <c r="AC6" s="3167"/>
    </row>
    <row r="7" spans="1:29" s="117" customFormat="1" ht="15.75" thickBot="1">
      <c r="A7" s="408" t="s">
        <v>2548</v>
      </c>
      <c r="B7" s="409"/>
      <c r="C7" s="410">
        <f>'数据-取费表'!B2</f>
        <v>43689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68" t="s">
        <v>2549</v>
      </c>
      <c r="Q7" s="3196"/>
      <c r="R7" s="770" t="s">
        <v>17</v>
      </c>
      <c r="S7" s="771">
        <f t="shared" ref="S7:S15" si="0">F7</f>
        <v>0</v>
      </c>
      <c r="T7" s="770" t="s">
        <v>17</v>
      </c>
      <c r="U7" s="771">
        <f t="shared" ref="U7:U15" si="1">H7</f>
        <v>0</v>
      </c>
      <c r="V7" s="770" t="s">
        <v>17</v>
      </c>
      <c r="W7" s="771">
        <f t="shared" ref="W7:W15" si="2">J7</f>
        <v>0</v>
      </c>
      <c r="X7" s="772"/>
      <c r="Y7" s="3168" t="s">
        <v>2549</v>
      </c>
      <c r="Z7" s="3169"/>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2552</v>
      </c>
      <c r="Q8" s="3169"/>
      <c r="R8" s="770" t="s">
        <v>17</v>
      </c>
      <c r="S8" s="771">
        <f t="shared" si="0"/>
        <v>0</v>
      </c>
      <c r="T8" s="770" t="s">
        <v>17</v>
      </c>
      <c r="U8" s="771">
        <f t="shared" si="1"/>
        <v>0</v>
      </c>
      <c r="V8" s="770" t="s">
        <v>17</v>
      </c>
      <c r="W8" s="771">
        <f t="shared" si="2"/>
        <v>0</v>
      </c>
      <c r="X8" s="772"/>
      <c r="Y8" s="3168" t="s">
        <v>2552</v>
      </c>
      <c r="Z8" s="3169"/>
      <c r="AA8" s="773" t="e">
        <f t="shared" ref="AA8:AA40" si="3">D8/F8</f>
        <v>#DIV/0!</v>
      </c>
      <c r="AB8" s="773" t="e">
        <f t="shared" ref="AB8:AB40" si="4">D8/H8</f>
        <v>#DIV/0!</v>
      </c>
      <c r="AC8" s="773" t="e">
        <f t="shared" ref="AC8:AC40" si="5">D8/J8</f>
        <v>#DIV/0!</v>
      </c>
    </row>
    <row r="9" spans="1:29" s="117" customFormat="1">
      <c r="A9" s="415" t="s">
        <v>2553</v>
      </c>
      <c r="B9" s="71" t="s">
        <v>2554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2" t="s">
        <v>2555</v>
      </c>
      <c r="Q9" s="1797"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82"/>
      <c r="Q10" s="1797" t="str">
        <f t="shared" si="6"/>
        <v>土地使用年限（年）</v>
      </c>
      <c r="R10" s="770" t="s">
        <v>17</v>
      </c>
      <c r="S10" s="771">
        <f t="shared" si="0"/>
        <v>111</v>
      </c>
      <c r="T10" s="770" t="s">
        <v>17</v>
      </c>
      <c r="U10" s="771">
        <f t="shared" si="1"/>
        <v>111</v>
      </c>
      <c r="V10" s="770" t="s">
        <v>17</v>
      </c>
      <c r="W10" s="771">
        <f t="shared" si="2"/>
        <v>111</v>
      </c>
      <c r="X10" s="772"/>
      <c r="Y10" s="3041"/>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7"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7">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7">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7">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2559</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7" t="s">
        <v>2560</v>
      </c>
      <c r="Q15" s="1812" t="str">
        <f t="shared" si="6"/>
        <v>产业集聚程度</v>
      </c>
      <c r="R15" s="774" t="s">
        <v>17</v>
      </c>
      <c r="S15" s="775">
        <f t="shared" si="0"/>
        <v>100</v>
      </c>
      <c r="T15" s="774" t="s">
        <v>17</v>
      </c>
      <c r="U15" s="775">
        <f t="shared" si="1"/>
        <v>100</v>
      </c>
      <c r="V15" s="774" t="s">
        <v>17</v>
      </c>
      <c r="W15" s="775">
        <f t="shared" si="2"/>
        <v>100</v>
      </c>
      <c r="X15" s="1815"/>
      <c r="Y15" s="3197"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98"/>
      <c r="Q16" s="1812"/>
      <c r="R16" s="774"/>
      <c r="S16" s="775"/>
      <c r="T16" s="774"/>
      <c r="U16" s="775"/>
      <c r="V16" s="774"/>
      <c r="W16" s="775"/>
      <c r="X16" s="1815"/>
      <c r="Y16" s="3198"/>
      <c r="Z16" s="1816"/>
      <c r="AA16" s="1813">
        <v>1</v>
      </c>
      <c r="AB16" s="1813">
        <v>1</v>
      </c>
      <c r="AC16" s="1813">
        <v>1</v>
      </c>
    </row>
    <row r="17" spans="1:29" ht="85.5">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8"/>
      <c r="Q17" s="1812" t="str">
        <f>B17</f>
        <v>交通便捷度</v>
      </c>
      <c r="R17" s="774" t="s">
        <v>17</v>
      </c>
      <c r="S17" s="775">
        <f>F17</f>
        <v>100</v>
      </c>
      <c r="T17" s="774" t="s">
        <v>17</v>
      </c>
      <c r="U17" s="775">
        <f>H17</f>
        <v>100</v>
      </c>
      <c r="V17" s="774" t="s">
        <v>17</v>
      </c>
      <c r="W17" s="775">
        <f>J17</f>
        <v>100</v>
      </c>
      <c r="X17" s="1815"/>
      <c r="Y17" s="319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98"/>
      <c r="Q18" s="1812"/>
      <c r="R18" s="774"/>
      <c r="S18" s="775"/>
      <c r="T18" s="774"/>
      <c r="U18" s="775"/>
      <c r="V18" s="774"/>
      <c r="W18" s="775"/>
      <c r="X18" s="1815"/>
      <c r="Y18" s="3198"/>
      <c r="Z18" s="1816"/>
      <c r="AA18" s="1813">
        <v>1</v>
      </c>
      <c r="AB18" s="1813">
        <v>1</v>
      </c>
      <c r="AC18" s="1813">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8"/>
      <c r="Q19" s="1812" t="str">
        <f t="shared" ref="Q19:Q33" si="8">B19</f>
        <v>区域土地利用方向</v>
      </c>
      <c r="R19" s="774" t="s">
        <v>17</v>
      </c>
      <c r="S19" s="775">
        <f>F19</f>
        <v>100</v>
      </c>
      <c r="T19" s="774" t="s">
        <v>17</v>
      </c>
      <c r="U19" s="775">
        <f>H19</f>
        <v>100</v>
      </c>
      <c r="V19" s="774" t="s">
        <v>17</v>
      </c>
      <c r="W19" s="775">
        <f>J19</f>
        <v>100</v>
      </c>
      <c r="X19" s="1815"/>
      <c r="Y19" s="319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98"/>
      <c r="Q20" s="1812"/>
      <c r="R20" s="774"/>
      <c r="S20" s="775"/>
      <c r="T20" s="774"/>
      <c r="U20" s="775"/>
      <c r="V20" s="774"/>
      <c r="W20" s="775"/>
      <c r="X20" s="1815"/>
      <c r="Y20" s="3198"/>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8"/>
      <c r="Q21" s="1812" t="str">
        <f t="shared" si="8"/>
        <v>环境状况</v>
      </c>
      <c r="R21" s="774" t="s">
        <v>17</v>
      </c>
      <c r="S21" s="775">
        <f>F21</f>
        <v>100</v>
      </c>
      <c r="T21" s="774" t="s">
        <v>17</v>
      </c>
      <c r="U21" s="775">
        <f>H21</f>
        <v>100</v>
      </c>
      <c r="V21" s="774" t="s">
        <v>17</v>
      </c>
      <c r="W21" s="775">
        <f>J21</f>
        <v>100</v>
      </c>
      <c r="X21" s="1815"/>
      <c r="Y21" s="319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98"/>
      <c r="Q22" s="1812"/>
      <c r="R22" s="774"/>
      <c r="S22" s="775"/>
      <c r="T22" s="774"/>
      <c r="U22" s="775"/>
      <c r="V22" s="774"/>
      <c r="W22" s="775"/>
      <c r="X22" s="1815"/>
      <c r="Y22" s="3198"/>
      <c r="Z22" s="1816"/>
      <c r="AA22" s="1813">
        <v>1</v>
      </c>
      <c r="AB22" s="1813">
        <v>1</v>
      </c>
      <c r="AC22" s="1813">
        <v>1</v>
      </c>
    </row>
    <row r="23" spans="1:29" s="117" customFormat="1" ht="42.75">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8"/>
      <c r="Q23" s="1797" t="str">
        <f t="shared" si="8"/>
        <v>公共配套设施</v>
      </c>
      <c r="R23" s="770" t="s">
        <v>17</v>
      </c>
      <c r="S23" s="771">
        <f>F23</f>
        <v>100</v>
      </c>
      <c r="T23" s="770" t="s">
        <v>17</v>
      </c>
      <c r="U23" s="771">
        <f>H23</f>
        <v>100</v>
      </c>
      <c r="V23" s="770" t="s">
        <v>17</v>
      </c>
      <c r="W23" s="771">
        <f>J23</f>
        <v>100</v>
      </c>
      <c r="X23" s="772"/>
      <c r="Y23" s="319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98"/>
      <c r="Q24" s="1797"/>
      <c r="R24" s="770"/>
      <c r="S24" s="771"/>
      <c r="T24" s="770"/>
      <c r="U24" s="771"/>
      <c r="V24" s="770"/>
      <c r="W24" s="771"/>
      <c r="X24" s="772"/>
      <c r="Y24" s="3198"/>
      <c r="Z24" s="55"/>
      <c r="AA24" s="773">
        <v>1</v>
      </c>
      <c r="AB24" s="773">
        <v>1</v>
      </c>
      <c r="AC24" s="773">
        <v>1</v>
      </c>
    </row>
    <row r="25" spans="1:29" s="117" customFormat="1" ht="28.5">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8"/>
      <c r="Q25" s="1797" t="str">
        <f t="shared" ref="Q25" si="9">B25</f>
        <v>基础设施水平</v>
      </c>
      <c r="R25" s="770" t="s">
        <v>17</v>
      </c>
      <c r="S25" s="771">
        <f>F25</f>
        <v>100</v>
      </c>
      <c r="T25" s="770" t="s">
        <v>17</v>
      </c>
      <c r="U25" s="771">
        <f>H25</f>
        <v>100</v>
      </c>
      <c r="V25" s="770" t="s">
        <v>17</v>
      </c>
      <c r="W25" s="771">
        <f>J25</f>
        <v>100</v>
      </c>
      <c r="X25" s="772"/>
      <c r="Y25" s="319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98"/>
      <c r="Q26" s="1797"/>
      <c r="R26" s="770"/>
      <c r="S26" s="771"/>
      <c r="T26" s="770"/>
      <c r="U26" s="771"/>
      <c r="V26" s="770"/>
      <c r="W26" s="771"/>
      <c r="X26" s="772"/>
      <c r="Y26" s="319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8"/>
      <c r="Z27" s="1816" t="str">
        <f t="shared" ref="Z27:Z40" si="13">Q27</f>
        <v>临街状况</v>
      </c>
      <c r="AA27" s="1813">
        <f t="shared" si="3"/>
        <v>1</v>
      </c>
      <c r="AB27" s="1813">
        <f t="shared" si="4"/>
        <v>1</v>
      </c>
      <c r="AC27" s="1813">
        <f t="shared" si="5"/>
        <v>1</v>
      </c>
    </row>
    <row r="28" spans="1:29" ht="27">
      <c r="A28" s="428"/>
      <c r="B28" s="633" t="s">
        <v>2691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8"/>
      <c r="Q28" s="1812" t="str">
        <f t="shared" si="8"/>
        <v>毗邻道路的类型与等级</v>
      </c>
      <c r="R28" s="774" t="s">
        <v>17</v>
      </c>
      <c r="S28" s="775">
        <f t="shared" si="10"/>
        <v>100</v>
      </c>
      <c r="T28" s="774" t="s">
        <v>17</v>
      </c>
      <c r="U28" s="775">
        <f t="shared" si="11"/>
        <v>100</v>
      </c>
      <c r="V28" s="774" t="s">
        <v>17</v>
      </c>
      <c r="W28" s="775">
        <f t="shared" si="12"/>
        <v>100</v>
      </c>
      <c r="X28" s="1815"/>
      <c r="Y28" s="319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98"/>
      <c r="Q29" s="1812"/>
      <c r="R29" s="774"/>
      <c r="S29" s="775"/>
      <c r="T29" s="774"/>
      <c r="U29" s="775"/>
      <c r="V29" s="774"/>
      <c r="W29" s="775"/>
      <c r="X29" s="1815"/>
      <c r="Y29" s="3198"/>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8"/>
      <c r="Q30" s="1812" t="str">
        <f t="shared" si="8"/>
        <v>土地级别</v>
      </c>
      <c r="R30" s="774" t="s">
        <v>17</v>
      </c>
      <c r="S30" s="775">
        <f t="shared" si="10"/>
        <v>100</v>
      </c>
      <c r="T30" s="774" t="s">
        <v>17</v>
      </c>
      <c r="U30" s="775">
        <f t="shared" si="11"/>
        <v>100</v>
      </c>
      <c r="V30" s="774" t="s">
        <v>17</v>
      </c>
      <c r="W30" s="775">
        <f t="shared" si="12"/>
        <v>100</v>
      </c>
      <c r="X30" s="1815"/>
      <c r="Y30" s="319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8"/>
      <c r="Q31" s="1812">
        <f t="shared" si="8"/>
        <v>111</v>
      </c>
      <c r="R31" s="774" t="s">
        <v>17</v>
      </c>
      <c r="S31" s="775">
        <f t="shared" si="10"/>
        <v>100</v>
      </c>
      <c r="T31" s="774" t="s">
        <v>17</v>
      </c>
      <c r="U31" s="775">
        <f t="shared" si="11"/>
        <v>100</v>
      </c>
      <c r="V31" s="774" t="s">
        <v>17</v>
      </c>
      <c r="W31" s="775">
        <f t="shared" si="12"/>
        <v>100</v>
      </c>
      <c r="X31" s="1815"/>
      <c r="Y31" s="319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9" t="s">
        <v>2565</v>
      </c>
      <c r="Q32" s="1812">
        <f t="shared" si="8"/>
        <v>111</v>
      </c>
      <c r="R32" s="774" t="s">
        <v>17</v>
      </c>
      <c r="S32" s="775">
        <f t="shared" si="10"/>
        <v>100</v>
      </c>
      <c r="T32" s="774" t="s">
        <v>17</v>
      </c>
      <c r="U32" s="775">
        <f t="shared" si="11"/>
        <v>100</v>
      </c>
      <c r="V32" s="774" t="s">
        <v>17</v>
      </c>
      <c r="W32" s="775">
        <f t="shared" si="12"/>
        <v>100</v>
      </c>
      <c r="X32" s="1815"/>
      <c r="Y32" s="3200" t="s">
        <v>2565</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0"/>
      <c r="Q33" s="1812">
        <f t="shared" si="8"/>
        <v>111</v>
      </c>
      <c r="R33" s="777" t="s">
        <v>17</v>
      </c>
      <c r="S33" s="778">
        <f t="shared" si="10"/>
        <v>100</v>
      </c>
      <c r="T33" s="777" t="s">
        <v>17</v>
      </c>
      <c r="U33" s="778">
        <f t="shared" si="11"/>
        <v>100</v>
      </c>
      <c r="V33" s="777" t="s">
        <v>17</v>
      </c>
      <c r="W33" s="778">
        <f t="shared" si="12"/>
        <v>100</v>
      </c>
      <c r="X33" s="779"/>
      <c r="Y33" s="3200"/>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0"/>
      <c r="Q34" s="1812" t="str">
        <f>B34</f>
        <v>宗地面积</v>
      </c>
      <c r="R34" s="774" t="s">
        <v>17</v>
      </c>
      <c r="S34" s="775" t="e">
        <f t="shared" si="10"/>
        <v>#N/A</v>
      </c>
      <c r="T34" s="774" t="s">
        <v>17</v>
      </c>
      <c r="U34" s="775" t="e">
        <f t="shared" si="11"/>
        <v>#N/A</v>
      </c>
      <c r="V34" s="774" t="s">
        <v>17</v>
      </c>
      <c r="W34" s="775" t="e">
        <f t="shared" si="12"/>
        <v>#N/A</v>
      </c>
      <c r="X34" s="1815"/>
      <c r="Y34" s="3200"/>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00"/>
      <c r="Q35" s="1812" t="str">
        <f t="shared" ref="Q35:Q40" si="14">B35</f>
        <v>宗地形状</v>
      </c>
      <c r="R35" s="774" t="s">
        <v>17</v>
      </c>
      <c r="S35" s="775">
        <f t="shared" si="10"/>
        <v>100</v>
      </c>
      <c r="T35" s="774" t="s">
        <v>17</v>
      </c>
      <c r="U35" s="775">
        <f t="shared" si="11"/>
        <v>100</v>
      </c>
      <c r="V35" s="774" t="s">
        <v>17</v>
      </c>
      <c r="W35" s="775">
        <f t="shared" si="12"/>
        <v>100</v>
      </c>
      <c r="X35" s="1815"/>
      <c r="Y35" s="3200"/>
      <c r="Z35" s="1816" t="str">
        <f t="shared" si="13"/>
        <v>宗地形状</v>
      </c>
      <c r="AA35" s="1813">
        <f t="shared" si="3"/>
        <v>1</v>
      </c>
      <c r="AB35" s="1813">
        <f t="shared" si="4"/>
        <v>1</v>
      </c>
      <c r="AC35" s="1813">
        <f t="shared" si="5"/>
        <v>1</v>
      </c>
    </row>
    <row r="36" spans="1:29" s="117" customFormat="1" ht="15">
      <c r="A36" s="473"/>
      <c r="B36" s="422" t="s">
        <v>2754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00"/>
      <c r="Q36" s="1812" t="str">
        <f t="shared" si="14"/>
        <v>宗地开发程度</v>
      </c>
      <c r="R36" s="770" t="s">
        <v>17</v>
      </c>
      <c r="S36" s="771">
        <f t="shared" si="10"/>
        <v>100</v>
      </c>
      <c r="T36" s="770" t="s">
        <v>17</v>
      </c>
      <c r="U36" s="771">
        <f t="shared" si="11"/>
        <v>100</v>
      </c>
      <c r="V36" s="770" t="s">
        <v>17</v>
      </c>
      <c r="W36" s="771">
        <f t="shared" si="12"/>
        <v>100</v>
      </c>
      <c r="X36" s="772"/>
      <c r="Y36" s="3200"/>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00" t="s">
        <v>2565</v>
      </c>
      <c r="Q37" s="1812" t="str">
        <f t="shared" si="14"/>
        <v>工程地质条件</v>
      </c>
      <c r="R37" s="774" t="s">
        <v>17</v>
      </c>
      <c r="S37" s="775">
        <f t="shared" si="10"/>
        <v>100</v>
      </c>
      <c r="T37" s="774" t="s">
        <v>17</v>
      </c>
      <c r="U37" s="775">
        <f t="shared" si="11"/>
        <v>100</v>
      </c>
      <c r="V37" s="774" t="s">
        <v>17</v>
      </c>
      <c r="W37" s="775">
        <f t="shared" si="12"/>
        <v>100</v>
      </c>
      <c r="X37" s="1815"/>
      <c r="Y37" s="3200"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0"/>
      <c r="Q38" s="1812">
        <f t="shared" si="14"/>
        <v>111</v>
      </c>
      <c r="R38" s="774" t="s">
        <v>17</v>
      </c>
      <c r="S38" s="775">
        <f t="shared" si="10"/>
        <v>100</v>
      </c>
      <c r="T38" s="774" t="s">
        <v>17</v>
      </c>
      <c r="U38" s="775">
        <f t="shared" si="11"/>
        <v>100</v>
      </c>
      <c r="V38" s="774" t="s">
        <v>17</v>
      </c>
      <c r="W38" s="775">
        <f t="shared" si="12"/>
        <v>100</v>
      </c>
      <c r="X38" s="1815"/>
      <c r="Y38" s="3200"/>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0"/>
      <c r="Q39" s="1812">
        <f t="shared" si="14"/>
        <v>111</v>
      </c>
      <c r="R39" s="774" t="s">
        <v>17</v>
      </c>
      <c r="S39" s="775">
        <f t="shared" si="10"/>
        <v>100</v>
      </c>
      <c r="T39" s="774" t="s">
        <v>17</v>
      </c>
      <c r="U39" s="775">
        <f t="shared" si="11"/>
        <v>100</v>
      </c>
      <c r="V39" s="774" t="s">
        <v>17</v>
      </c>
      <c r="W39" s="775">
        <f t="shared" si="12"/>
        <v>100</v>
      </c>
      <c r="X39" s="1815"/>
      <c r="Y39" s="3200"/>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0"/>
      <c r="Q40" s="1812">
        <f t="shared" si="14"/>
        <v>111</v>
      </c>
      <c r="R40" s="777" t="s">
        <v>17</v>
      </c>
      <c r="S40" s="778">
        <f t="shared" si="10"/>
        <v>100</v>
      </c>
      <c r="T40" s="777" t="s">
        <v>17</v>
      </c>
      <c r="U40" s="778">
        <f t="shared" si="11"/>
        <v>100</v>
      </c>
      <c r="V40" s="777" t="s">
        <v>17</v>
      </c>
      <c r="W40" s="778">
        <f t="shared" si="12"/>
        <v>100</v>
      </c>
      <c r="X40" s="779"/>
      <c r="Y40" s="3200"/>
      <c r="Z40" s="780">
        <f t="shared" si="13"/>
        <v>111</v>
      </c>
      <c r="AA40" s="1813">
        <f t="shared" si="3"/>
        <v>1</v>
      </c>
      <c r="AB40" s="1813">
        <f t="shared" si="4"/>
        <v>1</v>
      </c>
      <c r="AC40" s="1813">
        <f t="shared" si="5"/>
        <v>1</v>
      </c>
    </row>
    <row r="41" spans="1:29" ht="15">
      <c r="A41" s="479" t="s">
        <v>2720</v>
      </c>
      <c r="B41" s="2710" t="s">
        <v>2800</v>
      </c>
      <c r="C41" s="682" t="s">
        <v>1</v>
      </c>
      <c r="D41" s="481"/>
      <c r="E41" s="482"/>
      <c r="F41" s="483"/>
      <c r="G41" s="484"/>
      <c r="H41" s="485"/>
      <c r="I41" s="482"/>
      <c r="J41" s="485"/>
      <c r="K41" s="783"/>
      <c r="L41" s="1146"/>
      <c r="M41" s="1134"/>
      <c r="N41" s="1134"/>
      <c r="O41" s="1147"/>
      <c r="P41" s="3182" t="str">
        <f>A41</f>
        <v>成交单价</v>
      </c>
      <c r="Q41" s="3182"/>
      <c r="R41" s="3195">
        <f>E41</f>
        <v>0</v>
      </c>
      <c r="S41" s="3195"/>
      <c r="T41" s="3195">
        <f>G41</f>
        <v>0</v>
      </c>
      <c r="U41" s="3195"/>
      <c r="V41" s="3195">
        <f>I41</f>
        <v>0</v>
      </c>
      <c r="W41" s="319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01" t="e">
        <f>ROUND(PRODUCT(R41,AA7:AA40),0)</f>
        <v>#DIV/0!</v>
      </c>
      <c r="S42" s="3201"/>
      <c r="T42" s="3201" t="e">
        <f>ROUND(PRODUCT(T41,AB7:AB40),0)</f>
        <v>#DIV/0!</v>
      </c>
      <c r="U42" s="3201"/>
      <c r="V42" s="3201" t="e">
        <f>ROUND(PRODUCT(V41,AC7:AC40),0)</f>
        <v>#DIV/0!</v>
      </c>
      <c r="W42" s="3201"/>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02" t="str">
        <f>A43</f>
        <v>估价对象XX用房的比较价值（楼面单价，元/平方米）</v>
      </c>
      <c r="Q43" s="3203"/>
      <c r="R43" s="3204" t="e">
        <f>ROUND(AVERAGE(R42:V42),0)</f>
        <v>#DIV/0!</v>
      </c>
      <c r="S43" s="3204"/>
      <c r="T43" s="3204"/>
      <c r="U43" s="3204"/>
      <c r="V43" s="3204"/>
      <c r="W43" s="32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183" t="s">
        <v>2764</v>
      </c>
      <c r="H50" s="3205"/>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34338.32</v>
      </c>
      <c r="F51" s="691" t="e">
        <f t="shared" ref="F51:F60" si="15">ROUND(B51*E51/10000,0)</f>
        <v>#DIV/0!</v>
      </c>
      <c r="G51" s="3206"/>
      <c r="H51" s="3182"/>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07"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07"/>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07"/>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07"/>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5"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16074.03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4" t="str">
        <f>YEAR(C63)&amp;"-"&amp;ROUNDUP(MONTH(C63)/3,0)</f>
        <v>2019-3</v>
      </c>
      <c r="D65" s="1574" t="str">
        <f t="shared" ref="D65:O65" si="19">YEAR(D63)&amp;"-"&amp;ROUNDUP(MONTH(D63)/3,0)</f>
        <v>2019-2</v>
      </c>
      <c r="E65" s="1574" t="str">
        <f t="shared" si="19"/>
        <v>2019-1</v>
      </c>
      <c r="F65" s="1574" t="str">
        <f t="shared" si="19"/>
        <v>2018-4</v>
      </c>
      <c r="G65" s="1574" t="str">
        <f t="shared" si="19"/>
        <v>2018-3</v>
      </c>
      <c r="H65" s="1574" t="str">
        <f t="shared" si="19"/>
        <v>2018-2</v>
      </c>
      <c r="I65" s="1574" t="str">
        <f t="shared" si="19"/>
        <v>2018-1</v>
      </c>
      <c r="J65" s="1574" t="str">
        <f t="shared" si="19"/>
        <v>2017-4</v>
      </c>
      <c r="K65" s="1574" t="str">
        <f t="shared" si="19"/>
        <v>2017-3</v>
      </c>
      <c r="L65" s="1574" t="str">
        <f t="shared" si="19"/>
        <v>2017-2</v>
      </c>
      <c r="M65" s="1574" t="str">
        <f t="shared" si="19"/>
        <v>2017-1</v>
      </c>
      <c r="N65" s="1574" t="str">
        <f t="shared" si="19"/>
        <v>2016-4</v>
      </c>
      <c r="O65" s="1574" t="str">
        <f t="shared" si="19"/>
        <v>2016-3</v>
      </c>
      <c r="P65" s="507"/>
    </row>
    <row r="66" spans="1:17" s="117" customFormat="1" ht="30.75" customHeight="1">
      <c r="A66" s="2722"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2804</v>
      </c>
      <c r="B1" s="241"/>
      <c r="C1" s="245" t="s">
        <v>2805</v>
      </c>
      <c r="D1" s="388">
        <f>SUM(D29:D30,D33:D39)</f>
        <v>0</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27" t="s">
        <v>2813</v>
      </c>
      <c r="D2" s="2728" t="s">
        <v>2814</v>
      </c>
      <c r="E2" s="2729"/>
      <c r="F2" s="2728" t="s">
        <v>2815</v>
      </c>
      <c r="G2" s="2730">
        <f>IF(E2="商业",项目基本情况!B37,IF(E2="办公",项目基本情况!C37,IF(E2="住宅",项目基本情况!D37,项目基本情况!E37)))</f>
        <v>0</v>
      </c>
      <c r="H2" s="2728" t="s">
        <v>2816</v>
      </c>
      <c r="I2" s="2730">
        <f>IF(E2="商业",项目基本情况!B38,IF(E2="办公",项目基本情况!C38,IF(E2="住宅",项目基本情况!D38,项目基本情况!E38)))</f>
        <v>0</v>
      </c>
      <c r="J2" s="2731"/>
      <c r="K2" s="1373"/>
      <c r="L2" s="2732"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27" t="s">
        <v>2819</v>
      </c>
      <c r="D3" s="2728" t="s">
        <v>2820</v>
      </c>
      <c r="E3" s="2733"/>
      <c r="F3" s="2734" t="s">
        <v>2821</v>
      </c>
      <c r="G3" s="916">
        <f>IF(F3="宗地容积率",'数据-汇总表'!I4,IF(F3="估价对象容积率",'数据-汇总表'!I6,'数据-汇总表'!I7))</f>
        <v>2.14</v>
      </c>
      <c r="H3" s="198" t="s">
        <v>2822</v>
      </c>
      <c r="I3" s="947"/>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8"/>
      <c r="B4" s="3279"/>
      <c r="C4" s="3279"/>
      <c r="D4" s="3280"/>
      <c r="E4" s="3280"/>
      <c r="F4" s="3280"/>
      <c r="G4" s="3280"/>
      <c r="H4" s="3280"/>
      <c r="I4" s="3280"/>
      <c r="J4" s="3281"/>
      <c r="K4" s="1373"/>
      <c r="L4" s="2732"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8">
        <f>SUMIF(L1:L12,G2,M1:M12)</f>
        <v>0</v>
      </c>
      <c r="D6" s="2747" t="s">
        <v>2830</v>
      </c>
      <c r="E6" s="2748"/>
      <c r="F6" s="2748"/>
      <c r="G6" s="2749"/>
      <c r="H6" s="2749"/>
      <c r="I6" s="2749"/>
      <c r="J6" s="2750"/>
      <c r="K6" s="1844"/>
      <c r="L6" s="2732"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64" t="str">
        <f>IF(E2="商业",IF(C8="不临58条商业街","",2),"")</f>
        <v/>
      </c>
      <c r="B7" s="2751" t="s">
        <v>2832</v>
      </c>
      <c r="C7" s="919" t="e">
        <f>IF(C8="不临58条商业街",1,ROUND(1+(1.6*E8+1.2*E9+0.8*E10+0.4*E11)*C9,4))</f>
        <v>#DIV/0!</v>
      </c>
      <c r="D7" s="2752" t="s">
        <v>2833</v>
      </c>
      <c r="E7" s="948"/>
      <c r="F7" s="2753"/>
      <c r="G7" s="2754"/>
      <c r="H7" s="2754"/>
      <c r="I7" s="2754"/>
      <c r="J7" s="2755"/>
      <c r="K7" s="1844"/>
      <c r="L7" s="2732"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2.14</v>
      </c>
      <c r="AA7" s="1608"/>
      <c r="AB7" s="1608"/>
      <c r="AC7" s="1609"/>
      <c r="AD7" s="1610"/>
      <c r="AE7" s="1610"/>
      <c r="AF7" s="1610"/>
      <c r="AG7" s="1610"/>
      <c r="AH7" s="1610"/>
      <c r="AI7" s="1610"/>
      <c r="AJ7" s="1611"/>
    </row>
    <row r="8" spans="1:36" ht="15">
      <c r="A8" s="3265"/>
      <c r="B8" s="198" t="s">
        <v>2837</v>
      </c>
      <c r="C8" s="2756"/>
      <c r="D8" s="920" t="s">
        <v>139</v>
      </c>
      <c r="E8" s="921" t="e">
        <f>ROUND(C11/E7,4)</f>
        <v>#DIV/0!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5" t="s">
        <v>2840</v>
      </c>
      <c r="X8" s="3276"/>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65"/>
      <c r="B9" s="198" t="s">
        <v>2853</v>
      </c>
      <c r="C9" s="922">
        <f>SUMIF(修正!C59:C119,C8,修正!E59:E119)</f>
        <v>0</v>
      </c>
      <c r="D9" s="200" t="s">
        <v>140</v>
      </c>
      <c r="E9" s="200" t="e">
        <f>ROUND(C11/E7,4)</f>
        <v>#DIV/0!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7"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5"/>
      <c r="B10" s="198" t="s">
        <v>2858</v>
      </c>
      <c r="C10" s="200">
        <f>SUMIF(修正!C59:C119,C8,修正!F59:F119)</f>
        <v>0</v>
      </c>
      <c r="D10" s="200" t="s">
        <v>141</v>
      </c>
      <c r="E10" s="200" t="e">
        <f>ROUND(C11/E7,4)</f>
        <v>#DIV/0!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5"/>
      <c r="B11" s="2760" t="s">
        <v>2861</v>
      </c>
      <c r="C11" s="923">
        <f>C10/4</f>
        <v>0</v>
      </c>
      <c r="D11" s="923" t="s">
        <v>142</v>
      </c>
      <c r="E11" s="923" t="e">
        <f>ROUND(C11/E7,4)</f>
        <v>#DIV/0!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7" t="s">
        <v>2864</v>
      </c>
      <c r="X11" s="1616" t="s">
        <v>2865</v>
      </c>
      <c r="Y11" s="1617">
        <f>$G$3</f>
        <v>2.14</v>
      </c>
      <c r="Z11" s="1617">
        <f t="shared" ref="Z11:AJ11" si="3">$G$3</f>
        <v>2.14</v>
      </c>
      <c r="AA11" s="1617">
        <f t="shared" si="3"/>
        <v>2.14</v>
      </c>
      <c r="AB11" s="1617">
        <f t="shared" si="3"/>
        <v>2.14</v>
      </c>
      <c r="AC11" s="1617">
        <f t="shared" si="3"/>
        <v>2.14</v>
      </c>
      <c r="AD11" s="1617">
        <f t="shared" si="3"/>
        <v>2.14</v>
      </c>
      <c r="AE11" s="1617">
        <f t="shared" si="3"/>
        <v>2.14</v>
      </c>
      <c r="AF11" s="1617">
        <f t="shared" si="3"/>
        <v>2.14</v>
      </c>
      <c r="AG11" s="1617">
        <f t="shared" si="3"/>
        <v>2.14</v>
      </c>
      <c r="AH11" s="1617">
        <f t="shared" si="3"/>
        <v>2.14</v>
      </c>
      <c r="AI11" s="1617">
        <f t="shared" si="3"/>
        <v>2.14</v>
      </c>
      <c r="AJ11" s="1617">
        <f t="shared" si="3"/>
        <v>2.14</v>
      </c>
    </row>
    <row r="12" spans="1:36" ht="25.5" thickBot="1">
      <c r="A12" s="3264" t="s">
        <v>2866</v>
      </c>
      <c r="B12" s="2764" t="s">
        <v>2867</v>
      </c>
      <c r="C12" s="919">
        <f>ROUND(C15*D15*E15*F15*G15*H15*I15*J15,4)</f>
        <v>1</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7"/>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2"/>
      <c r="B13" s="2770" t="s">
        <v>2871</v>
      </c>
      <c r="C13" s="2771" t="s">
        <v>2872</v>
      </c>
      <c r="D13" s="1810" t="s">
        <v>2873</v>
      </c>
      <c r="E13" s="1810" t="s">
        <v>2874</v>
      </c>
      <c r="F13" s="30" t="s">
        <v>2875</v>
      </c>
      <c r="G13" s="2772" t="s">
        <v>2876</v>
      </c>
      <c r="H13" s="2772" t="s">
        <v>2876</v>
      </c>
      <c r="I13" s="2772" t="s">
        <v>2876</v>
      </c>
      <c r="J13" s="2773" t="s">
        <v>2876</v>
      </c>
      <c r="K13" s="1373"/>
      <c r="L13" s="1373"/>
      <c r="M13" s="1373"/>
      <c r="N13" s="1373"/>
      <c r="O13" s="1373"/>
      <c r="P13" s="1373"/>
      <c r="Q13" s="1373"/>
      <c r="R13" s="1604">
        <v>12</v>
      </c>
      <c r="S13" s="1605"/>
      <c r="T13" s="1604" t="e">
        <f t="shared" si="0"/>
        <v>#DIV/0!</v>
      </c>
      <c r="U13" s="1605"/>
      <c r="V13" s="1604" t="e">
        <f t="shared" si="1"/>
        <v>#DIV/0!</v>
      </c>
      <c r="W13" s="3277"/>
      <c r="X13" s="1618"/>
      <c r="Y13" s="1615">
        <f>(-0.163*(Y12^2)-0.59*Y12+7617)*(10^(-4))/Y11</f>
        <v>0.35593457943925233</v>
      </c>
      <c r="Z13" s="1615">
        <f t="shared" ref="Z13:AJ13" si="5">(-0.163*(Z12^2)-0.59*Z12+7617)*(10^(-4))/Z11</f>
        <v>0.35593457943925233</v>
      </c>
      <c r="AA13" s="1615">
        <f t="shared" si="5"/>
        <v>0.35593457943925233</v>
      </c>
      <c r="AB13" s="1615">
        <f t="shared" si="5"/>
        <v>0.35593457943925233</v>
      </c>
      <c r="AC13" s="1615">
        <f t="shared" si="5"/>
        <v>0.35593457943925233</v>
      </c>
      <c r="AD13" s="1615">
        <f t="shared" si="5"/>
        <v>0.35593457943925233</v>
      </c>
      <c r="AE13" s="1615">
        <f t="shared" si="5"/>
        <v>0.35593457943925233</v>
      </c>
      <c r="AF13" s="1615">
        <f t="shared" si="5"/>
        <v>0.35593457943925233</v>
      </c>
      <c r="AG13" s="1615">
        <f t="shared" si="5"/>
        <v>0.35593457943925233</v>
      </c>
      <c r="AH13" s="1615">
        <f t="shared" si="5"/>
        <v>0.35593457943925233</v>
      </c>
      <c r="AI13" s="1615">
        <f t="shared" si="5"/>
        <v>0.35593457943925233</v>
      </c>
      <c r="AJ13" s="1615">
        <f t="shared" si="5"/>
        <v>0.35593457943925233</v>
      </c>
    </row>
    <row r="14" spans="1:36" ht="15">
      <c r="A14" s="3282"/>
      <c r="B14" s="2774"/>
      <c r="C14" s="2775"/>
      <c r="D14" s="2776"/>
      <c r="E14" s="2776"/>
      <c r="F14" s="2777"/>
      <c r="G14" s="2778" t="s">
        <v>2877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3"/>
      <c r="B15" s="2782" t="s">
        <v>2878</v>
      </c>
      <c r="C15" s="229">
        <f>IF(C14="有",1.1,1)</f>
        <v>1</v>
      </c>
      <c r="D15" s="229">
        <f>IF(D14="有",1.1,1)</f>
        <v>1</v>
      </c>
      <c r="E15" s="229">
        <f>IF(E14="有",1.1,1)</f>
        <v>1</v>
      </c>
      <c r="F15" s="229">
        <f>IF(F14="500米范围内",1.2,IF(F14="500-1000米",1.1,1))</f>
        <v>1</v>
      </c>
      <c r="G15" s="949">
        <v>1</v>
      </c>
      <c r="H15" s="949">
        <v>1</v>
      </c>
      <c r="I15" s="949">
        <v>1</v>
      </c>
      <c r="J15" s="950">
        <v>1</v>
      </c>
      <c r="K15" s="1373"/>
      <c r="L15" s="2783" t="s">
        <v>2814</v>
      </c>
      <c r="M15" s="920" t="s">
        <v>2879</v>
      </c>
      <c r="N15" s="920" t="s">
        <v>2880</v>
      </c>
      <c r="O15" s="920" t="s">
        <v>2881</v>
      </c>
      <c r="P15" s="2784"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4" t="s">
        <v>2883</v>
      </c>
      <c r="B16" s="2751" t="s">
        <v>2884</v>
      </c>
      <c r="C16" s="1803" t="e">
        <f>ROUND(SUM(G17:J17)/C17,0)</f>
        <v>#DIV/0!</v>
      </c>
      <c r="D16" s="2785" t="s">
        <v>2885</v>
      </c>
      <c r="E16" s="2786"/>
      <c r="F16" s="2787"/>
      <c r="G16" s="2788"/>
      <c r="H16" s="2788"/>
      <c r="I16" s="2788"/>
      <c r="J16" s="2789"/>
      <c r="K16" s="1373"/>
      <c r="L16" s="2790"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5"/>
      <c r="B17" s="2791" t="s">
        <v>2887</v>
      </c>
      <c r="C17" s="924">
        <f>SUMPRODUCT((修正!A2:A5=E2)*(修正!B1:M1=G2)*(修正!B2:M5))</f>
        <v>0</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2892</v>
      </c>
      <c r="C19" s="927" t="e">
        <f>ROUND(IF(H19="按公示增长率计算",SUMPRODUCT((地价!A3:A25=YEAR(G19)&amp;"-"&amp;ROUNDUP(MONTH(G19)/3,0))*(地价!X2:AB2=E2)*(地价!X3:AB25)),IF(H19="地价指数",M20/M19,(1+I19)^O19)),4)</f>
        <v>#DIV/0!</v>
      </c>
      <c r="D19" s="2803" t="s">
        <v>2893</v>
      </c>
      <c r="E19" s="928">
        <v>41640</v>
      </c>
      <c r="F19" s="2803" t="s">
        <v>2894</v>
      </c>
      <c r="G19" s="929">
        <f>'数据-取费表'!B2</f>
        <v>43689</v>
      </c>
      <c r="H19" s="2804" t="s">
        <v>2895</v>
      </c>
      <c r="I19" s="930" t="str">
        <f>IF(H19="季度增幅（自定义）",SUMIF(N21:N24,E2,O21:O24),"")</f>
        <v/>
      </c>
      <c r="J19" s="2801"/>
      <c r="K19" s="1380"/>
      <c r="L19" s="2805" t="s">
        <v>2896</v>
      </c>
      <c r="M19" s="1736">
        <f>ROUND(SUMIF(地价!B2:F2,E2,地价!B25:F25),0)</f>
        <v>0</v>
      </c>
      <c r="N19" s="2806" t="s">
        <v>2897</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2898</v>
      </c>
      <c r="C20" s="932" t="e">
        <f>ROUND(POWER(1+G20,J20-I20)*(POWER(1+G20,I20)-1)/(POWER(1+G20,J20)-1),4)</f>
        <v>#DIV/0!</v>
      </c>
      <c r="D20" s="2812" t="s">
        <v>2899</v>
      </c>
      <c r="E20" s="1770">
        <f ca="1">存贷款利率!D4/100</f>
        <v>4.3499999999999997E-2</v>
      </c>
      <c r="F20" s="2812" t="s">
        <v>2890</v>
      </c>
      <c r="G20" s="937">
        <f>SUMIF(M15:P15,E2,M17:P17)</f>
        <v>0</v>
      </c>
      <c r="H20" s="2812" t="s">
        <v>2900</v>
      </c>
      <c r="I20" s="938" t="e">
        <f>SUMIF('数据-取费表'!C6:C15,E2,'数据-取费表'!F6:F15)/COUNTIF('数据-取费表'!C6:C15,E2)</f>
        <v>#DIV/0!</v>
      </c>
      <c r="J20" s="939">
        <f>IF(E2="住宅",70,IF(E2="商业",40,50))</f>
        <v>50</v>
      </c>
      <c r="K20" s="1380"/>
      <c r="L20" s="2813" t="s">
        <v>2901</v>
      </c>
      <c r="M20" s="1737">
        <f>ROUND(SUMPRODUCT((地价!A4:A25=YEAR(G19)&amp;"-"&amp;ROUNDUP(MONTH(G19)/3,0))*(地价!B2:F2=E2)*(地价!B4:F25)),0)</f>
        <v>0</v>
      </c>
      <c r="N20" s="2814" t="s">
        <v>2902</v>
      </c>
      <c r="O20" s="2815" t="s">
        <v>2903</v>
      </c>
      <c r="P20" s="2816" t="s">
        <v>2904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2905</v>
      </c>
      <c r="C21" s="940">
        <f>IF(B21="容积率修正",IF(G3&lt;=10,D22,J22),C23)</f>
        <v>0</v>
      </c>
      <c r="D21" s="2819"/>
      <c r="E21" s="2819"/>
      <c r="F21" s="2819"/>
      <c r="G21" s="2819"/>
      <c r="H21" s="2819"/>
      <c r="I21" s="2819"/>
      <c r="J21" s="2820"/>
      <c r="K21" s="1380"/>
      <c r="N21" s="2821" t="s">
        <v>2906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2907</v>
      </c>
      <c r="B22" s="2822" t="s">
        <v>2908</v>
      </c>
      <c r="C22" s="1812" t="s">
        <v>2909</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2911</v>
      </c>
      <c r="B23" s="2823" t="s">
        <v>2912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2914</v>
      </c>
      <c r="C24" s="927">
        <f>SUMIF(A45:A88,E2,B45:B88)</f>
        <v>0</v>
      </c>
      <c r="D24" s="2799"/>
      <c r="E24" s="2829"/>
      <c r="F24" s="2829"/>
      <c r="G24" s="2829"/>
      <c r="H24" s="2829"/>
      <c r="I24" s="2829"/>
      <c r="J24" s="2830"/>
      <c r="K24" s="1380"/>
      <c r="N24" s="2831" t="s">
        <v>2915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2916</v>
      </c>
      <c r="C25" s="933"/>
      <c r="D25" s="2754"/>
      <c r="E25" s="2754"/>
      <c r="F25" s="2833"/>
      <c r="G25" s="2754"/>
      <c r="H25" s="2754"/>
      <c r="I25" s="2754"/>
      <c r="J25" s="2755"/>
      <c r="K25" s="1373"/>
      <c r="N25" s="2834" t="s">
        <v>2917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2920</v>
      </c>
      <c r="C28" s="2846" t="s">
        <v>2921</v>
      </c>
      <c r="D28" s="2846" t="s">
        <v>2922</v>
      </c>
      <c r="E28" s="2847" t="s">
        <v>2923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2924</v>
      </c>
      <c r="C29" s="206" t="e">
        <f>ROUND(C5*C18*C19*C20*C21*C24,0)</f>
        <v>#DIV/0!</v>
      </c>
      <c r="D29" s="2851"/>
      <c r="E29" s="945" t="e">
        <f>ROUND(C29*D29/10000,0)</f>
        <v>#DIV/0!</v>
      </c>
      <c r="F29" s="2852" t="s">
        <v>2925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2926</v>
      </c>
      <c r="C30" s="229" t="e">
        <f>ROUND(IF(E2="工业",C29*M39,C29*M38),0)</f>
        <v>#DIV/0!</v>
      </c>
      <c r="D30" s="2857"/>
      <c r="E30" s="945" t="e">
        <f>ROUND(C30*D30/10000,0)</f>
        <v>#DIV/0!</v>
      </c>
      <c r="F30" s="2858" t="s">
        <v>2927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2921</v>
      </c>
      <c r="D32" s="498" t="s">
        <v>2922</v>
      </c>
      <c r="E32" s="498" t="s">
        <v>2923</v>
      </c>
      <c r="F32" s="388" t="s">
        <v>2931</v>
      </c>
      <c r="G32" s="2866" t="s">
        <v>2921</v>
      </c>
      <c r="H32" s="2866" t="s">
        <v>2922</v>
      </c>
      <c r="I32" s="2866"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2" t="s">
        <v>2932</v>
      </c>
      <c r="B33" s="2867" t="s">
        <v>2933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71" t="s">
        <v>2934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71" t="s">
        <v>2935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4"/>
      <c r="B36" s="2771" t="s">
        <v>2936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2938</v>
      </c>
      <c r="M37" s="2871"/>
      <c r="N37" s="1373"/>
      <c r="O37" s="1373"/>
      <c r="P37" s="1373"/>
      <c r="Q37" s="1373"/>
      <c r="R37" s="1373"/>
      <c r="S37" s="1373"/>
      <c r="T37" s="1373"/>
      <c r="U37" s="1373"/>
      <c r="V37" s="1373"/>
      <c r="W37" s="1373"/>
      <c r="X37" s="1373"/>
      <c r="Y37" s="1373"/>
      <c r="Z37" s="1374"/>
    </row>
    <row r="38" spans="1:37">
      <c r="A38" s="2869"/>
      <c r="B38" s="2771" t="s">
        <v>2939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2940</v>
      </c>
      <c r="M38" s="2872">
        <v>0.25</v>
      </c>
      <c r="N38" s="1373"/>
      <c r="O38" s="1373"/>
      <c r="P38" s="1373"/>
      <c r="Q38" s="1373"/>
      <c r="R38" s="1373"/>
      <c r="S38" s="1373"/>
      <c r="T38" s="1373"/>
      <c r="U38" s="1373"/>
      <c r="V38" s="1373"/>
      <c r="W38" s="1373"/>
      <c r="X38" s="1373"/>
      <c r="Y38" s="1373"/>
      <c r="Z38" s="1374"/>
    </row>
    <row r="39" spans="1:37" ht="13.5" thickBot="1">
      <c r="A39" s="2855"/>
      <c r="B39" s="2873" t="s">
        <v>2941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3052</v>
      </c>
      <c r="C41" s="388" t="e">
        <f>ROUND(POWER(1+E41,H41-G41)*(POWER(1+E41,G41)-1)/(POWER(1+E41,H41)-1),4)</f>
        <v>#DIV/0!</v>
      </c>
      <c r="D41" s="200" t="s">
        <v>2890</v>
      </c>
      <c r="E41" s="2943">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2944</v>
      </c>
      <c r="B47" s="1811" t="s">
        <v>2945</v>
      </c>
      <c r="C47" s="1811" t="s">
        <v>2946</v>
      </c>
      <c r="D47" s="1811" t="s">
        <v>2947</v>
      </c>
      <c r="E47" s="819" t="s">
        <v>2948</v>
      </c>
      <c r="F47" s="2885" t="s">
        <v>2949</v>
      </c>
      <c r="G47" s="1811" t="s">
        <v>754</v>
      </c>
      <c r="H47" s="2886" t="s">
        <v>2950</v>
      </c>
      <c r="I47" s="1811" t="s">
        <v>2951</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4" t="s">
        <v>2952</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2953</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2955</v>
      </c>
      <c r="B51" s="2889" t="s">
        <v>2956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2958</v>
      </c>
      <c r="B53" s="2890" t="s">
        <v>2959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2960</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2961</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2962</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2944</v>
      </c>
      <c r="B58" s="1811"/>
      <c r="C58" s="1811" t="s">
        <v>2946</v>
      </c>
      <c r="D58" s="1811" t="s">
        <v>2947</v>
      </c>
      <c r="E58" s="819" t="s">
        <v>2948</v>
      </c>
      <c r="F58" s="2885" t="s">
        <v>2964</v>
      </c>
      <c r="G58" s="1811" t="s">
        <v>754</v>
      </c>
      <c r="H58" s="2886" t="s">
        <v>2950</v>
      </c>
      <c r="I58" s="1811" t="s">
        <v>2951</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4" t="s">
        <v>2965</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2953</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2955</v>
      </c>
      <c r="B62" s="2889" t="s">
        <v>2956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2958</v>
      </c>
      <c r="B64" s="2890" t="s">
        <v>2959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2960</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2961</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2962</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2944</v>
      </c>
      <c r="B69" s="1811"/>
      <c r="C69" s="1811" t="s">
        <v>2946</v>
      </c>
      <c r="D69" s="1811" t="s">
        <v>2947</v>
      </c>
      <c r="E69" s="819" t="s">
        <v>2948</v>
      </c>
      <c r="F69" s="2885" t="s">
        <v>2964</v>
      </c>
      <c r="G69" s="1811" t="s">
        <v>754</v>
      </c>
      <c r="H69" s="2886" t="s">
        <v>2950</v>
      </c>
      <c r="I69" s="1811" t="s">
        <v>2951</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4" t="s">
        <v>2967</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2953</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2960</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2961</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2958</v>
      </c>
      <c r="B76" s="2890" t="s">
        <v>2959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2962</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2970</v>
      </c>
      <c r="B79" s="2881">
        <f>1+E81</f>
        <v>1</v>
      </c>
      <c r="C79" s="814"/>
      <c r="D79" s="814"/>
      <c r="E79" s="815"/>
      <c r="F79" s="2883"/>
      <c r="G79" s="6"/>
      <c r="H79" s="6"/>
      <c r="I79" s="6"/>
      <c r="J79" s="7"/>
      <c r="K79" s="7"/>
      <c r="L79" s="7"/>
      <c r="M79" s="7"/>
      <c r="N79" s="7"/>
      <c r="Z79" s="2726"/>
      <c r="AA79" s="2802"/>
      <c r="AG79" s="1375"/>
      <c r="AK79" s="2802"/>
    </row>
    <row r="80" spans="1:37" ht="24.75">
      <c r="A80" s="2884" t="s">
        <v>2944</v>
      </c>
      <c r="B80" s="1811"/>
      <c r="C80" s="1811" t="s">
        <v>2946</v>
      </c>
      <c r="D80" s="1811" t="s">
        <v>2947</v>
      </c>
      <c r="E80" s="819" t="s">
        <v>2948</v>
      </c>
      <c r="F80" s="2885" t="s">
        <v>2964</v>
      </c>
      <c r="G80" s="1811" t="s">
        <v>754</v>
      </c>
      <c r="H80" s="2886" t="s">
        <v>2950</v>
      </c>
      <c r="I80" s="1811" t="s">
        <v>2951</v>
      </c>
      <c r="J80" s="603" t="s">
        <v>2597</v>
      </c>
      <c r="K80" s="603" t="s">
        <v>2598</v>
      </c>
      <c r="L80" s="603" t="s">
        <v>2599</v>
      </c>
      <c r="M80" s="603" t="s">
        <v>2600</v>
      </c>
      <c r="N80" s="603" t="s">
        <v>2601</v>
      </c>
      <c r="Z80" s="2726"/>
      <c r="AA80" s="2802"/>
      <c r="AG80" s="1375"/>
      <c r="AK80" s="2802"/>
    </row>
    <row r="81" spans="1:37" ht="38.25">
      <c r="A81" s="2884" t="s">
        <v>2971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2960</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2961</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2958</v>
      </c>
      <c r="B87" s="2890" t="s">
        <v>2972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66" t="s">
        <v>2974</v>
      </c>
      <c r="B90" s="3266"/>
      <c r="C90" s="3266"/>
      <c r="D90" s="3266"/>
      <c r="E90" s="3266"/>
      <c r="F90" s="3266"/>
      <c r="G90" s="3266"/>
      <c r="H90" s="3266"/>
      <c r="I90" s="3266"/>
      <c r="J90" s="3266"/>
      <c r="K90" s="2898"/>
      <c r="L90" s="2898"/>
      <c r="M90" s="2898"/>
      <c r="N90" s="2898"/>
    </row>
    <row r="91" spans="1:37">
      <c r="A91" s="3268" t="s">
        <v>2975</v>
      </c>
      <c r="B91" s="3268" t="s">
        <v>2976</v>
      </c>
      <c r="C91" s="2852" t="s">
        <v>2977</v>
      </c>
      <c r="D91" s="2853"/>
      <c r="E91" s="2853"/>
      <c r="F91" s="2853"/>
      <c r="G91" s="2853"/>
      <c r="H91" s="2853"/>
      <c r="I91" s="2853"/>
      <c r="J91" s="2899"/>
      <c r="K91" s="2900"/>
      <c r="L91" s="2900"/>
      <c r="M91" s="2900"/>
      <c r="N91" s="2900"/>
    </row>
    <row r="92" spans="1:37">
      <c r="A92" s="3268"/>
      <c r="B92" s="326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69" t="s">
        <v>2978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0"/>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9" t="s">
        <v>2979</v>
      </c>
      <c r="B101" s="2905" t="s">
        <v>2980</v>
      </c>
      <c r="C101" s="2906">
        <f>$G$3</f>
        <v>2.14</v>
      </c>
      <c r="D101" s="2906">
        <f t="shared" ref="D101:N101" si="31">$G$3</f>
        <v>2.14</v>
      </c>
      <c r="E101" s="2906">
        <f t="shared" si="31"/>
        <v>2.14</v>
      </c>
      <c r="F101" s="2906">
        <f t="shared" si="31"/>
        <v>2.14</v>
      </c>
      <c r="G101" s="2906">
        <f t="shared" si="31"/>
        <v>2.14</v>
      </c>
      <c r="H101" s="2906">
        <f t="shared" si="31"/>
        <v>2.14</v>
      </c>
      <c r="I101" s="2906">
        <f t="shared" si="31"/>
        <v>2.14</v>
      </c>
      <c r="J101" s="2906">
        <f t="shared" si="31"/>
        <v>2.14</v>
      </c>
      <c r="K101" s="2906">
        <f t="shared" si="31"/>
        <v>2.14</v>
      </c>
      <c r="L101" s="2906">
        <f t="shared" si="31"/>
        <v>2.14</v>
      </c>
      <c r="M101" s="2906">
        <f t="shared" si="31"/>
        <v>2.14</v>
      </c>
      <c r="N101" s="2906">
        <f t="shared" si="31"/>
        <v>2.14</v>
      </c>
    </row>
    <row r="102" spans="1:14">
      <c r="A102" s="3270"/>
      <c r="B102" s="2901">
        <v>1</v>
      </c>
      <c r="C102" s="2902">
        <f>1.9362/C101</f>
        <v>0.90476635514018677</v>
      </c>
      <c r="D102" s="2902">
        <f>1.9362/D101</f>
        <v>0.90476635514018677</v>
      </c>
      <c r="E102" s="2902">
        <f>1.8629/E101</f>
        <v>0.87051401869158873</v>
      </c>
      <c r="F102" s="2902">
        <f>1.8629/F101</f>
        <v>0.87051401869158873</v>
      </c>
      <c r="G102" s="2902">
        <f>1.8629/G101</f>
        <v>0.87051401869158873</v>
      </c>
      <c r="H102" s="2902">
        <f>1.8629/H101</f>
        <v>0.87051401869158873</v>
      </c>
      <c r="I102" s="2902">
        <f>1.8629/I101</f>
        <v>0.87051401869158873</v>
      </c>
      <c r="J102" s="2902">
        <f>1.942/J101</f>
        <v>0.90747663551401858</v>
      </c>
      <c r="K102" s="2902">
        <f>1.942/K101</f>
        <v>0.90747663551401858</v>
      </c>
      <c r="L102" s="2902">
        <f>1.942/L101</f>
        <v>0.90747663551401858</v>
      </c>
      <c r="M102" s="2902">
        <f>1.942/M101</f>
        <v>0.90747663551401858</v>
      </c>
      <c r="N102" s="2902">
        <f>1.942/N101</f>
        <v>0.90747663551401858</v>
      </c>
    </row>
    <row r="103" spans="1:14">
      <c r="A103" s="3270"/>
      <c r="B103" s="2901">
        <v>2</v>
      </c>
      <c r="C103" s="2902">
        <f>1.4198/C101</f>
        <v>0.66345794392523361</v>
      </c>
      <c r="D103" s="2902">
        <f>1.4198/D101</f>
        <v>0.66345794392523361</v>
      </c>
      <c r="E103" s="2902">
        <f>1.3372/E101</f>
        <v>0.62485981308411209</v>
      </c>
      <c r="F103" s="2902">
        <f>1.3372/F101</f>
        <v>0.62485981308411209</v>
      </c>
      <c r="G103" s="2902">
        <f>1.3372/G101</f>
        <v>0.62485981308411209</v>
      </c>
      <c r="H103" s="2902">
        <f>1.3372/H101</f>
        <v>0.62485981308411209</v>
      </c>
      <c r="I103" s="2902">
        <f>1.3372/I101</f>
        <v>0.62485981308411209</v>
      </c>
      <c r="J103" s="2902">
        <f>1.2799/J101</f>
        <v>0.59808411214953272</v>
      </c>
      <c r="K103" s="2902">
        <f>1.2799/K101</f>
        <v>0.59808411214953272</v>
      </c>
      <c r="L103" s="2902">
        <f>1.2799/L101</f>
        <v>0.59808411214953272</v>
      </c>
      <c r="M103" s="2902">
        <f>1.2799/M101</f>
        <v>0.59808411214953272</v>
      </c>
      <c r="N103" s="2902">
        <f>1.2799/N101</f>
        <v>0.59808411214953272</v>
      </c>
    </row>
    <row r="104" spans="1:14">
      <c r="A104" s="3270"/>
      <c r="B104" s="2901">
        <v>3</v>
      </c>
      <c r="C104" s="2902">
        <f>1.1594/C101</f>
        <v>0.54177570093457939</v>
      </c>
      <c r="D104" s="2902">
        <f>1.1594/D101</f>
        <v>0.54177570093457939</v>
      </c>
      <c r="E104" s="2902">
        <f>1.0788/E101</f>
        <v>0.50411214953271022</v>
      </c>
      <c r="F104" s="2902">
        <f>1.0788/F101</f>
        <v>0.50411214953271022</v>
      </c>
      <c r="G104" s="2902">
        <f>1.0788/G101</f>
        <v>0.50411214953271022</v>
      </c>
      <c r="H104" s="2902">
        <f>1.0788/H101</f>
        <v>0.50411214953271022</v>
      </c>
      <c r="I104" s="2902">
        <f>1.0788/I101</f>
        <v>0.50411214953271022</v>
      </c>
      <c r="J104" s="2902">
        <f>1.0072/J101</f>
        <v>0.47065420560747667</v>
      </c>
      <c r="K104" s="2902">
        <f>1.0072/K101</f>
        <v>0.47065420560747667</v>
      </c>
      <c r="L104" s="2902">
        <f>1.0072/L101</f>
        <v>0.47065420560747667</v>
      </c>
      <c r="M104" s="2902">
        <f>1.0072/M101</f>
        <v>0.47065420560747667</v>
      </c>
      <c r="N104" s="2902">
        <f>1.0072/N101</f>
        <v>0.47065420560747667</v>
      </c>
    </row>
    <row r="105" spans="1:14">
      <c r="A105" s="3270"/>
      <c r="B105" s="2901">
        <v>4</v>
      </c>
      <c r="C105" s="2902">
        <f>0.9622/C101</f>
        <v>0.44962616822429907</v>
      </c>
      <c r="D105" s="2902">
        <f>0.9622/D101</f>
        <v>0.44962616822429907</v>
      </c>
      <c r="E105" s="2902">
        <f>0.8656/E101</f>
        <v>0.40448598130841124</v>
      </c>
      <c r="F105" s="2902">
        <f>0.8656/F101</f>
        <v>0.40448598130841124</v>
      </c>
      <c r="G105" s="2902">
        <f>0.8656/G101</f>
        <v>0.40448598130841124</v>
      </c>
      <c r="H105" s="2902">
        <f>0.8656/H101</f>
        <v>0.40448598130841124</v>
      </c>
      <c r="I105" s="2902">
        <f>0.8656/I101</f>
        <v>0.40448598130841124</v>
      </c>
      <c r="J105" s="2902">
        <f>0.7525/J101</f>
        <v>0.35163551401869153</v>
      </c>
      <c r="K105" s="2902">
        <f>0.7525/K101</f>
        <v>0.35163551401869153</v>
      </c>
      <c r="L105" s="2902">
        <f>0.7525/L101</f>
        <v>0.35163551401869153</v>
      </c>
      <c r="M105" s="2902">
        <f>0.7525/M101</f>
        <v>0.35163551401869153</v>
      </c>
      <c r="N105" s="2902">
        <f>0.7525/N101</f>
        <v>0.35163551401869153</v>
      </c>
    </row>
    <row r="106" spans="1:14">
      <c r="A106" s="3270"/>
      <c r="B106" s="2901">
        <v>5</v>
      </c>
      <c r="C106" s="2902">
        <f>0.8417/C101</f>
        <v>0.39331775700934579</v>
      </c>
      <c r="D106" s="2902">
        <f>0.8417/D101</f>
        <v>0.39331775700934579</v>
      </c>
      <c r="E106" s="2902">
        <f>0.7371/E101</f>
        <v>0.34443925233644856</v>
      </c>
      <c r="F106" s="2902">
        <f>0.7371/F101</f>
        <v>0.34443925233644856</v>
      </c>
      <c r="G106" s="2902">
        <f>0.7371/G101</f>
        <v>0.34443925233644856</v>
      </c>
      <c r="H106" s="2902">
        <f>0.7371/H101</f>
        <v>0.34443925233644856</v>
      </c>
      <c r="I106" s="2902">
        <f>0.7371/I101</f>
        <v>0.34443925233644856</v>
      </c>
      <c r="J106" s="2902">
        <f>0.5659/J101</f>
        <v>0.26443925233644855</v>
      </c>
      <c r="K106" s="2902">
        <f>0.5659/K101</f>
        <v>0.26443925233644855</v>
      </c>
      <c r="L106" s="2902">
        <f>0.5659/L101</f>
        <v>0.26443925233644855</v>
      </c>
      <c r="M106" s="2902">
        <f>0.5659/M101</f>
        <v>0.26443925233644855</v>
      </c>
      <c r="N106" s="2902">
        <f>0.5659/N101</f>
        <v>0.26443925233644855</v>
      </c>
    </row>
    <row r="107" spans="1:14">
      <c r="A107" s="3270"/>
      <c r="B107" s="2901">
        <v>6</v>
      </c>
      <c r="C107" s="2902">
        <f>0.7608/C101</f>
        <v>0.35551401869158877</v>
      </c>
      <c r="D107" s="2902">
        <f>0.7608/D101</f>
        <v>0.35551401869158877</v>
      </c>
      <c r="E107" s="2902">
        <f>0.6482/E101</f>
        <v>0.30289719626168221</v>
      </c>
      <c r="F107" s="2902">
        <f>0.6482/F101</f>
        <v>0.30289719626168221</v>
      </c>
      <c r="G107" s="2902">
        <f>0.6482/G101</f>
        <v>0.30289719626168221</v>
      </c>
      <c r="H107" s="2902">
        <f>0.6482/H101</f>
        <v>0.30289719626168221</v>
      </c>
      <c r="I107" s="2902">
        <f>0.6482/I101</f>
        <v>0.30289719626168221</v>
      </c>
      <c r="J107" s="2902">
        <f>0.4525/J101</f>
        <v>0.2114485981308411</v>
      </c>
      <c r="K107" s="2902">
        <f>0.4525/K101</f>
        <v>0.2114485981308411</v>
      </c>
      <c r="L107" s="2902">
        <f>0.4525/L101</f>
        <v>0.2114485981308411</v>
      </c>
      <c r="M107" s="2902">
        <f>0.4525/M101</f>
        <v>0.2114485981308411</v>
      </c>
      <c r="N107" s="2902">
        <f>0.4525/N101</f>
        <v>0.2114485981308411</v>
      </c>
    </row>
    <row r="108" spans="1:14">
      <c r="A108" s="3270"/>
      <c r="B108" s="3096" t="s">
        <v>2981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1"/>
      <c r="B109" s="3097"/>
      <c r="C109" s="2904">
        <f>(-0.163*(C108^2)-0.59*C108+7617)*(10^(-4))/C101</f>
        <v>0.35593457943925233</v>
      </c>
      <c r="D109" s="2904">
        <f>(-0.163*(D108^2)-0.59*D108+7617)*(10^(-4))/D101</f>
        <v>0.35593457943925233</v>
      </c>
      <c r="E109" s="2904">
        <f>(-0.161*(E108^2)-7.509*E108+6533)*(10^(-4))/E101</f>
        <v>0.3052803738317757</v>
      </c>
      <c r="F109" s="2904">
        <f>(-0.161*(F108^2)-7.509*F108+6533)*(10^(-4))/F101</f>
        <v>0.3052803738317757</v>
      </c>
      <c r="G109" s="2904">
        <f>(-0.161*(G108^2)-7.509*G108+6533)*(10^(-4))/G101</f>
        <v>0.3052803738317757</v>
      </c>
      <c r="H109" s="2904">
        <f>(-0.161*(H108^2)-7.509*H108+6533)*(10^(-4))/H101</f>
        <v>0.3052803738317757</v>
      </c>
      <c r="I109" s="2904">
        <f>(-0.161*(I108^2)-7.509*I108+6533)*(10^(-4))/I101</f>
        <v>0.3052803738317757</v>
      </c>
      <c r="J109" s="2904">
        <f>(-0.214*(J108^2)-21.991*J108+4665)*(10^(-4))/J101</f>
        <v>0.21799065420560748</v>
      </c>
      <c r="K109" s="2904">
        <f>(-0.214*(K108^2)-21.991*K108+4665)*(10^(-4))/K101</f>
        <v>0.21799065420560748</v>
      </c>
      <c r="L109" s="2904">
        <f>(-0.214*(L108^2)-21.991*L108+4665)*(10^(-4))/L101</f>
        <v>0.21799065420560748</v>
      </c>
      <c r="M109" s="2904">
        <f>(-0.214*(M108^2)-21.991*M108+4665)*(10^(-4))/M101</f>
        <v>0.21799065420560748</v>
      </c>
      <c r="N109" s="2904">
        <f>(-0.214*(N108^2)-21.991*N108+4665)*(10^(-4))/N101</f>
        <v>0.21799065420560748</v>
      </c>
    </row>
    <row r="110" spans="1:14">
      <c r="A110" s="3267" t="s">
        <v>2982</v>
      </c>
      <c r="B110" s="3267"/>
      <c r="C110" s="3267"/>
      <c r="D110" s="3267"/>
      <c r="E110" s="3267"/>
      <c r="F110" s="3267"/>
      <c r="G110" s="3267"/>
      <c r="H110" s="3267"/>
      <c r="I110" s="3267"/>
      <c r="J110" s="3267"/>
      <c r="K110" s="2907"/>
      <c r="L110" s="2907"/>
      <c r="M110" s="2907"/>
      <c r="N110" s="2907"/>
    </row>
    <row r="112" spans="1:14" ht="13.5" thickBot="1"/>
    <row r="113" spans="1:13" ht="25.5" thickBot="1">
      <c r="A113" s="903" t="s">
        <v>2983</v>
      </c>
      <c r="B113" s="1290">
        <f>G3</f>
        <v>2.14</v>
      </c>
      <c r="C113" s="904" t="s">
        <v>2984</v>
      </c>
      <c r="D113" s="905">
        <f>SUMPRODUCT((A115:A118=F113)*(B114:M114=H113)*B115:M118)</f>
        <v>0</v>
      </c>
      <c r="E113" s="2730" t="s">
        <v>2814</v>
      </c>
      <c r="F113" s="2909">
        <f>E2</f>
        <v>0</v>
      </c>
      <c r="G113" s="2730" t="s">
        <v>2815</v>
      </c>
      <c r="H113" s="2909">
        <f>G2</f>
        <v>0</v>
      </c>
      <c r="I113" s="2730"/>
      <c r="J113" s="2910"/>
      <c r="K113" s="2910"/>
      <c r="L113" s="2910"/>
      <c r="M113" s="2910"/>
    </row>
    <row r="114" spans="1:13">
      <c r="A114" s="908"/>
      <c r="B114" s="2911" t="s">
        <v>2985</v>
      </c>
      <c r="C114" s="2911" t="s">
        <v>2986</v>
      </c>
      <c r="D114" s="2911" t="s">
        <v>2987</v>
      </c>
      <c r="E114" s="2912" t="s">
        <v>2988</v>
      </c>
      <c r="F114" s="2912" t="s">
        <v>2989</v>
      </c>
      <c r="G114" s="2912" t="s">
        <v>2990</v>
      </c>
      <c r="H114" s="2913" t="s">
        <v>2991</v>
      </c>
      <c r="I114" s="2913" t="s">
        <v>2992</v>
      </c>
      <c r="J114" s="2914" t="s">
        <v>2993</v>
      </c>
      <c r="K114" s="2914" t="s">
        <v>2994</v>
      </c>
      <c r="L114" s="2914" t="s">
        <v>2995</v>
      </c>
      <c r="M114" s="2915" t="s">
        <v>2996</v>
      </c>
    </row>
    <row r="115" spans="1:13">
      <c r="A115" s="909" t="s">
        <v>2879</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3">I115</f>
        <v>0.65580000000000005</v>
      </c>
      <c r="K115" s="910">
        <f t="shared" si="33"/>
        <v>0.65580000000000005</v>
      </c>
      <c r="L115" s="910">
        <f t="shared" si="33"/>
        <v>0.65580000000000005</v>
      </c>
      <c r="M115" s="911">
        <f t="shared" si="33"/>
        <v>0.65580000000000005</v>
      </c>
    </row>
    <row r="116" spans="1:13">
      <c r="A116" s="909" t="s">
        <v>2880</v>
      </c>
      <c r="B116" s="910">
        <f>ROUND(0.949-0.012*B113,4)</f>
        <v>0.92330000000000001</v>
      </c>
      <c r="C116" s="910">
        <f>B116</f>
        <v>0.92330000000000001</v>
      </c>
      <c r="D116" s="910">
        <f>ROUND(0.8567-0.013*B113,4)</f>
        <v>0.82889999999999997</v>
      </c>
      <c r="E116" s="910">
        <f t="shared" ref="E116:H117" si="34">D116</f>
        <v>0.82889999999999997</v>
      </c>
      <c r="F116" s="910">
        <f t="shared" si="34"/>
        <v>0.82889999999999997</v>
      </c>
      <c r="G116" s="910">
        <f t="shared" si="34"/>
        <v>0.82889999999999997</v>
      </c>
      <c r="H116" s="910">
        <f t="shared" si="34"/>
        <v>0.82889999999999997</v>
      </c>
      <c r="I116" s="910">
        <f>ROUND(0.7694-0.014*B113,4)</f>
        <v>0.73939999999999995</v>
      </c>
      <c r="J116" s="910">
        <f t="shared" si="33"/>
        <v>0.73939999999999995</v>
      </c>
      <c r="K116" s="910">
        <f t="shared" si="33"/>
        <v>0.73939999999999995</v>
      </c>
      <c r="L116" s="910">
        <f t="shared" si="33"/>
        <v>0.73939999999999995</v>
      </c>
      <c r="M116" s="911">
        <f t="shared" si="33"/>
        <v>0.73939999999999995</v>
      </c>
    </row>
    <row r="117" spans="1:13">
      <c r="A117" s="909" t="s">
        <v>2881</v>
      </c>
      <c r="B117" s="910">
        <f>ROUND(0.8808-0.006*B113,4)</f>
        <v>0.86799999999999999</v>
      </c>
      <c r="C117" s="910">
        <f>B117</f>
        <v>0.86799999999999999</v>
      </c>
      <c r="D117" s="910">
        <f>ROUND(0.8748-0.008*B113,4)</f>
        <v>0.85770000000000002</v>
      </c>
      <c r="E117" s="910">
        <f t="shared" si="34"/>
        <v>0.85770000000000002</v>
      </c>
      <c r="F117" s="910">
        <f t="shared" si="34"/>
        <v>0.85770000000000002</v>
      </c>
      <c r="G117" s="910">
        <f t="shared" si="34"/>
        <v>0.85770000000000002</v>
      </c>
      <c r="H117" s="910">
        <f t="shared" si="34"/>
        <v>0.85770000000000002</v>
      </c>
      <c r="I117" s="910">
        <f>ROUND(0.7412-0.0095*B113,4)</f>
        <v>0.72089999999999999</v>
      </c>
      <c r="J117" s="910">
        <f t="shared" si="33"/>
        <v>0.72089999999999999</v>
      </c>
      <c r="K117" s="910">
        <f t="shared" si="33"/>
        <v>0.72089999999999999</v>
      </c>
      <c r="L117" s="910">
        <f t="shared" si="33"/>
        <v>0.72089999999999999</v>
      </c>
      <c r="M117" s="911">
        <f t="shared" si="33"/>
        <v>0.72089999999999999</v>
      </c>
    </row>
    <row r="118" spans="1:13" ht="13.5" thickBot="1">
      <c r="A118" s="714" t="s">
        <v>2882</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3"/>
        <v>0.53759999999999997</v>
      </c>
      <c r="K118" s="912">
        <f t="shared" si="33"/>
        <v>0.53759999999999997</v>
      </c>
      <c r="L118" s="912">
        <f t="shared" si="33"/>
        <v>0.53759999999999997</v>
      </c>
      <c r="M118" s="913">
        <f t="shared" si="33"/>
        <v>0.53759999999999997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3005</v>
      </c>
    </row>
    <row r="2" spans="1:5" ht="15.75">
      <c r="A2" s="2916" t="s">
        <v>2997</v>
      </c>
      <c r="B2" s="2917" t="e">
        <f ca="1">SUMIF(B6:B13,"&lt;&gt;#ref!",B6:B13)</f>
        <v>#DIV/0!</v>
      </c>
      <c r="C2" s="2916" t="s">
        <v>2998</v>
      </c>
      <c r="D2" s="2916" t="s">
        <v>2999</v>
      </c>
      <c r="E2" s="2917">
        <f ca="1">SUMIF(E6:E13,"&lt;&gt;#ref!",E6:E13)</f>
        <v>0</v>
      </c>
    </row>
    <row r="3" spans="1:5" ht="15.75">
      <c r="A3" s="2916" t="s">
        <v>3000</v>
      </c>
      <c r="B3" s="2917" t="e">
        <f ca="1">ROUND(B2*10000/E2,0)</f>
        <v>#DIV/0!</v>
      </c>
      <c r="C3" s="2916" t="s">
        <v>3006</v>
      </c>
      <c r="D3" s="2918"/>
      <c r="E3" s="2918"/>
    </row>
    <row r="4" spans="1:5" ht="15.75">
      <c r="A4" s="2919"/>
      <c r="B4" s="2918"/>
      <c r="C4" s="2918"/>
      <c r="D4" s="2918"/>
      <c r="E4" s="2918"/>
    </row>
    <row r="5" spans="1:5" ht="28.5">
      <c r="A5" s="2920" t="s">
        <v>3001</v>
      </c>
      <c r="B5" s="2916" t="s">
        <v>3002</v>
      </c>
      <c r="C5" s="2917"/>
      <c r="D5" s="2918"/>
      <c r="E5" s="2916" t="s">
        <v>3003</v>
      </c>
    </row>
    <row r="6" spans="1:5" ht="15.75">
      <c r="A6" s="2921" t="s">
        <v>3004</v>
      </c>
      <c r="B6" s="2917" t="e">
        <f ca="1">SUMIF(INDIRECT("'"&amp;A6&amp;"'"&amp;"!A:A"),"总价",INDIRECT("'"&amp;A6&amp;"'"&amp;"!B:B"))</f>
        <v>#DIV/0!</v>
      </c>
      <c r="C6" s="2916" t="s">
        <v>2998</v>
      </c>
      <c r="D6" s="2918"/>
      <c r="E6" s="2581">
        <f ca="1">SUMIF(INDIRECT("'"&amp;A6&amp;"'"&amp;"!C:C"),"建筑面积",INDIRECT("'"&amp;A6&amp;"'"&amp;"!D:D"))</f>
        <v>0</v>
      </c>
    </row>
    <row r="7" spans="1:5" ht="15.75">
      <c r="A7" s="2921"/>
      <c r="B7" s="2917" t="e">
        <f ca="1">SUMIF(INDIRECT("'"&amp;A7&amp;"'"&amp;"!A:A"),"总价",INDIRECT("'"&amp;A7&amp;"'"&amp;"!B:B"))</f>
        <v>#REF!</v>
      </c>
      <c r="C7" s="2916" t="s">
        <v>2998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2998</v>
      </c>
      <c r="D8" s="2918"/>
      <c r="E8" s="2581" t="e">
        <f t="shared" ca="1" si="0"/>
        <v>#REF!</v>
      </c>
    </row>
    <row r="9" spans="1:5" ht="15.75">
      <c r="A9" s="2921"/>
      <c r="B9" s="2917" t="e">
        <f t="shared" ca="1" si="1"/>
        <v>#REF!</v>
      </c>
      <c r="C9" s="2916" t="s">
        <v>2998</v>
      </c>
      <c r="D9" s="2918"/>
      <c r="E9" s="2581" t="e">
        <f t="shared" ca="1" si="0"/>
        <v>#REF!</v>
      </c>
    </row>
    <row r="10" spans="1:5" ht="15.75">
      <c r="A10" s="2921"/>
      <c r="B10" s="2917" t="e">
        <f t="shared" ca="1" si="1"/>
        <v>#REF!</v>
      </c>
      <c r="C10" s="2916" t="s">
        <v>2998</v>
      </c>
      <c r="D10" s="2918"/>
      <c r="E10" s="2581" t="e">
        <f t="shared" ca="1" si="0"/>
        <v>#REF!</v>
      </c>
    </row>
    <row r="11" spans="1:5" ht="15.75">
      <c r="A11" s="2921"/>
      <c r="B11" s="2917" t="e">
        <f t="shared" ca="1" si="1"/>
        <v>#REF!</v>
      </c>
      <c r="C11" s="2916" t="s">
        <v>2998</v>
      </c>
      <c r="D11" s="2918"/>
      <c r="E11" s="2581" t="e">
        <f t="shared" ca="1" si="0"/>
        <v>#REF!</v>
      </c>
    </row>
    <row r="12" spans="1:5" ht="15.75">
      <c r="A12" s="2921"/>
      <c r="B12" s="2917" t="e">
        <f t="shared" ca="1" si="1"/>
        <v>#REF!</v>
      </c>
      <c r="C12" s="2916" t="s">
        <v>2998</v>
      </c>
      <c r="D12" s="2918"/>
      <c r="E12" s="2581" t="e">
        <f t="shared" ca="1" si="0"/>
        <v>#REF!</v>
      </c>
    </row>
    <row r="13" spans="1:5" ht="15.75">
      <c r="A13" s="2921"/>
      <c r="B13" s="2917" t="e">
        <f t="shared" ca="1" si="1"/>
        <v>#REF!</v>
      </c>
      <c r="C13" s="2916" t="s">
        <v>2998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63"/>
      <c r="B4" s="2979" t="s">
        <v>1626</v>
      </c>
      <c r="C4" s="2979"/>
      <c r="D4" s="2979"/>
      <c r="E4" s="1963"/>
    </row>
    <row r="5" spans="1:5" ht="16.5" thickTop="1">
      <c r="A5" s="1961"/>
      <c r="B5" s="2977" t="s">
        <v>1618</v>
      </c>
      <c r="C5" s="1964" t="s">
        <v>1619</v>
      </c>
      <c r="D5" s="1043">
        <f ca="1">结果表!H101</f>
        <v>50804</v>
      </c>
      <c r="E5" s="1961"/>
    </row>
    <row r="6" spans="1:5" ht="15.75">
      <c r="A6" s="1961"/>
      <c r="B6" s="2977"/>
      <c r="C6" s="1964" t="s">
        <v>1620</v>
      </c>
      <c r="D6" s="1043" t="str">
        <f ca="1">NUMBERSTRING(INT(D5*10000),2)&amp;"元整"</f>
        <v>伍亿零捌佰零肆万元整</v>
      </c>
      <c r="E6" s="1961"/>
    </row>
    <row r="7" spans="1:5" ht="15.75">
      <c r="A7" s="1961"/>
      <c r="B7" s="2982"/>
      <c r="C7" s="1965" t="s">
        <v>1621</v>
      </c>
      <c r="D7" s="1044">
        <f ca="1">结果表!H102</f>
        <v>14795</v>
      </c>
      <c r="E7" s="1961"/>
    </row>
    <row r="8" spans="1:5" ht="15.75">
      <c r="A8" s="1961"/>
      <c r="B8" s="2983" t="str">
        <f>结果表!E103</f>
        <v>2.估价师知悉的法定优先受偿款</v>
      </c>
      <c r="C8" s="1966" t="s">
        <v>1622</v>
      </c>
      <c r="D8" s="1044">
        <f>结果表!H103</f>
        <v>0</v>
      </c>
      <c r="E8" s="1961"/>
    </row>
    <row r="9" spans="1:5" ht="15.75">
      <c r="A9" s="1961"/>
      <c r="B9" s="2985"/>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6" t="str">
        <f>结果表!E107</f>
        <v>3.房地产抵押价值</v>
      </c>
      <c r="C13" s="1969" t="s">
        <v>1619</v>
      </c>
      <c r="D13" s="1046">
        <f ca="1">结果表!H107</f>
        <v>50804</v>
      </c>
      <c r="E13" s="1961"/>
    </row>
    <row r="14" spans="1:5" ht="15.75">
      <c r="A14" s="1961"/>
      <c r="B14" s="2977"/>
      <c r="C14" s="1964" t="s">
        <v>1620</v>
      </c>
      <c r="D14" s="1043" t="str">
        <f ca="1">NUMBERSTRING(INT(D13*10000),2)&amp;"元整"</f>
        <v>伍亿零捌佰零肆万元整</v>
      </c>
      <c r="E14" s="1961"/>
    </row>
    <row r="15" spans="1:5" ht="15">
      <c r="A15" s="1961"/>
      <c r="B15" s="2982"/>
      <c r="C15" s="1965" t="s">
        <v>1630</v>
      </c>
      <c r="D15" s="1055">
        <f ca="1">结果表!H108</f>
        <v>14795</v>
      </c>
      <c r="E15" s="1961"/>
    </row>
    <row r="16" spans="1:5" ht="15">
      <c r="A16" s="1961"/>
      <c r="B16" s="2983" t="str">
        <f>结果表!E109</f>
        <v>——</v>
      </c>
      <c r="C16" s="1969" t="s">
        <v>1631</v>
      </c>
      <c r="D16" s="1970" t="str">
        <f>结果表!H109</f>
        <v>——</v>
      </c>
      <c r="E16" s="1961"/>
    </row>
    <row r="17" spans="1:5" ht="15.75">
      <c r="A17" s="1961"/>
      <c r="B17" s="2984"/>
      <c r="C17" s="1964" t="s">
        <v>1632</v>
      </c>
      <c r="D17" s="1043" t="e">
        <f>NUMBERSTRING(INT(D16*10000),2)&amp;"元整"</f>
        <v>#VALUE!</v>
      </c>
      <c r="E17" s="1961"/>
    </row>
    <row r="18" spans="1:5" ht="15">
      <c r="A18" s="1961"/>
      <c r="B18" s="2985"/>
      <c r="C18" s="1965" t="s">
        <v>1621</v>
      </c>
      <c r="D18" s="1055" t="str">
        <f>结果表!H110</f>
        <v>——</v>
      </c>
      <c r="E18" s="1961"/>
    </row>
    <row r="19" spans="1:5" ht="15.75">
      <c r="A19" s="1961"/>
      <c r="B19" s="2976" t="str">
        <f>结果表!E111</f>
        <v>——</v>
      </c>
      <c r="C19" s="1969" t="s">
        <v>1619</v>
      </c>
      <c r="D19" s="1044" t="str">
        <f>结果表!H111</f>
        <v>——</v>
      </c>
      <c r="E19" s="1961"/>
    </row>
    <row r="20" spans="1:5" ht="15.75">
      <c r="A20" s="1961"/>
      <c r="B20" s="2977"/>
      <c r="C20" s="1964" t="s">
        <v>1632</v>
      </c>
      <c r="D20" s="1043" t="e">
        <f>NUMBERSTRING(INT(D19*10000),2)&amp;"元整"</f>
        <v>#VALUE!</v>
      </c>
      <c r="E20" s="1961"/>
    </row>
    <row r="21" spans="1:5" ht="15.75" thickBot="1">
      <c r="A21" s="1961"/>
      <c r="B21" s="2978"/>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1146</v>
      </c>
      <c r="C1" s="3290"/>
      <c r="D1" s="3290"/>
      <c r="E1" s="3290"/>
      <c r="F1" s="3290"/>
      <c r="G1" s="3286" t="s">
        <v>1147</v>
      </c>
      <c r="H1" s="3286"/>
      <c r="I1" s="3286"/>
      <c r="J1" s="3286"/>
      <c r="K1" s="3286"/>
      <c r="L1" s="3286"/>
      <c r="N1" s="3286" t="s">
        <v>1148</v>
      </c>
      <c r="O1" s="3286"/>
      <c r="P1" s="3286"/>
      <c r="Q1" s="3286"/>
      <c r="R1" s="1449"/>
      <c r="S1" s="3286" t="s">
        <v>1149</v>
      </c>
      <c r="T1" s="3286"/>
      <c r="U1" s="3286"/>
      <c r="V1" s="3286"/>
      <c r="X1" s="3285" t="s">
        <v>1150</v>
      </c>
      <c r="Y1" s="3286"/>
      <c r="Z1" s="3286"/>
      <c r="AA1" s="3286"/>
      <c r="AB1" s="3286"/>
      <c r="AD1" s="3285" t="s">
        <v>1151</v>
      </c>
      <c r="AE1" s="3286"/>
      <c r="AF1" s="3286"/>
      <c r="AG1" s="3286"/>
      <c r="AH1" s="328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3040</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3053</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5">
        <v>2019</v>
      </c>
      <c r="H5" s="1732">
        <v>1</v>
      </c>
      <c r="I5" s="2928">
        <v>0</v>
      </c>
      <c r="J5" s="2928">
        <v>0</v>
      </c>
      <c r="K5" s="2928">
        <v>0</v>
      </c>
      <c r="L5" s="2928">
        <v>0</v>
      </c>
      <c r="N5" s="1470">
        <f>I5/100</f>
        <v>0</v>
      </c>
      <c r="O5" s="1470">
        <f t="shared" ref="O5" si="7">J5/100</f>
        <v>0</v>
      </c>
      <c r="P5" s="1470">
        <f t="shared" ref="P5" si="8">K5/100</f>
        <v>0</v>
      </c>
      <c r="Q5" s="1470">
        <f t="shared" ref="Q5" si="9">L5/100</f>
        <v>0</v>
      </c>
      <c r="R5" s="1734"/>
      <c r="S5" s="1735"/>
      <c r="T5" s="1734"/>
      <c r="U5" s="1734"/>
      <c r="V5" s="1734"/>
      <c r="W5" s="2931" t="s">
        <v>3041</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8">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3047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3036</v>
      </c>
      <c r="B10" s="1472">
        <v>439</v>
      </c>
      <c r="C10" s="1472">
        <v>327</v>
      </c>
      <c r="D10" s="1472">
        <f>C10</f>
        <v>327</v>
      </c>
      <c r="E10" s="1472">
        <v>627</v>
      </c>
      <c r="F10" s="1473">
        <v>283</v>
      </c>
      <c r="G10" s="329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29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29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97" t="s">
        <v>3008</v>
      </c>
      <c r="D1" s="3298"/>
      <c r="E1" s="3298"/>
      <c r="F1" s="3298"/>
      <c r="G1" s="3298"/>
      <c r="H1" s="3298"/>
      <c r="I1" s="3298"/>
      <c r="J1" s="3298"/>
      <c r="K1" s="3298"/>
      <c r="L1" s="3298"/>
      <c r="M1" s="3298"/>
      <c r="N1" s="3298"/>
      <c r="O1" s="3298"/>
      <c r="P1" s="3298"/>
      <c r="Q1" s="3298"/>
      <c r="R1" s="3298"/>
      <c r="S1" s="3299"/>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5"/>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77" t="s">
        <v>33</v>
      </c>
      <c r="D22" s="3078"/>
      <c r="E22" s="3078"/>
      <c r="F22" s="3078"/>
      <c r="G22" s="3078"/>
      <c r="H22" s="3078"/>
      <c r="I22" s="3078"/>
      <c r="J22" s="3078"/>
      <c r="K22" s="3078"/>
      <c r="L22" s="3078"/>
      <c r="M22" s="3078"/>
      <c r="N22" s="3078"/>
      <c r="O22" s="3078"/>
      <c r="P22" s="3078"/>
      <c r="Q22" s="3296"/>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60079</v>
      </c>
      <c r="C2" s="2" t="s">
        <v>133</v>
      </c>
      <c r="D2" s="243"/>
      <c r="E2" s="243"/>
      <c r="F2" s="243"/>
      <c r="G2" s="243"/>
    </row>
    <row r="3" spans="1:7" s="244" customFormat="1" ht="18" customHeight="1" thickBot="1">
      <c r="A3" s="247" t="s">
        <v>85</v>
      </c>
      <c r="B3" s="248">
        <f ca="1">ROUND(B2*10000/'数据-汇总表'!E3,0)</f>
        <v>17496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755</v>
      </c>
      <c r="D9" s="1035">
        <f>'数据-汇总表'!E5</f>
        <v>34338.32</v>
      </c>
      <c r="E9" s="269">
        <f>'数据-取费表'!B27</f>
        <v>220</v>
      </c>
      <c r="F9" s="265"/>
      <c r="G9" s="270"/>
    </row>
    <row r="10" spans="1:7" s="258" customFormat="1" ht="13.5" customHeight="1">
      <c r="A10" s="953" t="s">
        <v>801</v>
      </c>
      <c r="B10" s="268" t="s">
        <v>94</v>
      </c>
      <c r="C10" s="269">
        <f>ROUND(D10*E10/10000,0)</f>
        <v>0</v>
      </c>
      <c r="D10" s="1035">
        <f>'数据-汇总表'!E6</f>
        <v>0</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687</v>
      </c>
      <c r="D19" s="1039">
        <f>'数据-汇总表'!E3</f>
        <v>34338.32</v>
      </c>
      <c r="E19" s="255">
        <f>'数据-取费表'!B31</f>
        <v>200</v>
      </c>
      <c r="F19" s="275"/>
      <c r="G19" s="1" t="s">
        <v>1071</v>
      </c>
    </row>
    <row r="20" spans="1:7" s="258" customFormat="1" ht="13.5" customHeight="1">
      <c r="A20" s="951" t="s">
        <v>1054</v>
      </c>
      <c r="B20" s="254" t="s">
        <v>104</v>
      </c>
      <c r="C20" s="276">
        <f>ROUND((C5+C19)*F20,0)</f>
        <v>645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3026</v>
      </c>
      <c r="D22" s="279">
        <f ca="1">C26</f>
        <v>2E-3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2888</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1055</v>
      </c>
      <c r="C25" s="1358">
        <f ca="1">ROUND(IF('数据-取费表'!B22&lt;=1,C20*F22*'数据-取费表'!B23/2,C20*(POWER((1+F22),'数据-取费表'!B23/2)-1)),0)</f>
        <v>43</v>
      </c>
      <c r="D25" s="282"/>
      <c r="E25" s="285"/>
      <c r="F25" s="283"/>
      <c r="G25" s="286" t="s">
        <v>110</v>
      </c>
    </row>
    <row r="26" spans="1:7" s="258" customFormat="1">
      <c r="A26" s="954" t="s">
        <v>795</v>
      </c>
      <c r="B26" s="259" t="s">
        <v>1057</v>
      </c>
      <c r="C26" s="282">
        <f ca="1">ROUND(IF('数据-取费表'!B22&lt;=1,F21*F22*'数据-取费表'!B23/2,F21*(POWER((1+F22),'数据-取费表'!B23/2)-1)),4)</f>
        <v>2E-3</v>
      </c>
      <c r="D26" s="282"/>
      <c r="E26" s="285"/>
      <c r="F26" s="283"/>
      <c r="G26" s="287"/>
    </row>
    <row r="27" spans="1:7" s="258" customFormat="1" ht="24.75">
      <c r="A27" s="951" t="s">
        <v>787</v>
      </c>
      <c r="B27" s="288" t="s">
        <v>112</v>
      </c>
      <c r="C27" s="289">
        <f>C28</f>
        <v>7233</v>
      </c>
      <c r="D27" s="279">
        <f>C29</f>
        <v>9.7999999999999997E-3</v>
      </c>
      <c r="E27" s="280" t="s">
        <v>126</v>
      </c>
      <c r="F27" s="290">
        <f>'数据-取费表'!Q16</f>
        <v>0.35</v>
      </c>
      <c r="G27" s="291" t="s">
        <v>1066</v>
      </c>
    </row>
    <row r="28" spans="1:7" s="258" customFormat="1" ht="13.5" customHeight="1">
      <c r="A28" s="954" t="s">
        <v>794</v>
      </c>
      <c r="B28" s="292" t="s">
        <v>1059</v>
      </c>
      <c r="C28" s="293">
        <f>ROUND((C5+C19+C20)*F27*'数据-取费表'!B21/'数据-取费表'!B20,0)</f>
        <v>7233</v>
      </c>
      <c r="D28" s="279"/>
      <c r="E28" s="280"/>
      <c r="F28" s="290"/>
      <c r="G28" s="291"/>
    </row>
    <row r="29" spans="1:7" s="258" customFormat="1" ht="13.5" customHeight="1">
      <c r="A29" s="954" t="s">
        <v>792</v>
      </c>
      <c r="B29" s="292" t="s">
        <v>1060</v>
      </c>
      <c r="C29" s="282">
        <f>ROUND(C21*F27*'数据-取费表'!B21/'数据-取费表'!B20,4)</f>
        <v>9.7999999999999997E-3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35807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15036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12405</v>
      </c>
      <c r="D34" s="261"/>
      <c r="E34" s="264"/>
      <c r="F34" s="301">
        <f>IF('数据-取费表'!B24=0,1,'数据-取费表'!N16)</f>
        <v>0.85</v>
      </c>
      <c r="G34" s="263" t="s">
        <v>116</v>
      </c>
    </row>
    <row r="35" spans="1:7" ht="13.5" customHeight="1">
      <c r="A35" s="954" t="s">
        <v>796</v>
      </c>
      <c r="B35" s="259" t="s">
        <v>60</v>
      </c>
      <c r="C35" s="264">
        <f>ROUND(C34*F35,0)</f>
        <v>620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1241</v>
      </c>
      <c r="D36" s="264"/>
      <c r="E36" s="264"/>
      <c r="F36" s="303">
        <f>'数据-取费表'!B34</f>
        <v>0.1</v>
      </c>
      <c r="G36" s="304" t="s">
        <v>62</v>
      </c>
    </row>
    <row r="37" spans="1:7" s="302" customFormat="1" ht="13.5" customHeight="1">
      <c r="A37" s="954" t="s">
        <v>798</v>
      </c>
      <c r="B37" s="259" t="s">
        <v>118</v>
      </c>
      <c r="C37" s="293">
        <f>ROUND(E37*D37*F34/10000,0)</f>
        <v>584</v>
      </c>
      <c r="D37" s="261">
        <f>'数据-汇总表'!E3</f>
        <v>34338.32</v>
      </c>
      <c r="E37" s="293">
        <f>'数据-取费表'!B35</f>
        <v>200</v>
      </c>
      <c r="F37" s="303"/>
      <c r="G37" s="305" t="s">
        <v>119</v>
      </c>
    </row>
    <row r="38" spans="1:7" ht="13.5" customHeight="1">
      <c r="A38" s="954" t="s">
        <v>799</v>
      </c>
      <c r="B38" s="259" t="s">
        <v>63</v>
      </c>
      <c r="C38" s="264">
        <f>ROUND(C34*F38,0)</f>
        <v>186</v>
      </c>
      <c r="D38" s="264"/>
      <c r="E38" s="264"/>
      <c r="F38" s="303">
        <f>'数据-取费表'!B36</f>
        <v>1.4999999999999999E-2</v>
      </c>
      <c r="G38" s="263" t="s">
        <v>117</v>
      </c>
    </row>
    <row r="39" spans="1:7" s="258" customFormat="1" ht="13.5" customHeight="1">
      <c r="A39" s="951" t="s">
        <v>783</v>
      </c>
      <c r="B39" s="254" t="s">
        <v>104</v>
      </c>
      <c r="C39" s="276">
        <f>ROUND(C33*F20,0)</f>
        <v>451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1039</v>
      </c>
      <c r="D41" s="279">
        <f ca="1">C44</f>
        <v>2E-3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1009</v>
      </c>
      <c r="D42" s="282"/>
      <c r="E42" s="282"/>
      <c r="F42" s="283"/>
      <c r="G42" s="3162" t="s">
        <v>121</v>
      </c>
    </row>
    <row r="43" spans="1:7" ht="13.5" customHeight="1">
      <c r="A43" s="954" t="s">
        <v>792</v>
      </c>
      <c r="B43" s="259" t="s">
        <v>1061</v>
      </c>
      <c r="C43" s="282">
        <f ca="1">ROUND(IF('数据-取费表'!B22&lt;=1,C39*F22*'数据-取费表'!B21/2,C39*(POWER((1+F22),'数据-取费表'!B21/2)-1)),0)</f>
        <v>30</v>
      </c>
      <c r="D43" s="282"/>
      <c r="E43" s="282"/>
      <c r="F43" s="283"/>
      <c r="G43" s="3163"/>
    </row>
    <row r="44" spans="1:7" ht="13.5" customHeight="1">
      <c r="A44" s="954" t="s">
        <v>793</v>
      </c>
      <c r="B44" s="259" t="s">
        <v>1063</v>
      </c>
      <c r="C44" s="282">
        <f ca="1">ROUND(IF('数据-取费表'!B22&lt;=1,C40*F22*'数据-取费表'!B21/2,C40*(POWER((1+F22),'数据-取费表'!B21/2)-1)),4)</f>
        <v>2E-3</v>
      </c>
      <c r="D44" s="282"/>
      <c r="E44" s="282"/>
      <c r="F44" s="283"/>
      <c r="G44" s="3164"/>
    </row>
    <row r="45" spans="1:7" s="258" customFormat="1" ht="13.5" customHeight="1">
      <c r="A45" s="951" t="s">
        <v>786</v>
      </c>
      <c r="B45" s="288" t="s">
        <v>112</v>
      </c>
      <c r="C45" s="289">
        <f>C46</f>
        <v>5420</v>
      </c>
      <c r="D45" s="279">
        <f>C47</f>
        <v>1.0500000000000001E-2</v>
      </c>
      <c r="E45" s="280" t="s">
        <v>129</v>
      </c>
      <c r="F45" s="290"/>
      <c r="G45" s="291" t="s">
        <v>1069</v>
      </c>
    </row>
    <row r="46" spans="1:7" s="258" customFormat="1" ht="13.5" customHeight="1">
      <c r="A46" s="954" t="s">
        <v>794</v>
      </c>
      <c r="B46" s="292" t="s">
        <v>1062</v>
      </c>
      <c r="C46" s="293">
        <f>ROUND((C33+C39)*F27,0)</f>
        <v>5420</v>
      </c>
      <c r="D46" s="307"/>
      <c r="E46" s="280"/>
      <c r="F46" s="290"/>
      <c r="G46" s="291"/>
    </row>
    <row r="47" spans="1:7" s="258" customFormat="1" ht="13.5" customHeight="1">
      <c r="A47" s="954" t="s">
        <v>792</v>
      </c>
      <c r="B47" s="292" t="s">
        <v>1064</v>
      </c>
      <c r="C47" s="282">
        <f>ROUND(C40*F27,4)</f>
        <v>1.0500000000000001E-2</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24272</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24272</v>
      </c>
      <c r="D51" s="276"/>
      <c r="E51" s="276"/>
      <c r="F51" s="308"/>
      <c r="G51" s="278" t="s">
        <v>64</v>
      </c>
    </row>
    <row r="52" spans="1:7" s="252" customFormat="1" ht="16.5" thickBot="1">
      <c r="A52" s="309" t="s">
        <v>65</v>
      </c>
      <c r="B52" s="310"/>
      <c r="C52" s="311">
        <f ca="1">C31+C51</f>
        <v>60079</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868</v>
      </c>
      <c r="B1" s="330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43689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topLeftCell="D19" workbookViewId="0">
      <selection activeCell="F27" sqref="F27"/>
    </sheetView>
  </sheetViews>
  <sheetFormatPr defaultRowHeight="13.5"/>
  <cols>
    <col min="1" max="1" width="54" style="1637" customWidth="1"/>
    <col min="2" max="2" width="6.25" style="1637" customWidth="1"/>
    <col min="3" max="5" width="13.875" style="1637" customWidth="1"/>
    <col min="6" max="6" width="35.875" style="1637" customWidth="1"/>
    <col min="7" max="7" width="7.875" style="1637" customWidth="1"/>
    <col min="8" max="8" width="9" style="1637" customWidth="1"/>
    <col min="9" max="10" width="10.625" style="1637" customWidth="1"/>
    <col min="11" max="11" width="14.375" style="1637" customWidth="1"/>
    <col min="12" max="12" width="6.25" style="1637" customWidth="1"/>
    <col min="13" max="13" width="34.375" style="1637" customWidth="1"/>
    <col min="14" max="14" width="7.875" style="1637" customWidth="1"/>
    <col min="15" max="256" width="9" style="1637"/>
    <col min="257" max="257" width="54" style="1637" customWidth="1"/>
    <col min="258" max="258" width="6.25" style="1637" customWidth="1"/>
    <col min="259" max="261" width="13.875" style="1637" customWidth="1"/>
    <col min="262" max="262" width="35.87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34.375" style="1637" customWidth="1"/>
    <col min="270" max="270" width="7.875" style="1637" customWidth="1"/>
    <col min="271" max="512" width="9" style="1637"/>
    <col min="513" max="513" width="54" style="1637" customWidth="1"/>
    <col min="514" max="514" width="6.25" style="1637" customWidth="1"/>
    <col min="515" max="517" width="13.875" style="1637" customWidth="1"/>
    <col min="518" max="518" width="35.87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34.375" style="1637" customWidth="1"/>
    <col min="526" max="526" width="7.875" style="1637" customWidth="1"/>
    <col min="527" max="768" width="9" style="1637"/>
    <col min="769" max="769" width="54" style="1637" customWidth="1"/>
    <col min="770" max="770" width="6.25" style="1637" customWidth="1"/>
    <col min="771" max="773" width="13.875" style="1637" customWidth="1"/>
    <col min="774" max="774" width="35.87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34.375" style="1637" customWidth="1"/>
    <col min="782" max="782" width="7.875" style="1637" customWidth="1"/>
    <col min="783" max="1024" width="9" style="1637"/>
    <col min="1025" max="1025" width="54" style="1637" customWidth="1"/>
    <col min="1026" max="1026" width="6.25" style="1637" customWidth="1"/>
    <col min="1027" max="1029" width="13.875" style="1637" customWidth="1"/>
    <col min="1030" max="1030" width="35.87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34.375" style="1637" customWidth="1"/>
    <col min="1038" max="1038" width="7.875" style="1637" customWidth="1"/>
    <col min="1039" max="1280" width="9" style="1637"/>
    <col min="1281" max="1281" width="54" style="1637" customWidth="1"/>
    <col min="1282" max="1282" width="6.25" style="1637" customWidth="1"/>
    <col min="1283" max="1285" width="13.875" style="1637" customWidth="1"/>
    <col min="1286" max="1286" width="35.87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34.375" style="1637" customWidth="1"/>
    <col min="1294" max="1294" width="7.875" style="1637" customWidth="1"/>
    <col min="1295" max="1536" width="9" style="1637"/>
    <col min="1537" max="1537" width="54" style="1637" customWidth="1"/>
    <col min="1538" max="1538" width="6.25" style="1637" customWidth="1"/>
    <col min="1539" max="1541" width="13.875" style="1637" customWidth="1"/>
    <col min="1542" max="1542" width="35.87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34.375" style="1637" customWidth="1"/>
    <col min="1550" max="1550" width="7.875" style="1637" customWidth="1"/>
    <col min="1551" max="1792" width="9" style="1637"/>
    <col min="1793" max="1793" width="54" style="1637" customWidth="1"/>
    <col min="1794" max="1794" width="6.25" style="1637" customWidth="1"/>
    <col min="1795" max="1797" width="13.875" style="1637" customWidth="1"/>
    <col min="1798" max="1798" width="35.87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34.375" style="1637" customWidth="1"/>
    <col min="1806" max="1806" width="7.875" style="1637" customWidth="1"/>
    <col min="1807" max="2048" width="9" style="1637"/>
    <col min="2049" max="2049" width="54" style="1637" customWidth="1"/>
    <col min="2050" max="2050" width="6.25" style="1637" customWidth="1"/>
    <col min="2051" max="2053" width="13.875" style="1637" customWidth="1"/>
    <col min="2054" max="2054" width="35.87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34.375" style="1637" customWidth="1"/>
    <col min="2062" max="2062" width="7.875" style="1637" customWidth="1"/>
    <col min="2063" max="2304" width="9" style="1637"/>
    <col min="2305" max="2305" width="54" style="1637" customWidth="1"/>
    <col min="2306" max="2306" width="6.25" style="1637" customWidth="1"/>
    <col min="2307" max="2309" width="13.875" style="1637" customWidth="1"/>
    <col min="2310" max="2310" width="35.87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34.375" style="1637" customWidth="1"/>
    <col min="2318" max="2318" width="7.875" style="1637" customWidth="1"/>
    <col min="2319" max="2560" width="9" style="1637"/>
    <col min="2561" max="2561" width="54" style="1637" customWidth="1"/>
    <col min="2562" max="2562" width="6.25" style="1637" customWidth="1"/>
    <col min="2563" max="2565" width="13.875" style="1637" customWidth="1"/>
    <col min="2566" max="2566" width="35.87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34.375" style="1637" customWidth="1"/>
    <col min="2574" max="2574" width="7.875" style="1637" customWidth="1"/>
    <col min="2575" max="2816" width="9" style="1637"/>
    <col min="2817" max="2817" width="54" style="1637" customWidth="1"/>
    <col min="2818" max="2818" width="6.25" style="1637" customWidth="1"/>
    <col min="2819" max="2821" width="13.875" style="1637" customWidth="1"/>
    <col min="2822" max="2822" width="35.87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34.375" style="1637" customWidth="1"/>
    <col min="2830" max="2830" width="7.875" style="1637" customWidth="1"/>
    <col min="2831" max="3072" width="9" style="1637"/>
    <col min="3073" max="3073" width="54" style="1637" customWidth="1"/>
    <col min="3074" max="3074" width="6.25" style="1637" customWidth="1"/>
    <col min="3075" max="3077" width="13.875" style="1637" customWidth="1"/>
    <col min="3078" max="3078" width="35.87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34.375" style="1637" customWidth="1"/>
    <col min="3086" max="3086" width="7.875" style="1637" customWidth="1"/>
    <col min="3087" max="3328" width="9" style="1637"/>
    <col min="3329" max="3329" width="54" style="1637" customWidth="1"/>
    <col min="3330" max="3330" width="6.25" style="1637" customWidth="1"/>
    <col min="3331" max="3333" width="13.875" style="1637" customWidth="1"/>
    <col min="3334" max="3334" width="35.87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34.375" style="1637" customWidth="1"/>
    <col min="3342" max="3342" width="7.875" style="1637" customWidth="1"/>
    <col min="3343" max="3584" width="9" style="1637"/>
    <col min="3585" max="3585" width="54" style="1637" customWidth="1"/>
    <col min="3586" max="3586" width="6.25" style="1637" customWidth="1"/>
    <col min="3587" max="3589" width="13.875" style="1637" customWidth="1"/>
    <col min="3590" max="3590" width="35.87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34.375" style="1637" customWidth="1"/>
    <col min="3598" max="3598" width="7.875" style="1637" customWidth="1"/>
    <col min="3599" max="3840" width="9" style="1637"/>
    <col min="3841" max="3841" width="54" style="1637" customWidth="1"/>
    <col min="3842" max="3842" width="6.25" style="1637" customWidth="1"/>
    <col min="3843" max="3845" width="13.875" style="1637" customWidth="1"/>
    <col min="3846" max="3846" width="35.87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34.375" style="1637" customWidth="1"/>
    <col min="3854" max="3854" width="7.875" style="1637" customWidth="1"/>
    <col min="3855" max="4096" width="9" style="1637"/>
    <col min="4097" max="4097" width="54" style="1637" customWidth="1"/>
    <col min="4098" max="4098" width="6.25" style="1637" customWidth="1"/>
    <col min="4099" max="4101" width="13.875" style="1637" customWidth="1"/>
    <col min="4102" max="4102" width="35.87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34.375" style="1637" customWidth="1"/>
    <col min="4110" max="4110" width="7.875" style="1637" customWidth="1"/>
    <col min="4111" max="4352" width="9" style="1637"/>
    <col min="4353" max="4353" width="54" style="1637" customWidth="1"/>
    <col min="4354" max="4354" width="6.25" style="1637" customWidth="1"/>
    <col min="4355" max="4357" width="13.875" style="1637" customWidth="1"/>
    <col min="4358" max="4358" width="35.87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34.375" style="1637" customWidth="1"/>
    <col min="4366" max="4366" width="7.875" style="1637" customWidth="1"/>
    <col min="4367" max="4608" width="9" style="1637"/>
    <col min="4609" max="4609" width="54" style="1637" customWidth="1"/>
    <col min="4610" max="4610" width="6.25" style="1637" customWidth="1"/>
    <col min="4611" max="4613" width="13.875" style="1637" customWidth="1"/>
    <col min="4614" max="4614" width="35.87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34.375" style="1637" customWidth="1"/>
    <col min="4622" max="4622" width="7.875" style="1637" customWidth="1"/>
    <col min="4623" max="4864" width="9" style="1637"/>
    <col min="4865" max="4865" width="54" style="1637" customWidth="1"/>
    <col min="4866" max="4866" width="6.25" style="1637" customWidth="1"/>
    <col min="4867" max="4869" width="13.875" style="1637" customWidth="1"/>
    <col min="4870" max="4870" width="35.87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34.375" style="1637" customWidth="1"/>
    <col min="4878" max="4878" width="7.875" style="1637" customWidth="1"/>
    <col min="4879" max="5120" width="9" style="1637"/>
    <col min="5121" max="5121" width="54" style="1637" customWidth="1"/>
    <col min="5122" max="5122" width="6.25" style="1637" customWidth="1"/>
    <col min="5123" max="5125" width="13.875" style="1637" customWidth="1"/>
    <col min="5126" max="5126" width="35.87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34.375" style="1637" customWidth="1"/>
    <col min="5134" max="5134" width="7.875" style="1637" customWidth="1"/>
    <col min="5135" max="5376" width="9" style="1637"/>
    <col min="5377" max="5377" width="54" style="1637" customWidth="1"/>
    <col min="5378" max="5378" width="6.25" style="1637" customWidth="1"/>
    <col min="5379" max="5381" width="13.875" style="1637" customWidth="1"/>
    <col min="5382" max="5382" width="35.87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34.375" style="1637" customWidth="1"/>
    <col min="5390" max="5390" width="7.875" style="1637" customWidth="1"/>
    <col min="5391" max="5632" width="9" style="1637"/>
    <col min="5633" max="5633" width="54" style="1637" customWidth="1"/>
    <col min="5634" max="5634" width="6.25" style="1637" customWidth="1"/>
    <col min="5635" max="5637" width="13.875" style="1637" customWidth="1"/>
    <col min="5638" max="5638" width="35.87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34.375" style="1637" customWidth="1"/>
    <col min="5646" max="5646" width="7.875" style="1637" customWidth="1"/>
    <col min="5647" max="5888" width="9" style="1637"/>
    <col min="5889" max="5889" width="54" style="1637" customWidth="1"/>
    <col min="5890" max="5890" width="6.25" style="1637" customWidth="1"/>
    <col min="5891" max="5893" width="13.875" style="1637" customWidth="1"/>
    <col min="5894" max="5894" width="35.87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34.375" style="1637" customWidth="1"/>
    <col min="5902" max="5902" width="7.875" style="1637" customWidth="1"/>
    <col min="5903" max="6144" width="9" style="1637"/>
    <col min="6145" max="6145" width="54" style="1637" customWidth="1"/>
    <col min="6146" max="6146" width="6.25" style="1637" customWidth="1"/>
    <col min="6147" max="6149" width="13.875" style="1637" customWidth="1"/>
    <col min="6150" max="6150" width="35.87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34.375" style="1637" customWidth="1"/>
    <col min="6158" max="6158" width="7.875" style="1637" customWidth="1"/>
    <col min="6159" max="6400" width="9" style="1637"/>
    <col min="6401" max="6401" width="54" style="1637" customWidth="1"/>
    <col min="6402" max="6402" width="6.25" style="1637" customWidth="1"/>
    <col min="6403" max="6405" width="13.875" style="1637" customWidth="1"/>
    <col min="6406" max="6406" width="35.87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34.375" style="1637" customWidth="1"/>
    <col min="6414" max="6414" width="7.875" style="1637" customWidth="1"/>
    <col min="6415" max="6656" width="9" style="1637"/>
    <col min="6657" max="6657" width="54" style="1637" customWidth="1"/>
    <col min="6658" max="6658" width="6.25" style="1637" customWidth="1"/>
    <col min="6659" max="6661" width="13.875" style="1637" customWidth="1"/>
    <col min="6662" max="6662" width="35.87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34.375" style="1637" customWidth="1"/>
    <col min="6670" max="6670" width="7.875" style="1637" customWidth="1"/>
    <col min="6671" max="6912" width="9" style="1637"/>
    <col min="6913" max="6913" width="54" style="1637" customWidth="1"/>
    <col min="6914" max="6914" width="6.25" style="1637" customWidth="1"/>
    <col min="6915" max="6917" width="13.875" style="1637" customWidth="1"/>
    <col min="6918" max="6918" width="35.87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34.375" style="1637" customWidth="1"/>
    <col min="6926" max="6926" width="7.875" style="1637" customWidth="1"/>
    <col min="6927" max="7168" width="9" style="1637"/>
    <col min="7169" max="7169" width="54" style="1637" customWidth="1"/>
    <col min="7170" max="7170" width="6.25" style="1637" customWidth="1"/>
    <col min="7171" max="7173" width="13.875" style="1637" customWidth="1"/>
    <col min="7174" max="7174" width="35.87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34.375" style="1637" customWidth="1"/>
    <col min="7182" max="7182" width="7.875" style="1637" customWidth="1"/>
    <col min="7183" max="7424" width="9" style="1637"/>
    <col min="7425" max="7425" width="54" style="1637" customWidth="1"/>
    <col min="7426" max="7426" width="6.25" style="1637" customWidth="1"/>
    <col min="7427" max="7429" width="13.875" style="1637" customWidth="1"/>
    <col min="7430" max="7430" width="35.87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34.375" style="1637" customWidth="1"/>
    <col min="7438" max="7438" width="7.875" style="1637" customWidth="1"/>
    <col min="7439" max="7680" width="9" style="1637"/>
    <col min="7681" max="7681" width="54" style="1637" customWidth="1"/>
    <col min="7682" max="7682" width="6.25" style="1637" customWidth="1"/>
    <col min="7683" max="7685" width="13.875" style="1637" customWidth="1"/>
    <col min="7686" max="7686" width="35.87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34.375" style="1637" customWidth="1"/>
    <col min="7694" max="7694" width="7.875" style="1637" customWidth="1"/>
    <col min="7695" max="7936" width="9" style="1637"/>
    <col min="7937" max="7937" width="54" style="1637" customWidth="1"/>
    <col min="7938" max="7938" width="6.25" style="1637" customWidth="1"/>
    <col min="7939" max="7941" width="13.875" style="1637" customWidth="1"/>
    <col min="7942" max="7942" width="35.87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34.375" style="1637" customWidth="1"/>
    <col min="7950" max="7950" width="7.875" style="1637" customWidth="1"/>
    <col min="7951" max="8192" width="9" style="1637"/>
    <col min="8193" max="8193" width="54" style="1637" customWidth="1"/>
    <col min="8194" max="8194" width="6.25" style="1637" customWidth="1"/>
    <col min="8195" max="8197" width="13.875" style="1637" customWidth="1"/>
    <col min="8198" max="8198" width="35.87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34.375" style="1637" customWidth="1"/>
    <col min="8206" max="8206" width="7.875" style="1637" customWidth="1"/>
    <col min="8207" max="8448" width="9" style="1637"/>
    <col min="8449" max="8449" width="54" style="1637" customWidth="1"/>
    <col min="8450" max="8450" width="6.25" style="1637" customWidth="1"/>
    <col min="8451" max="8453" width="13.875" style="1637" customWidth="1"/>
    <col min="8454" max="8454" width="35.87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34.375" style="1637" customWidth="1"/>
    <col min="8462" max="8462" width="7.875" style="1637" customWidth="1"/>
    <col min="8463" max="8704" width="9" style="1637"/>
    <col min="8705" max="8705" width="54" style="1637" customWidth="1"/>
    <col min="8706" max="8706" width="6.25" style="1637" customWidth="1"/>
    <col min="8707" max="8709" width="13.875" style="1637" customWidth="1"/>
    <col min="8710" max="8710" width="35.87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34.375" style="1637" customWidth="1"/>
    <col min="8718" max="8718" width="7.875" style="1637" customWidth="1"/>
    <col min="8719" max="8960" width="9" style="1637"/>
    <col min="8961" max="8961" width="54" style="1637" customWidth="1"/>
    <col min="8962" max="8962" width="6.25" style="1637" customWidth="1"/>
    <col min="8963" max="8965" width="13.875" style="1637" customWidth="1"/>
    <col min="8966" max="8966" width="35.87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34.375" style="1637" customWidth="1"/>
    <col min="8974" max="8974" width="7.875" style="1637" customWidth="1"/>
    <col min="8975" max="9216" width="9" style="1637"/>
    <col min="9217" max="9217" width="54" style="1637" customWidth="1"/>
    <col min="9218" max="9218" width="6.25" style="1637" customWidth="1"/>
    <col min="9219" max="9221" width="13.875" style="1637" customWidth="1"/>
    <col min="9222" max="9222" width="35.87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34.375" style="1637" customWidth="1"/>
    <col min="9230" max="9230" width="7.875" style="1637" customWidth="1"/>
    <col min="9231" max="9472" width="9" style="1637"/>
    <col min="9473" max="9473" width="54" style="1637" customWidth="1"/>
    <col min="9474" max="9474" width="6.25" style="1637" customWidth="1"/>
    <col min="9475" max="9477" width="13.875" style="1637" customWidth="1"/>
    <col min="9478" max="9478" width="35.87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34.375" style="1637" customWidth="1"/>
    <col min="9486" max="9486" width="7.875" style="1637" customWidth="1"/>
    <col min="9487" max="9728" width="9" style="1637"/>
    <col min="9729" max="9729" width="54" style="1637" customWidth="1"/>
    <col min="9730" max="9730" width="6.25" style="1637" customWidth="1"/>
    <col min="9731" max="9733" width="13.875" style="1637" customWidth="1"/>
    <col min="9734" max="9734" width="35.87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34.375" style="1637" customWidth="1"/>
    <col min="9742" max="9742" width="7.875" style="1637" customWidth="1"/>
    <col min="9743" max="9984" width="9" style="1637"/>
    <col min="9985" max="9985" width="54" style="1637" customWidth="1"/>
    <col min="9986" max="9986" width="6.25" style="1637" customWidth="1"/>
    <col min="9987" max="9989" width="13.875" style="1637" customWidth="1"/>
    <col min="9990" max="9990" width="35.87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34.375" style="1637" customWidth="1"/>
    <col min="9998" max="9998" width="7.875" style="1637" customWidth="1"/>
    <col min="9999" max="10240" width="9" style="1637"/>
    <col min="10241" max="10241" width="54" style="1637" customWidth="1"/>
    <col min="10242" max="10242" width="6.25" style="1637" customWidth="1"/>
    <col min="10243" max="10245" width="13.875" style="1637" customWidth="1"/>
    <col min="10246" max="10246" width="35.87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34.375" style="1637" customWidth="1"/>
    <col min="10254" max="10254" width="7.875" style="1637" customWidth="1"/>
    <col min="10255" max="10496" width="9" style="1637"/>
    <col min="10497" max="10497" width="54" style="1637" customWidth="1"/>
    <col min="10498" max="10498" width="6.25" style="1637" customWidth="1"/>
    <col min="10499" max="10501" width="13.875" style="1637" customWidth="1"/>
    <col min="10502" max="10502" width="35.87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34.375" style="1637" customWidth="1"/>
    <col min="10510" max="10510" width="7.875" style="1637" customWidth="1"/>
    <col min="10511" max="10752" width="9" style="1637"/>
    <col min="10753" max="10753" width="54" style="1637" customWidth="1"/>
    <col min="10754" max="10754" width="6.25" style="1637" customWidth="1"/>
    <col min="10755" max="10757" width="13.875" style="1637" customWidth="1"/>
    <col min="10758" max="10758" width="35.87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34.375" style="1637" customWidth="1"/>
    <col min="10766" max="10766" width="7.875" style="1637" customWidth="1"/>
    <col min="10767" max="11008" width="9" style="1637"/>
    <col min="11009" max="11009" width="54" style="1637" customWidth="1"/>
    <col min="11010" max="11010" width="6.25" style="1637" customWidth="1"/>
    <col min="11011" max="11013" width="13.875" style="1637" customWidth="1"/>
    <col min="11014" max="11014" width="35.87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34.375" style="1637" customWidth="1"/>
    <col min="11022" max="11022" width="7.875" style="1637" customWidth="1"/>
    <col min="11023" max="11264" width="9" style="1637"/>
    <col min="11265" max="11265" width="54" style="1637" customWidth="1"/>
    <col min="11266" max="11266" width="6.25" style="1637" customWidth="1"/>
    <col min="11267" max="11269" width="13.875" style="1637" customWidth="1"/>
    <col min="11270" max="11270" width="35.87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34.375" style="1637" customWidth="1"/>
    <col min="11278" max="11278" width="7.875" style="1637" customWidth="1"/>
    <col min="11279" max="11520" width="9" style="1637"/>
    <col min="11521" max="11521" width="54" style="1637" customWidth="1"/>
    <col min="11522" max="11522" width="6.25" style="1637" customWidth="1"/>
    <col min="11523" max="11525" width="13.875" style="1637" customWidth="1"/>
    <col min="11526" max="11526" width="35.87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34.375" style="1637" customWidth="1"/>
    <col min="11534" max="11534" width="7.875" style="1637" customWidth="1"/>
    <col min="11535" max="11776" width="9" style="1637"/>
    <col min="11777" max="11777" width="54" style="1637" customWidth="1"/>
    <col min="11778" max="11778" width="6.25" style="1637" customWidth="1"/>
    <col min="11779" max="11781" width="13.875" style="1637" customWidth="1"/>
    <col min="11782" max="11782" width="35.87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34.375" style="1637" customWidth="1"/>
    <col min="11790" max="11790" width="7.875" style="1637" customWidth="1"/>
    <col min="11791" max="12032" width="9" style="1637"/>
    <col min="12033" max="12033" width="54" style="1637" customWidth="1"/>
    <col min="12034" max="12034" width="6.25" style="1637" customWidth="1"/>
    <col min="12035" max="12037" width="13.875" style="1637" customWidth="1"/>
    <col min="12038" max="12038" width="35.87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34.375" style="1637" customWidth="1"/>
    <col min="12046" max="12046" width="7.875" style="1637" customWidth="1"/>
    <col min="12047" max="12288" width="9" style="1637"/>
    <col min="12289" max="12289" width="54" style="1637" customWidth="1"/>
    <col min="12290" max="12290" width="6.25" style="1637" customWidth="1"/>
    <col min="12291" max="12293" width="13.875" style="1637" customWidth="1"/>
    <col min="12294" max="12294" width="35.87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34.375" style="1637" customWidth="1"/>
    <col min="12302" max="12302" width="7.875" style="1637" customWidth="1"/>
    <col min="12303" max="12544" width="9" style="1637"/>
    <col min="12545" max="12545" width="54" style="1637" customWidth="1"/>
    <col min="12546" max="12546" width="6.25" style="1637" customWidth="1"/>
    <col min="12547" max="12549" width="13.875" style="1637" customWidth="1"/>
    <col min="12550" max="12550" width="35.87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34.375" style="1637" customWidth="1"/>
    <col min="12558" max="12558" width="7.875" style="1637" customWidth="1"/>
    <col min="12559" max="12800" width="9" style="1637"/>
    <col min="12801" max="12801" width="54" style="1637" customWidth="1"/>
    <col min="12802" max="12802" width="6.25" style="1637" customWidth="1"/>
    <col min="12803" max="12805" width="13.875" style="1637" customWidth="1"/>
    <col min="12806" max="12806" width="35.87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34.375" style="1637" customWidth="1"/>
    <col min="12814" max="12814" width="7.875" style="1637" customWidth="1"/>
    <col min="12815" max="13056" width="9" style="1637"/>
    <col min="13057" max="13057" width="54" style="1637" customWidth="1"/>
    <col min="13058" max="13058" width="6.25" style="1637" customWidth="1"/>
    <col min="13059" max="13061" width="13.875" style="1637" customWidth="1"/>
    <col min="13062" max="13062" width="35.87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34.375" style="1637" customWidth="1"/>
    <col min="13070" max="13070" width="7.875" style="1637" customWidth="1"/>
    <col min="13071" max="13312" width="9" style="1637"/>
    <col min="13313" max="13313" width="54" style="1637" customWidth="1"/>
    <col min="13314" max="13314" width="6.25" style="1637" customWidth="1"/>
    <col min="13315" max="13317" width="13.875" style="1637" customWidth="1"/>
    <col min="13318" max="13318" width="35.87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34.375" style="1637" customWidth="1"/>
    <col min="13326" max="13326" width="7.875" style="1637" customWidth="1"/>
    <col min="13327" max="13568" width="9" style="1637"/>
    <col min="13569" max="13569" width="54" style="1637" customWidth="1"/>
    <col min="13570" max="13570" width="6.25" style="1637" customWidth="1"/>
    <col min="13571" max="13573" width="13.875" style="1637" customWidth="1"/>
    <col min="13574" max="13574" width="35.87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34.375" style="1637" customWidth="1"/>
    <col min="13582" max="13582" width="7.875" style="1637" customWidth="1"/>
    <col min="13583" max="13824" width="9" style="1637"/>
    <col min="13825" max="13825" width="54" style="1637" customWidth="1"/>
    <col min="13826" max="13826" width="6.25" style="1637" customWidth="1"/>
    <col min="13827" max="13829" width="13.875" style="1637" customWidth="1"/>
    <col min="13830" max="13830" width="35.87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34.375" style="1637" customWidth="1"/>
    <col min="13838" max="13838" width="7.875" style="1637" customWidth="1"/>
    <col min="13839" max="14080" width="9" style="1637"/>
    <col min="14081" max="14081" width="54" style="1637" customWidth="1"/>
    <col min="14082" max="14082" width="6.25" style="1637" customWidth="1"/>
    <col min="14083" max="14085" width="13.875" style="1637" customWidth="1"/>
    <col min="14086" max="14086" width="35.87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34.375" style="1637" customWidth="1"/>
    <col min="14094" max="14094" width="7.875" style="1637" customWidth="1"/>
    <col min="14095" max="14336" width="9" style="1637"/>
    <col min="14337" max="14337" width="54" style="1637" customWidth="1"/>
    <col min="14338" max="14338" width="6.25" style="1637" customWidth="1"/>
    <col min="14339" max="14341" width="13.875" style="1637" customWidth="1"/>
    <col min="14342" max="14342" width="35.87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34.375" style="1637" customWidth="1"/>
    <col min="14350" max="14350" width="7.875" style="1637" customWidth="1"/>
    <col min="14351" max="14592" width="9" style="1637"/>
    <col min="14593" max="14593" width="54" style="1637" customWidth="1"/>
    <col min="14594" max="14594" width="6.25" style="1637" customWidth="1"/>
    <col min="14595" max="14597" width="13.875" style="1637" customWidth="1"/>
    <col min="14598" max="14598" width="35.87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34.375" style="1637" customWidth="1"/>
    <col min="14606" max="14606" width="7.875" style="1637" customWidth="1"/>
    <col min="14607" max="14848" width="9" style="1637"/>
    <col min="14849" max="14849" width="54" style="1637" customWidth="1"/>
    <col min="14850" max="14850" width="6.25" style="1637" customWidth="1"/>
    <col min="14851" max="14853" width="13.875" style="1637" customWidth="1"/>
    <col min="14854" max="14854" width="35.87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34.375" style="1637" customWidth="1"/>
    <col min="14862" max="14862" width="7.875" style="1637" customWidth="1"/>
    <col min="14863" max="15104" width="9" style="1637"/>
    <col min="15105" max="15105" width="54" style="1637" customWidth="1"/>
    <col min="15106" max="15106" width="6.25" style="1637" customWidth="1"/>
    <col min="15107" max="15109" width="13.875" style="1637" customWidth="1"/>
    <col min="15110" max="15110" width="35.87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34.375" style="1637" customWidth="1"/>
    <col min="15118" max="15118" width="7.875" style="1637" customWidth="1"/>
    <col min="15119" max="15360" width="9" style="1637"/>
    <col min="15361" max="15361" width="54" style="1637" customWidth="1"/>
    <col min="15362" max="15362" width="6.25" style="1637" customWidth="1"/>
    <col min="15363" max="15365" width="13.875" style="1637" customWidth="1"/>
    <col min="15366" max="15366" width="35.87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34.375" style="1637" customWidth="1"/>
    <col min="15374" max="15374" width="7.875" style="1637" customWidth="1"/>
    <col min="15375" max="15616" width="9" style="1637"/>
    <col min="15617" max="15617" width="54" style="1637" customWidth="1"/>
    <col min="15618" max="15618" width="6.25" style="1637" customWidth="1"/>
    <col min="15619" max="15621" width="13.875" style="1637" customWidth="1"/>
    <col min="15622" max="15622" width="35.87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34.375" style="1637" customWidth="1"/>
    <col min="15630" max="15630" width="7.875" style="1637" customWidth="1"/>
    <col min="15631" max="15872" width="9" style="1637"/>
    <col min="15873" max="15873" width="54" style="1637" customWidth="1"/>
    <col min="15874" max="15874" width="6.25" style="1637" customWidth="1"/>
    <col min="15875" max="15877" width="13.875" style="1637" customWidth="1"/>
    <col min="15878" max="15878" width="35.87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34.375" style="1637" customWidth="1"/>
    <col min="15886" max="15886" width="7.875" style="1637" customWidth="1"/>
    <col min="15887" max="16128" width="9" style="1637"/>
    <col min="16129" max="16129" width="54" style="1637" customWidth="1"/>
    <col min="16130" max="16130" width="6.25" style="1637" customWidth="1"/>
    <col min="16131" max="16133" width="13.875" style="1637" customWidth="1"/>
    <col min="16134" max="16134" width="35.87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34.375" style="1637" customWidth="1"/>
    <col min="16142" max="16142" width="7.875" style="1637" customWidth="1"/>
    <col min="16143" max="16384" width="9" style="1637"/>
  </cols>
  <sheetData>
    <row r="1" spans="1:14">
      <c r="A1" s="1637" t="s">
        <v>3056</v>
      </c>
      <c r="B1" s="1637" t="s">
        <v>3057</v>
      </c>
      <c r="C1" s="1637" t="s">
        <v>3058</v>
      </c>
      <c r="D1" s="1637" t="s">
        <v>3059</v>
      </c>
      <c r="E1" s="1637" t="s">
        <v>3060</v>
      </c>
      <c r="F1" s="1637" t="s">
        <v>3061</v>
      </c>
      <c r="G1" s="1637" t="s">
        <v>3062</v>
      </c>
      <c r="H1" s="1637" t="s">
        <v>3063</v>
      </c>
      <c r="I1" s="1637" t="s">
        <v>3064</v>
      </c>
      <c r="J1" s="1637" t="s">
        <v>3065</v>
      </c>
      <c r="K1" s="1637" t="s">
        <v>3066</v>
      </c>
      <c r="L1" s="1637" t="s">
        <v>3067</v>
      </c>
      <c r="M1" s="1637" t="s">
        <v>3068</v>
      </c>
      <c r="N1" s="1637" t="s">
        <v>3069</v>
      </c>
    </row>
    <row r="2" spans="1:14">
      <c r="A2" s="1637" t="s">
        <v>3906</v>
      </c>
      <c r="B2" s="1637" t="s">
        <v>3071</v>
      </c>
      <c r="C2" s="1637" t="s">
        <v>3907</v>
      </c>
      <c r="D2" s="1637">
        <v>8113.57</v>
      </c>
      <c r="E2" s="1637">
        <v>28722.04</v>
      </c>
      <c r="F2" s="1637" t="s">
        <v>3908</v>
      </c>
      <c r="G2" s="1637" t="s">
        <v>3073</v>
      </c>
      <c r="H2" s="1637" t="s">
        <v>3909</v>
      </c>
      <c r="I2" s="1637">
        <v>2559.13</v>
      </c>
      <c r="J2" s="1637">
        <v>3676.42</v>
      </c>
      <c r="K2" s="1637">
        <v>1280</v>
      </c>
      <c r="L2" s="1637">
        <v>43.66</v>
      </c>
      <c r="M2" s="1637" t="s">
        <v>3910</v>
      </c>
      <c r="N2" s="1637" t="s">
        <v>3076</v>
      </c>
    </row>
    <row r="3" spans="1:14">
      <c r="A3" s="1637" t="s">
        <v>3906</v>
      </c>
      <c r="B3" s="1637" t="s">
        <v>3071</v>
      </c>
      <c r="C3" s="1637" t="s">
        <v>3907</v>
      </c>
      <c r="D3" s="1637">
        <v>26362.18</v>
      </c>
      <c r="E3" s="1637">
        <v>136556.1</v>
      </c>
      <c r="F3" s="1637" t="s">
        <v>3911</v>
      </c>
      <c r="G3" s="1637" t="s">
        <v>3073</v>
      </c>
      <c r="H3" s="1637" t="s">
        <v>3909</v>
      </c>
      <c r="I3" s="1637">
        <v>10118.799999999999</v>
      </c>
      <c r="J3" s="1637">
        <v>17206.060000000001</v>
      </c>
      <c r="K3" s="1637">
        <v>1260</v>
      </c>
      <c r="L3" s="1637">
        <v>70.040000000000006</v>
      </c>
      <c r="M3" s="1637" t="s">
        <v>3912</v>
      </c>
      <c r="N3" s="1637" t="s">
        <v>3076</v>
      </c>
    </row>
    <row r="4" spans="1:14">
      <c r="A4" s="1637" t="s">
        <v>3913</v>
      </c>
      <c r="B4" s="1637" t="s">
        <v>3071</v>
      </c>
      <c r="C4" s="1637" t="s">
        <v>3907</v>
      </c>
      <c r="D4" s="1637">
        <v>32853.82</v>
      </c>
      <c r="E4" s="1637">
        <v>139628.70000000001</v>
      </c>
      <c r="F4" s="1637" t="s">
        <v>3914</v>
      </c>
      <c r="G4" s="1637" t="s">
        <v>3073</v>
      </c>
      <c r="H4" s="1637" t="s">
        <v>3915</v>
      </c>
      <c r="I4" s="1637">
        <v>12873.77</v>
      </c>
      <c r="J4" s="1637">
        <v>29014.84</v>
      </c>
      <c r="K4" s="1637">
        <v>2078</v>
      </c>
      <c r="L4" s="1637">
        <v>125.38</v>
      </c>
      <c r="M4" s="1637" t="s">
        <v>3916</v>
      </c>
      <c r="N4" s="1637" t="s">
        <v>3076</v>
      </c>
    </row>
    <row r="5" spans="1:14">
      <c r="A5" s="1637" t="s">
        <v>3917</v>
      </c>
      <c r="B5" s="1637" t="s">
        <v>3071</v>
      </c>
      <c r="C5" s="1637" t="s">
        <v>3907</v>
      </c>
      <c r="D5" s="1637">
        <v>28327.98</v>
      </c>
      <c r="E5" s="1637">
        <v>124643.1</v>
      </c>
      <c r="F5" s="1637" t="s">
        <v>3918</v>
      </c>
      <c r="G5" s="1637" t="s">
        <v>3073</v>
      </c>
      <c r="H5" s="1637" t="s">
        <v>3915</v>
      </c>
      <c r="I5" s="1637">
        <v>11292.67</v>
      </c>
      <c r="J5" s="1637">
        <v>25888.38</v>
      </c>
      <c r="K5" s="1637">
        <v>2077</v>
      </c>
      <c r="L5" s="1637">
        <v>129.25</v>
      </c>
      <c r="M5" s="1637" t="s">
        <v>3916</v>
      </c>
      <c r="N5" s="1637" t="s">
        <v>3076</v>
      </c>
    </row>
    <row r="6" spans="1:14">
      <c r="A6" s="1637" t="s">
        <v>3919</v>
      </c>
      <c r="B6" s="1637" t="s">
        <v>3071</v>
      </c>
      <c r="C6" s="1637" t="s">
        <v>3920</v>
      </c>
      <c r="D6" s="1637">
        <v>4844.6499999999996</v>
      </c>
      <c r="E6" s="1637">
        <v>16810.939999999999</v>
      </c>
      <c r="F6" s="1637" t="s">
        <v>3921</v>
      </c>
      <c r="G6" s="1637" t="s">
        <v>3073</v>
      </c>
      <c r="H6" s="1637" t="s">
        <v>3915</v>
      </c>
      <c r="I6" s="1637">
        <v>1165</v>
      </c>
      <c r="J6" s="1637">
        <v>1165</v>
      </c>
      <c r="K6" s="1637">
        <v>693</v>
      </c>
      <c r="L6" s="1637">
        <v>0</v>
      </c>
      <c r="M6" s="1637" t="s">
        <v>3916</v>
      </c>
      <c r="N6" s="1637" t="s">
        <v>3076</v>
      </c>
    </row>
    <row r="7" spans="1:14">
      <c r="A7" s="1637" t="s">
        <v>3922</v>
      </c>
      <c r="B7" s="1637" t="s">
        <v>3071</v>
      </c>
      <c r="C7" s="1637" t="s">
        <v>3920</v>
      </c>
      <c r="D7" s="1637">
        <v>33130.730000000003</v>
      </c>
      <c r="E7" s="1637">
        <v>39756.879999999997</v>
      </c>
      <c r="F7" s="1637" t="s">
        <v>3923</v>
      </c>
      <c r="G7" s="1637" t="s">
        <v>3073</v>
      </c>
      <c r="H7" s="1637" t="s">
        <v>3924</v>
      </c>
      <c r="I7" s="1637">
        <v>15346.14</v>
      </c>
      <c r="J7" s="1637">
        <v>15350.12</v>
      </c>
      <c r="K7" s="1637">
        <v>3861</v>
      </c>
      <c r="L7" s="1637">
        <v>0.03</v>
      </c>
      <c r="M7" s="1637" t="s">
        <v>3925</v>
      </c>
      <c r="N7" s="1637" t="s">
        <v>3097</v>
      </c>
    </row>
    <row r="8" spans="1:14" s="2972" customFormat="1">
      <c r="A8" s="2972" t="s">
        <v>3922</v>
      </c>
      <c r="B8" s="2972" t="s">
        <v>3071</v>
      </c>
      <c r="C8" s="2972" t="s">
        <v>3920</v>
      </c>
      <c r="D8" s="2972">
        <v>53369.07</v>
      </c>
      <c r="E8" s="2972">
        <v>80053.600000000006</v>
      </c>
      <c r="F8" s="2972" t="s">
        <v>3926</v>
      </c>
      <c r="G8" s="2972" t="s">
        <v>3073</v>
      </c>
      <c r="H8" s="2972" t="s">
        <v>3924</v>
      </c>
      <c r="I8" s="2972">
        <v>32157.52</v>
      </c>
      <c r="J8" s="2972">
        <v>32165.54</v>
      </c>
      <c r="K8" s="2972">
        <v>4018</v>
      </c>
      <c r="L8" s="2972">
        <v>0.02</v>
      </c>
      <c r="M8" s="2972" t="s">
        <v>3927</v>
      </c>
      <c r="N8" s="2972" t="s">
        <v>3097</v>
      </c>
    </row>
    <row r="9" spans="1:14">
      <c r="A9" s="1637" t="s">
        <v>3928</v>
      </c>
      <c r="B9" s="1637" t="s">
        <v>3071</v>
      </c>
      <c r="C9" s="1637" t="s">
        <v>3920</v>
      </c>
      <c r="D9" s="1637">
        <v>5867.3</v>
      </c>
      <c r="E9" s="1637">
        <v>11734.6</v>
      </c>
      <c r="F9" s="1637" t="s">
        <v>3929</v>
      </c>
      <c r="G9" s="1637" t="s">
        <v>3073</v>
      </c>
      <c r="H9" s="1637" t="s">
        <v>3924</v>
      </c>
      <c r="I9" s="1637">
        <v>3517.71</v>
      </c>
      <c r="J9" s="1637">
        <v>3517.71</v>
      </c>
      <c r="K9" s="1637">
        <v>2997.73</v>
      </c>
      <c r="L9" s="1637">
        <v>0</v>
      </c>
      <c r="M9" s="1637" t="s">
        <v>3930</v>
      </c>
      <c r="N9" s="1637" t="s">
        <v>3087</v>
      </c>
    </row>
    <row r="10" spans="1:14">
      <c r="A10" s="1637" t="s">
        <v>3922</v>
      </c>
      <c r="B10" s="1637" t="s">
        <v>3071</v>
      </c>
      <c r="C10" s="1637" t="s">
        <v>3920</v>
      </c>
      <c r="D10" s="1637">
        <v>36914.449999999997</v>
      </c>
      <c r="E10" s="1637">
        <v>44297.34</v>
      </c>
      <c r="F10" s="1637" t="s">
        <v>3923</v>
      </c>
      <c r="G10" s="1637" t="s">
        <v>3073</v>
      </c>
      <c r="H10" s="1637" t="s">
        <v>3924</v>
      </c>
      <c r="I10" s="1637">
        <v>17098.77</v>
      </c>
      <c r="J10" s="1637">
        <v>17103.2</v>
      </c>
      <c r="K10" s="1637">
        <v>3861</v>
      </c>
      <c r="L10" s="1637">
        <v>0.03</v>
      </c>
      <c r="M10" s="1637" t="s">
        <v>3925</v>
      </c>
      <c r="N10" s="1637" t="s">
        <v>3097</v>
      </c>
    </row>
    <row r="11" spans="1:14">
      <c r="A11" s="1637" t="s">
        <v>3922</v>
      </c>
      <c r="B11" s="1637" t="s">
        <v>3071</v>
      </c>
      <c r="C11" s="1637" t="s">
        <v>3920</v>
      </c>
      <c r="D11" s="1637">
        <v>28333.64</v>
      </c>
      <c r="E11" s="1637">
        <v>34000.370000000003</v>
      </c>
      <c r="F11" s="1637" t="s">
        <v>3923</v>
      </c>
      <c r="G11" s="1637" t="s">
        <v>3073</v>
      </c>
      <c r="H11" s="1637" t="s">
        <v>3924</v>
      </c>
      <c r="I11" s="1637">
        <v>13124.13</v>
      </c>
      <c r="J11" s="1637">
        <v>13127.54</v>
      </c>
      <c r="K11" s="1637">
        <v>3861</v>
      </c>
      <c r="L11" s="1637">
        <v>0.03</v>
      </c>
      <c r="M11" s="1637" t="s">
        <v>3925</v>
      </c>
      <c r="N11" s="1637" t="s">
        <v>3097</v>
      </c>
    </row>
    <row r="12" spans="1:14">
      <c r="A12" s="1637" t="s">
        <v>3928</v>
      </c>
      <c r="B12" s="1637" t="s">
        <v>3071</v>
      </c>
      <c r="C12" s="1637" t="s">
        <v>3920</v>
      </c>
      <c r="D12" s="1637">
        <v>7884.68</v>
      </c>
      <c r="E12" s="1637">
        <v>15769.36</v>
      </c>
      <c r="F12" s="1637" t="s">
        <v>3929</v>
      </c>
      <c r="G12" s="1637" t="s">
        <v>3073</v>
      </c>
      <c r="H12" s="1637" t="s">
        <v>3924</v>
      </c>
      <c r="I12" s="1637">
        <v>4746.57</v>
      </c>
      <c r="J12" s="1637">
        <v>4748.1400000000003</v>
      </c>
      <c r="K12" s="1637">
        <v>3011</v>
      </c>
      <c r="L12" s="1637">
        <v>0.03</v>
      </c>
      <c r="M12" s="1637" t="s">
        <v>3930</v>
      </c>
      <c r="N12" s="1637" t="s">
        <v>3087</v>
      </c>
    </row>
    <row r="13" spans="1:14">
      <c r="A13" s="1637" t="s">
        <v>3928</v>
      </c>
      <c r="B13" s="1637" t="s">
        <v>3071</v>
      </c>
      <c r="C13" s="1637" t="s">
        <v>3920</v>
      </c>
      <c r="D13" s="1637">
        <v>13868.6</v>
      </c>
      <c r="E13" s="1637">
        <v>27737.200000000001</v>
      </c>
      <c r="F13" s="1637" t="s">
        <v>3929</v>
      </c>
      <c r="G13" s="1637" t="s">
        <v>3073</v>
      </c>
      <c r="H13" s="1637" t="s">
        <v>3924</v>
      </c>
      <c r="I13" s="1637">
        <v>8335.77</v>
      </c>
      <c r="J13" s="1637">
        <v>8335.77</v>
      </c>
      <c r="K13" s="1637">
        <v>3005.26</v>
      </c>
      <c r="L13" s="1637">
        <v>0</v>
      </c>
      <c r="M13" s="1637" t="s">
        <v>3930</v>
      </c>
      <c r="N13" s="1637" t="s">
        <v>3931</v>
      </c>
    </row>
    <row r="14" spans="1:14">
      <c r="A14" s="1637" t="s">
        <v>3928</v>
      </c>
      <c r="B14" s="1637" t="s">
        <v>3071</v>
      </c>
      <c r="C14" s="1637" t="s">
        <v>3920</v>
      </c>
      <c r="D14" s="1637">
        <v>9521.17</v>
      </c>
      <c r="E14" s="1637">
        <v>19042.34</v>
      </c>
      <c r="F14" s="1637" t="s">
        <v>3929</v>
      </c>
      <c r="G14" s="1637" t="s">
        <v>3073</v>
      </c>
      <c r="H14" s="1637" t="s">
        <v>3924</v>
      </c>
      <c r="I14" s="1637">
        <v>5731.73</v>
      </c>
      <c r="J14" s="1637">
        <v>5733.64</v>
      </c>
      <c r="K14" s="1637">
        <v>3011</v>
      </c>
      <c r="L14" s="1637">
        <v>0.03</v>
      </c>
      <c r="M14" s="1637" t="s">
        <v>3930</v>
      </c>
      <c r="N14" s="1637" t="s">
        <v>3931</v>
      </c>
    </row>
    <row r="15" spans="1:14">
      <c r="A15" s="1637" t="s">
        <v>3932</v>
      </c>
      <c r="B15" s="1637" t="s">
        <v>3071</v>
      </c>
      <c r="C15" s="1637" t="s">
        <v>3907</v>
      </c>
      <c r="D15" s="1637">
        <v>12116.05</v>
      </c>
      <c r="E15" s="1637">
        <v>50281.61</v>
      </c>
      <c r="F15" s="1637" t="s">
        <v>3933</v>
      </c>
      <c r="G15" s="1637" t="s">
        <v>3073</v>
      </c>
      <c r="H15" s="1637" t="s">
        <v>3934</v>
      </c>
      <c r="I15" s="1637">
        <v>4997.9799999999996</v>
      </c>
      <c r="J15" s="1637">
        <v>11584.87</v>
      </c>
      <c r="K15" s="1637">
        <v>2304</v>
      </c>
      <c r="L15" s="1637">
        <v>131.79</v>
      </c>
      <c r="M15" s="1637" t="s">
        <v>3935</v>
      </c>
      <c r="N15" s="1637" t="s">
        <v>3076</v>
      </c>
    </row>
    <row r="16" spans="1:14">
      <c r="A16" s="1637" t="s">
        <v>3936</v>
      </c>
      <c r="B16" s="1637" t="s">
        <v>3071</v>
      </c>
      <c r="C16" s="1637" t="s">
        <v>3907</v>
      </c>
      <c r="D16" s="1637">
        <v>17779.97</v>
      </c>
      <c r="E16" s="1637">
        <v>73786.880000000005</v>
      </c>
      <c r="F16" s="1637" t="s">
        <v>3933</v>
      </c>
      <c r="G16" s="1637" t="s">
        <v>3073</v>
      </c>
      <c r="H16" s="1637" t="s">
        <v>3934</v>
      </c>
      <c r="I16" s="1637">
        <v>7142.56</v>
      </c>
      <c r="J16" s="1637">
        <v>17398.95</v>
      </c>
      <c r="K16" s="1637">
        <v>2358</v>
      </c>
      <c r="L16" s="1637">
        <v>143.6</v>
      </c>
      <c r="M16" s="1637" t="s">
        <v>3935</v>
      </c>
      <c r="N16" s="1637" t="s">
        <v>3087</v>
      </c>
    </row>
    <row r="17" spans="1:14">
      <c r="A17" s="1637" t="s">
        <v>3937</v>
      </c>
      <c r="B17" s="1637" t="s">
        <v>3071</v>
      </c>
      <c r="C17" s="1637" t="s">
        <v>3920</v>
      </c>
      <c r="D17" s="1637">
        <v>25321</v>
      </c>
      <c r="E17" s="1637">
        <v>75963</v>
      </c>
      <c r="F17" s="1637" t="s">
        <v>3938</v>
      </c>
      <c r="G17" s="1637" t="s">
        <v>3073</v>
      </c>
      <c r="H17" s="1637" t="s">
        <v>3934</v>
      </c>
      <c r="I17" s="1637">
        <v>18290</v>
      </c>
      <c r="J17" s="1637">
        <v>18295</v>
      </c>
      <c r="K17" s="1637">
        <v>2408.4</v>
      </c>
      <c r="L17" s="1637">
        <v>0.03</v>
      </c>
      <c r="M17" s="1637" t="s">
        <v>3939</v>
      </c>
      <c r="N17" s="1637" t="s">
        <v>3087</v>
      </c>
    </row>
    <row r="18" spans="1:14">
      <c r="A18" s="1637" t="s">
        <v>3937</v>
      </c>
      <c r="B18" s="1637" t="s">
        <v>3071</v>
      </c>
      <c r="C18" s="1637" t="s">
        <v>3920</v>
      </c>
      <c r="D18" s="1637">
        <v>19237</v>
      </c>
      <c r="E18" s="1637">
        <v>67329.5</v>
      </c>
      <c r="F18" s="1637" t="s">
        <v>3940</v>
      </c>
      <c r="G18" s="1637" t="s">
        <v>3073</v>
      </c>
      <c r="H18" s="1637" t="s">
        <v>3934</v>
      </c>
      <c r="I18" s="1637">
        <v>13896</v>
      </c>
      <c r="J18" s="1637">
        <v>13901</v>
      </c>
      <c r="K18" s="1637">
        <v>2064.61</v>
      </c>
      <c r="L18" s="1637">
        <v>0.04</v>
      </c>
      <c r="M18" s="1637" t="s">
        <v>3939</v>
      </c>
      <c r="N18" s="1637" t="s">
        <v>3087</v>
      </c>
    </row>
    <row r="19" spans="1:14">
      <c r="A19" s="1637" t="s">
        <v>3941</v>
      </c>
      <c r="B19" s="1637" t="s">
        <v>3071</v>
      </c>
      <c r="C19" s="1637" t="s">
        <v>3907</v>
      </c>
      <c r="D19" s="1637">
        <v>6342.53</v>
      </c>
      <c r="E19" s="1637">
        <v>34886.5</v>
      </c>
      <c r="F19" s="1637" t="s">
        <v>3942</v>
      </c>
      <c r="G19" s="1637" t="s">
        <v>3073</v>
      </c>
      <c r="H19" s="1637" t="s">
        <v>3934</v>
      </c>
      <c r="I19" s="1637">
        <v>3052.57</v>
      </c>
      <c r="J19" s="1637">
        <v>7866.31</v>
      </c>
      <c r="K19" s="1637">
        <v>2254.8200000000002</v>
      </c>
      <c r="L19" s="1637">
        <v>157.69</v>
      </c>
      <c r="M19" s="1637" t="s">
        <v>3935</v>
      </c>
      <c r="N19" s="1637" t="s">
        <v>3087</v>
      </c>
    </row>
    <row r="20" spans="1:14">
      <c r="A20" s="1637" t="s">
        <v>3943</v>
      </c>
      <c r="B20" s="1637" t="s">
        <v>3071</v>
      </c>
      <c r="C20" s="1637" t="s">
        <v>3907</v>
      </c>
      <c r="D20" s="1637">
        <v>8563.92</v>
      </c>
      <c r="E20" s="1637">
        <v>47107.5</v>
      </c>
      <c r="F20" s="1637" t="s">
        <v>3942</v>
      </c>
      <c r="G20" s="1637" t="s">
        <v>3073</v>
      </c>
      <c r="H20" s="1637" t="s">
        <v>3934</v>
      </c>
      <c r="I20" s="1637">
        <v>3429.42</v>
      </c>
      <c r="J20" s="1637">
        <v>9222.48</v>
      </c>
      <c r="K20" s="1637">
        <v>1957.75</v>
      </c>
      <c r="L20" s="1637">
        <v>168.92</v>
      </c>
      <c r="M20" s="1637" t="s">
        <v>3935</v>
      </c>
      <c r="N20" s="1637" t="s">
        <v>3076</v>
      </c>
    </row>
    <row r="21" spans="1:14">
      <c r="A21" s="1637" t="s">
        <v>3944</v>
      </c>
      <c r="B21" s="1637" t="s">
        <v>3071</v>
      </c>
      <c r="C21" s="1637" t="s">
        <v>3907</v>
      </c>
      <c r="D21" s="1637">
        <v>34448.11</v>
      </c>
      <c r="E21" s="1637">
        <v>186502.1</v>
      </c>
      <c r="F21" s="1637" t="s">
        <v>3945</v>
      </c>
      <c r="G21" s="1637" t="s">
        <v>3073</v>
      </c>
      <c r="H21" s="1637" t="s">
        <v>3946</v>
      </c>
      <c r="I21" s="1637">
        <v>12066.68</v>
      </c>
      <c r="J21" s="1637">
        <v>39538.44</v>
      </c>
      <c r="K21" s="1637">
        <v>2120</v>
      </c>
      <c r="L21" s="1637">
        <v>227.67</v>
      </c>
      <c r="M21" s="1637" t="s">
        <v>3947</v>
      </c>
      <c r="N21" s="1637" t="s">
        <v>3076</v>
      </c>
    </row>
    <row r="22" spans="1:14">
      <c r="A22" s="1637" t="s">
        <v>3948</v>
      </c>
      <c r="B22" s="1637" t="s">
        <v>3071</v>
      </c>
      <c r="C22" s="1637" t="s">
        <v>3907</v>
      </c>
      <c r="D22" s="1637">
        <v>9168.48</v>
      </c>
      <c r="E22" s="1637">
        <v>45842.400000000001</v>
      </c>
      <c r="F22" s="1637" t="s">
        <v>3949</v>
      </c>
      <c r="G22" s="1637" t="s">
        <v>3073</v>
      </c>
      <c r="H22" s="1637" t="s">
        <v>3950</v>
      </c>
      <c r="I22" s="1637">
        <v>5643.19</v>
      </c>
      <c r="J22" s="1637">
        <v>7706.1</v>
      </c>
      <c r="K22" s="1637">
        <v>1681</v>
      </c>
      <c r="L22" s="1637">
        <v>36.56</v>
      </c>
      <c r="M22" s="1637" t="s">
        <v>3951</v>
      </c>
      <c r="N22" s="1637" t="s">
        <v>3076</v>
      </c>
    </row>
    <row r="23" spans="1:14">
      <c r="A23" s="1637" t="s">
        <v>3952</v>
      </c>
      <c r="B23" s="1637" t="s">
        <v>3071</v>
      </c>
      <c r="C23" s="1637" t="s">
        <v>3907</v>
      </c>
      <c r="D23" s="1637">
        <v>31473.119999999999</v>
      </c>
      <c r="E23" s="1637">
        <v>180026.3</v>
      </c>
      <c r="F23" s="1637" t="s">
        <v>3953</v>
      </c>
      <c r="G23" s="1637" t="s">
        <v>3073</v>
      </c>
      <c r="H23" s="1637" t="s">
        <v>3950</v>
      </c>
      <c r="I23" s="1637">
        <v>11143.62</v>
      </c>
      <c r="J23" s="1637">
        <v>27526</v>
      </c>
      <c r="K23" s="1637">
        <v>1529</v>
      </c>
      <c r="L23" s="1637">
        <v>147.01</v>
      </c>
      <c r="M23" s="1637" t="s">
        <v>3947</v>
      </c>
      <c r="N23" s="1637" t="s">
        <v>3076</v>
      </c>
    </row>
    <row r="24" spans="1:14">
      <c r="A24" s="1637" t="s">
        <v>3948</v>
      </c>
      <c r="B24" s="1637" t="s">
        <v>3071</v>
      </c>
      <c r="C24" s="1637" t="s">
        <v>3907</v>
      </c>
      <c r="D24" s="1637">
        <v>29223.83</v>
      </c>
      <c r="E24" s="1637">
        <v>160731.1</v>
      </c>
      <c r="F24" s="1637" t="s">
        <v>3954</v>
      </c>
      <c r="G24" s="1637" t="s">
        <v>3073</v>
      </c>
      <c r="H24" s="1637" t="s">
        <v>3950</v>
      </c>
      <c r="I24" s="1637">
        <v>18451.93</v>
      </c>
      <c r="J24" s="1637">
        <v>25202.63</v>
      </c>
      <c r="K24" s="1637">
        <v>1568</v>
      </c>
      <c r="L24" s="1637">
        <v>36.590000000000003</v>
      </c>
      <c r="M24" s="1637" t="s">
        <v>3955</v>
      </c>
      <c r="N24" s="1637" t="s">
        <v>3076</v>
      </c>
    </row>
    <row r="25" spans="1:14" s="2972" customFormat="1">
      <c r="A25" s="2972" t="s">
        <v>3956</v>
      </c>
      <c r="B25" s="2972" t="s">
        <v>3071</v>
      </c>
      <c r="C25" s="2972" t="s">
        <v>3920</v>
      </c>
      <c r="D25" s="2972">
        <v>19236.900000000001</v>
      </c>
      <c r="E25" s="2972">
        <v>28855.35</v>
      </c>
      <c r="F25" s="2972" t="s">
        <v>3926</v>
      </c>
      <c r="G25" s="2972" t="s">
        <v>3073</v>
      </c>
      <c r="H25" s="2972" t="s">
        <v>3957</v>
      </c>
      <c r="I25" s="2972">
        <v>6226.97</v>
      </c>
      <c r="J25" s="2972">
        <v>11591.19</v>
      </c>
      <c r="K25" s="2972">
        <v>4017</v>
      </c>
      <c r="L25" s="2972">
        <v>86.14</v>
      </c>
      <c r="M25" s="2972" t="s">
        <v>3958</v>
      </c>
      <c r="N25" s="2972" t="s">
        <v>3097</v>
      </c>
    </row>
    <row r="26" spans="1:14">
      <c r="A26" s="1637" t="s">
        <v>3959</v>
      </c>
      <c r="B26" s="1637" t="s">
        <v>3071</v>
      </c>
      <c r="C26" s="1637" t="s">
        <v>3920</v>
      </c>
      <c r="D26" s="1637">
        <v>138656.70000000001</v>
      </c>
      <c r="E26" s="1637">
        <v>388238.8</v>
      </c>
      <c r="F26" s="1637" t="s">
        <v>3960</v>
      </c>
      <c r="G26" s="1637" t="s">
        <v>3073</v>
      </c>
      <c r="H26" s="1637" t="s">
        <v>3957</v>
      </c>
      <c r="I26" s="1637">
        <v>158539.20000000001</v>
      </c>
      <c r="J26" s="1637">
        <v>165539.20000000001</v>
      </c>
      <c r="K26" s="1637">
        <v>4263.8500000000004</v>
      </c>
      <c r="L26" s="1637">
        <v>4.42</v>
      </c>
      <c r="M26" s="1637" t="s">
        <v>3961</v>
      </c>
      <c r="N26" s="1637" t="s">
        <v>3087</v>
      </c>
    </row>
    <row r="27" spans="1:14" s="2972" customFormat="1">
      <c r="A27" s="2972" t="s">
        <v>3959</v>
      </c>
      <c r="B27" s="2972" t="s">
        <v>3071</v>
      </c>
      <c r="C27" s="2972" t="s">
        <v>3920</v>
      </c>
      <c r="D27" s="2972">
        <v>49043</v>
      </c>
      <c r="E27" s="2972">
        <v>122607.5</v>
      </c>
      <c r="F27" s="2972" t="s">
        <v>3962</v>
      </c>
      <c r="G27" s="2972" t="s">
        <v>3073</v>
      </c>
      <c r="H27" s="2972" t="s">
        <v>3957</v>
      </c>
      <c r="I27" s="2972">
        <v>50065.01</v>
      </c>
      <c r="J27" s="2972">
        <v>56065.01</v>
      </c>
      <c r="K27" s="2972">
        <v>4572.72</v>
      </c>
      <c r="L27" s="2972">
        <v>11.98</v>
      </c>
      <c r="M27" s="2972" t="s">
        <v>3961</v>
      </c>
      <c r="N27" s="2972" t="s">
        <v>3087</v>
      </c>
    </row>
    <row r="28" spans="1:14">
      <c r="A28" s="1637" t="s">
        <v>3963</v>
      </c>
      <c r="B28" s="1637" t="s">
        <v>3071</v>
      </c>
      <c r="C28" s="1637" t="s">
        <v>3920</v>
      </c>
      <c r="D28" s="1637">
        <v>53929.16</v>
      </c>
      <c r="E28" s="1637">
        <v>102465.4</v>
      </c>
      <c r="F28" s="1637" t="s">
        <v>3964</v>
      </c>
      <c r="G28" s="1637" t="s">
        <v>3073</v>
      </c>
      <c r="H28" s="1637" t="s">
        <v>3957</v>
      </c>
      <c r="I28" s="1637">
        <v>12295.85</v>
      </c>
      <c r="J28" s="1637">
        <v>30842.09</v>
      </c>
      <c r="K28" s="1637">
        <v>3010</v>
      </c>
      <c r="L28" s="1637">
        <v>150.83000000000001</v>
      </c>
      <c r="M28" s="1637" t="s">
        <v>3958</v>
      </c>
      <c r="N28" s="1637" t="s">
        <v>3931</v>
      </c>
    </row>
    <row r="29" spans="1:14">
      <c r="A29" s="1637" t="s">
        <v>3956</v>
      </c>
      <c r="B29" s="1637" t="s">
        <v>3071</v>
      </c>
      <c r="C29" s="1637" t="s">
        <v>3920</v>
      </c>
      <c r="D29" s="1637">
        <v>28981.53</v>
      </c>
      <c r="E29" s="1637">
        <v>43472.29</v>
      </c>
      <c r="F29" s="1637" t="s">
        <v>3926</v>
      </c>
      <c r="G29" s="1637" t="s">
        <v>3073</v>
      </c>
      <c r="H29" s="1637" t="s">
        <v>3957</v>
      </c>
      <c r="I29" s="1637">
        <v>9381.31</v>
      </c>
      <c r="J29" s="1637">
        <v>17462.810000000001</v>
      </c>
      <c r="K29" s="1637">
        <v>4017</v>
      </c>
      <c r="L29" s="1637">
        <v>86.14</v>
      </c>
      <c r="M29" s="1637" t="s">
        <v>3965</v>
      </c>
      <c r="N29" s="1637" t="s">
        <v>3097</v>
      </c>
    </row>
    <row r="30" spans="1:14">
      <c r="A30" s="1637" t="s">
        <v>3956</v>
      </c>
      <c r="B30" s="1637" t="s">
        <v>3071</v>
      </c>
      <c r="C30" s="1637" t="s">
        <v>3920</v>
      </c>
      <c r="D30" s="1637">
        <v>25379.29</v>
      </c>
      <c r="E30" s="1637">
        <v>38068.93</v>
      </c>
      <c r="F30" s="1637" t="s">
        <v>3926</v>
      </c>
      <c r="G30" s="1637" t="s">
        <v>3073</v>
      </c>
      <c r="H30" s="1637" t="s">
        <v>3957</v>
      </c>
      <c r="I30" s="1637">
        <v>8215.2800000000007</v>
      </c>
      <c r="J30" s="1637">
        <v>15292.29</v>
      </c>
      <c r="K30" s="1637">
        <v>4017</v>
      </c>
      <c r="L30" s="1637">
        <v>86.14</v>
      </c>
      <c r="M30" s="1637" t="s">
        <v>3966</v>
      </c>
      <c r="N30" s="1637" t="s">
        <v>3097</v>
      </c>
    </row>
    <row r="31" spans="1:14">
      <c r="A31" s="1637" t="s">
        <v>3967</v>
      </c>
      <c r="B31" s="1637" t="s">
        <v>3071</v>
      </c>
      <c r="C31" s="1637" t="s">
        <v>3920</v>
      </c>
      <c r="D31" s="1637">
        <v>18626.39</v>
      </c>
      <c r="E31" s="1637">
        <v>55879.17</v>
      </c>
      <c r="F31" s="1637" t="s">
        <v>3938</v>
      </c>
      <c r="G31" s="1637" t="s">
        <v>3078</v>
      </c>
      <c r="H31" s="1637" t="s">
        <v>3968</v>
      </c>
      <c r="I31" s="1637">
        <v>2624.46</v>
      </c>
      <c r="J31" s="1637">
        <v>7873.38</v>
      </c>
      <c r="K31" s="1637">
        <v>1409</v>
      </c>
      <c r="L31" s="1637">
        <v>200</v>
      </c>
      <c r="M31" s="1637" t="s">
        <v>3969</v>
      </c>
      <c r="N31" s="1637" t="s">
        <v>3087</v>
      </c>
    </row>
    <row r="32" spans="1:14">
      <c r="A32" s="1637" t="s">
        <v>3970</v>
      </c>
      <c r="B32" s="1637" t="s">
        <v>3071</v>
      </c>
      <c r="C32" s="1637" t="s">
        <v>3920</v>
      </c>
      <c r="D32" s="1637">
        <v>132627.70000000001</v>
      </c>
      <c r="E32" s="1637">
        <v>344832.1</v>
      </c>
      <c r="F32" s="1637" t="s">
        <v>3971</v>
      </c>
      <c r="G32" s="1637" t="s">
        <v>3078</v>
      </c>
      <c r="H32" s="1637" t="s">
        <v>3968</v>
      </c>
      <c r="I32" s="1637" t="s">
        <v>1327</v>
      </c>
      <c r="J32" s="1637">
        <v>50121.33</v>
      </c>
      <c r="K32" s="1637">
        <v>1453.5</v>
      </c>
      <c r="L32" s="1637" t="s">
        <v>1327</v>
      </c>
      <c r="M32" s="1637" t="s">
        <v>3969</v>
      </c>
      <c r="N32" s="1637" t="s">
        <v>3087</v>
      </c>
    </row>
    <row r="33" spans="1:14">
      <c r="A33" s="1637" t="s">
        <v>3972</v>
      </c>
      <c r="B33" s="1637" t="s">
        <v>3071</v>
      </c>
      <c r="C33" s="1637" t="s">
        <v>3920</v>
      </c>
      <c r="D33" s="1637">
        <v>32361.18</v>
      </c>
      <c r="E33" s="1637">
        <v>84139.07</v>
      </c>
      <c r="F33" s="1637" t="s">
        <v>3971</v>
      </c>
      <c r="G33" s="1637" t="s">
        <v>3078</v>
      </c>
      <c r="H33" s="1637" t="s">
        <v>3968</v>
      </c>
      <c r="I33" s="1637" t="s">
        <v>1327</v>
      </c>
      <c r="J33" s="1637">
        <v>12225.4</v>
      </c>
      <c r="K33" s="1637">
        <v>1453</v>
      </c>
      <c r="L33" s="1637" t="s">
        <v>1327</v>
      </c>
      <c r="M33" s="1637" t="s">
        <v>3969</v>
      </c>
      <c r="N33" s="1637" t="s">
        <v>3087</v>
      </c>
    </row>
    <row r="34" spans="1:14">
      <c r="A34" s="1637" t="s">
        <v>3973</v>
      </c>
      <c r="B34" s="1637" t="s">
        <v>3071</v>
      </c>
      <c r="C34" s="1637" t="s">
        <v>3907</v>
      </c>
      <c r="D34" s="1637">
        <v>8535.1299999999992</v>
      </c>
      <c r="E34" s="1637">
        <v>21337.82</v>
      </c>
      <c r="F34" s="1637" t="s">
        <v>3962</v>
      </c>
      <c r="G34" s="1637" t="s">
        <v>3078</v>
      </c>
      <c r="H34" s="1637" t="s">
        <v>3974</v>
      </c>
      <c r="I34" s="1637">
        <v>8898</v>
      </c>
      <c r="J34" s="1637">
        <v>21124.45</v>
      </c>
      <c r="K34" s="1637">
        <v>9900</v>
      </c>
      <c r="L34" s="1637">
        <v>137.41</v>
      </c>
      <c r="M34" s="1637" t="s">
        <v>3975</v>
      </c>
      <c r="N34" s="1637" t="s">
        <v>3076</v>
      </c>
    </row>
    <row r="35" spans="1:14">
      <c r="A35" s="1637" t="s">
        <v>3973</v>
      </c>
      <c r="B35" s="1637" t="s">
        <v>3071</v>
      </c>
      <c r="C35" s="1637" t="s">
        <v>3920</v>
      </c>
      <c r="D35" s="1637">
        <v>5588.08</v>
      </c>
      <c r="E35" s="1637">
        <v>13970.2</v>
      </c>
      <c r="F35" s="1637" t="s">
        <v>3962</v>
      </c>
      <c r="G35" s="1637" t="s">
        <v>3078</v>
      </c>
      <c r="H35" s="1637" t="s">
        <v>3976</v>
      </c>
      <c r="I35" s="1637">
        <v>6007.18</v>
      </c>
      <c r="J35" s="1637">
        <v>15646.62</v>
      </c>
      <c r="K35" s="1637">
        <v>11200</v>
      </c>
      <c r="L35" s="1637">
        <v>160.46</v>
      </c>
      <c r="M35" s="1637" t="s">
        <v>3975</v>
      </c>
      <c r="N35" s="1637" t="s">
        <v>3076</v>
      </c>
    </row>
    <row r="36" spans="1:14">
      <c r="A36" s="1637" t="s">
        <v>3977</v>
      </c>
      <c r="B36" s="1637" t="s">
        <v>3071</v>
      </c>
      <c r="C36" s="1637" t="s">
        <v>3907</v>
      </c>
      <c r="D36" s="1637">
        <v>106759.1</v>
      </c>
      <c r="E36" s="1637">
        <v>206016.7</v>
      </c>
      <c r="F36" s="1637" t="s">
        <v>3978</v>
      </c>
      <c r="G36" s="1637" t="s">
        <v>3078</v>
      </c>
      <c r="H36" s="1637" t="s">
        <v>3979</v>
      </c>
      <c r="I36" s="1637">
        <v>95000</v>
      </c>
      <c r="J36" s="1637">
        <v>230000</v>
      </c>
      <c r="K36" s="1637">
        <v>11164.13</v>
      </c>
      <c r="L36" s="1637">
        <v>142.11000000000001</v>
      </c>
      <c r="M36" s="1637" t="s">
        <v>3980</v>
      </c>
      <c r="N36" s="1637" t="s">
        <v>3087</v>
      </c>
    </row>
    <row r="37" spans="1:14">
      <c r="A37" s="1637" t="s">
        <v>3981</v>
      </c>
      <c r="B37" s="1637" t="s">
        <v>3071</v>
      </c>
      <c r="C37" s="1637" t="s">
        <v>3907</v>
      </c>
      <c r="D37" s="1637">
        <v>15075.9</v>
      </c>
      <c r="E37" s="1637">
        <v>48242.879999999997</v>
      </c>
      <c r="F37" s="1637" t="s">
        <v>3982</v>
      </c>
      <c r="G37" s="1637" t="s">
        <v>3078</v>
      </c>
      <c r="H37" s="1637" t="s">
        <v>3983</v>
      </c>
      <c r="I37" s="1637">
        <v>10617.8</v>
      </c>
      <c r="J37" s="1637">
        <v>10617.8</v>
      </c>
      <c r="K37" s="1637">
        <v>2200.9</v>
      </c>
      <c r="L37" s="1637">
        <v>0</v>
      </c>
      <c r="M37" s="1637" t="s">
        <v>3984</v>
      </c>
      <c r="N37" s="1637" t="s">
        <v>3076</v>
      </c>
    </row>
    <row r="38" spans="1:14">
      <c r="A38" s="1637" t="s">
        <v>3977</v>
      </c>
      <c r="B38" s="1637" t="s">
        <v>3071</v>
      </c>
      <c r="C38" s="1637" t="s">
        <v>3907</v>
      </c>
      <c r="D38" s="1637">
        <v>166810.9</v>
      </c>
      <c r="E38" s="1637">
        <v>425087.1</v>
      </c>
      <c r="F38" s="1637" t="s">
        <v>3985</v>
      </c>
      <c r="G38" s="1637" t="s">
        <v>3078</v>
      </c>
      <c r="H38" s="1637" t="s">
        <v>3986</v>
      </c>
      <c r="I38" s="1637">
        <v>122000</v>
      </c>
      <c r="J38" s="1637">
        <v>123000</v>
      </c>
      <c r="K38" s="1637">
        <v>2893.51</v>
      </c>
      <c r="L38" s="1637">
        <v>0.82</v>
      </c>
      <c r="M38" s="1637" t="s">
        <v>3987</v>
      </c>
      <c r="N38" s="1637" t="s">
        <v>3097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7" t="s">
        <v>1634</v>
      </c>
      <c r="E3" s="1047" t="s">
        <v>1640</v>
      </c>
      <c r="F3" s="1047" t="s">
        <v>1634</v>
      </c>
      <c r="G3" s="1047" t="s">
        <v>1635</v>
      </c>
      <c r="H3" s="1047" t="s">
        <v>1634</v>
      </c>
      <c r="I3" s="1047" t="s">
        <v>1635</v>
      </c>
    </row>
    <row r="4" spans="1:9" ht="30">
      <c r="A4" s="1975" t="str">
        <f>项目基本情况!S2</f>
        <v>出让国有建设用地使用权及在建建筑物房地产</v>
      </c>
      <c r="B4" s="1047">
        <f>项目基本情况!C17</f>
        <v>34338.32</v>
      </c>
      <c r="C4" s="1047">
        <f>项目基本情况!C18</f>
        <v>16074.03</v>
      </c>
      <c r="D4" s="1047">
        <f ca="1">结果表!D118</f>
        <v>27333</v>
      </c>
      <c r="E4" s="1047">
        <f ca="1">结果表!E118</f>
        <v>7960</v>
      </c>
      <c r="F4" s="1047">
        <f ca="1">结果表!F118</f>
        <v>23471</v>
      </c>
      <c r="G4" s="1047">
        <f ca="1">结果表!G118</f>
        <v>6835</v>
      </c>
      <c r="H4" s="1047">
        <f ca="1">结果表!H118</f>
        <v>50804</v>
      </c>
      <c r="I4" s="1047">
        <f ca="1">结果表!I118</f>
        <v>14795</v>
      </c>
    </row>
    <row r="5" spans="1:9" ht="30" customHeight="1">
      <c r="A5" s="2988" t="s">
        <v>1636</v>
      </c>
      <c r="B5" s="2988"/>
      <c r="C5" s="2988"/>
      <c r="D5" s="2989" t="str">
        <f ca="1">结果表!D119</f>
        <v>贰亿柒仟叁佰叁拾叁万元整</v>
      </c>
      <c r="E5" s="2989"/>
      <c r="F5" s="2989" t="str">
        <f ca="1">结果表!F119</f>
        <v>贰亿叁仟肆佰柒拾壹万元整</v>
      </c>
      <c r="G5" s="2989"/>
      <c r="H5" s="2989" t="str">
        <f ca="1">结果表!H119</f>
        <v>伍亿零捌佰零肆万元整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50804</v>
      </c>
      <c r="E8" s="2990"/>
      <c r="F8" s="2990"/>
      <c r="G8" s="2990"/>
      <c r="H8" s="2990"/>
      <c r="I8" s="2990"/>
    </row>
    <row r="9" spans="1:9" ht="15">
      <c r="A9" s="2988" t="s">
        <v>1636</v>
      </c>
      <c r="B9" s="2988"/>
      <c r="C9" s="2988"/>
      <c r="D9" s="2989" t="str">
        <f ca="1">结果表!D123</f>
        <v>伍亿零捌佰零肆万元整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7" t="s">
        <v>1658</v>
      </c>
      <c r="B1" s="2997"/>
      <c r="C1" s="2997"/>
      <c r="D1" s="2997"/>
    </row>
    <row r="2" spans="1:4" ht="18">
      <c r="A2" s="2998" t="s">
        <v>1642</v>
      </c>
      <c r="B2" s="2998"/>
      <c r="C2" s="2998"/>
      <c r="D2" s="2998"/>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2998" t="s">
        <v>1648</v>
      </c>
      <c r="B6" s="2998"/>
      <c r="C6" s="2998"/>
      <c r="D6" s="2998"/>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1"/>
      <c r="C12" s="3001"/>
      <c r="D12" s="3001"/>
    </row>
    <row r="13" spans="1:4" ht="30" customHeight="1">
      <c r="A13" s="3000" t="str">
        <f>IF(项目基本情况!B8="抵押","3.抵押双方在办理抵押登记手续时，应使用本公司出具的正式《房地产评估报告》，特提醒报告使用者注意。","——")</f>
        <v>——</v>
      </c>
      <c r="B13" s="3001"/>
      <c r="C13" s="3001"/>
      <c r="D13" s="3001"/>
    </row>
    <row r="14" spans="1:4" ht="15.75" customHeight="1">
      <c r="A14" s="3000" t="str">
        <f>IF(项目基本情况!B8="抵押","4.本次评估估价师所知悉的法定优先受偿款情况说明如下：","——")</f>
        <v>——</v>
      </c>
      <c r="B14" s="3001"/>
      <c r="C14" s="3001"/>
      <c r="D14" s="3001"/>
    </row>
    <row r="15" spans="1:4" ht="42" customHeight="1">
      <c r="A15" s="3000" t="str">
        <f>IF(项目基本情况!B8="抵押","（1）"&amp;CONCATENATE(项目基本情况!L20,项目基本情况!L21,项目基本情况!L22),"——")</f>
        <v>——</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1654</v>
      </c>
      <c r="B22" s="3005"/>
      <c r="C22" s="3005"/>
      <c r="D22" s="3005"/>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11" t="s">
        <v>1665</v>
      </c>
      <c r="B15" s="3006" t="s">
        <v>136</v>
      </c>
      <c r="C15" s="3007"/>
    </row>
    <row r="16" spans="1:7" ht="13.5">
      <c r="A16" s="3012"/>
      <c r="B16" s="3006" t="s">
        <v>69</v>
      </c>
      <c r="C16" s="3007"/>
    </row>
    <row r="17" spans="1:3" ht="13.5">
      <c r="A17" s="3012"/>
      <c r="B17" s="3009" t="s">
        <v>1666</v>
      </c>
      <c r="C17" s="2002" t="s">
        <v>1665</v>
      </c>
    </row>
    <row r="18" spans="1:3" ht="13.5">
      <c r="A18" s="3012"/>
      <c r="B18" s="3009"/>
      <c r="C18" s="2002" t="s">
        <v>1667</v>
      </c>
    </row>
    <row r="19" spans="1:3" ht="13.5">
      <c r="A19" s="3012"/>
      <c r="B19" s="3009"/>
      <c r="C19" s="2002" t="s">
        <v>1668</v>
      </c>
    </row>
    <row r="20" spans="1:3" ht="13.5">
      <c r="A20" s="3013"/>
      <c r="B20" s="3008" t="s">
        <v>1669</v>
      </c>
      <c r="C20" s="3007"/>
    </row>
    <row r="21" spans="1:3" ht="13.5">
      <c r="A21" s="2003" t="s">
        <v>1670</v>
      </c>
      <c r="B21" s="2004"/>
      <c r="C21" s="2005"/>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2002" t="s">
        <v>1676</v>
      </c>
    </row>
    <row r="26" spans="1:3" ht="13.5">
      <c r="A26" s="3010"/>
      <c r="B26" s="3009"/>
      <c r="C26" s="2002" t="s">
        <v>1677</v>
      </c>
    </row>
    <row r="27" spans="1:3" ht="13.5">
      <c r="A27" s="3010"/>
      <c r="B27" s="3009"/>
      <c r="C27" s="2002" t="s">
        <v>1678</v>
      </c>
    </row>
    <row r="28" spans="1:3" ht="13.5">
      <c r="A28" s="3010"/>
      <c r="B28" s="3009"/>
      <c r="C28" s="2002" t="s">
        <v>1679</v>
      </c>
    </row>
    <row r="29" spans="1:3" ht="13.5">
      <c r="A29" s="3010"/>
      <c r="B29" s="3009"/>
      <c r="C29" s="2002" t="s">
        <v>1680</v>
      </c>
    </row>
    <row r="30" spans="1:3" ht="13.5">
      <c r="A30" s="3010"/>
      <c r="B30" s="3009"/>
      <c r="C30" s="2002" t="s">
        <v>1681</v>
      </c>
    </row>
    <row r="31" spans="1:3" ht="13.5">
      <c r="A31" s="3010"/>
      <c r="B31" s="3009"/>
      <c r="C31" s="2002" t="s">
        <v>1682</v>
      </c>
    </row>
    <row r="32" spans="1:3" ht="13.5">
      <c r="A32" s="3010"/>
      <c r="B32" s="3009"/>
      <c r="C32" s="2002" t="s">
        <v>1683</v>
      </c>
    </row>
    <row r="33" spans="1:3" ht="13.5">
      <c r="A33" s="3010"/>
      <c r="B33" s="3009"/>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43689</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2"/>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3048</v>
      </c>
      <c r="B14" s="1025">
        <f ca="1">IF(C14&lt;B2,"已过期",1120040230)</f>
        <v>1120040230</v>
      </c>
      <c r="C14" s="2351">
        <v>43835</v>
      </c>
      <c r="D14" s="2354" t="s">
        <v>3048</v>
      </c>
      <c r="E14" s="1025">
        <f ca="1">IF(F14&lt;B2,"已过期",98030020)</f>
        <v>98030020</v>
      </c>
      <c r="F14" s="1033">
        <v>47118</v>
      </c>
    </row>
    <row r="15" spans="1:6" ht="24" customHeight="1">
      <c r="A15" s="1705" t="s">
        <v>3049</v>
      </c>
      <c r="B15" s="1025">
        <f ca="1">IF(C15&lt;B2,"已过期",1120070085)</f>
        <v>1120070085</v>
      </c>
      <c r="C15" s="2351">
        <v>43814</v>
      </c>
      <c r="D15" s="2355" t="s">
        <v>3049</v>
      </c>
      <c r="E15" s="1025">
        <f ca="1">IF(F15&lt;B2,"已过期",2004110128)</f>
        <v>2004110128</v>
      </c>
      <c r="F15" s="1026">
        <v>47118</v>
      </c>
    </row>
    <row r="16" spans="1:6" ht="24" customHeight="1">
      <c r="A16" s="1704" t="s">
        <v>3050</v>
      </c>
      <c r="B16" s="1025">
        <f ca="1">IF(C16&lt;B2,"已过期",1120140022)</f>
        <v>1120140022</v>
      </c>
      <c r="C16" s="2942">
        <v>44029</v>
      </c>
      <c r="D16" s="2354" t="s">
        <v>3050</v>
      </c>
      <c r="E16" s="1025">
        <f ca="1">IF(F16&lt;B2,"已过期",2008110059)</f>
        <v>2008110059</v>
      </c>
      <c r="F16" s="1033">
        <v>47177</v>
      </c>
    </row>
    <row r="17" spans="1:7" ht="24" customHeight="1">
      <c r="A17" s="1704"/>
      <c r="B17" s="1025"/>
      <c r="C17" s="2351"/>
      <c r="D17" s="2354" t="s">
        <v>3051</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2">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14" t="s">
        <v>843</v>
      </c>
      <c r="B25" s="3014"/>
      <c r="C25" s="3014"/>
      <c r="D25" s="3014"/>
      <c r="E25" s="3014"/>
      <c r="F25" s="3014"/>
      <c r="G25" s="3014"/>
    </row>
    <row r="26" spans="1:7" s="1028" customFormat="1" ht="24" customHeight="1">
      <c r="A26" s="3015" t="s">
        <v>844</v>
      </c>
      <c r="B26" s="3015"/>
      <c r="C26" s="3016"/>
      <c r="D26" s="3017" t="s">
        <v>845</v>
      </c>
      <c r="E26" s="3015"/>
      <c r="F26" s="3015"/>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Sheet1</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2019-08-12T08:08:55Z</dcterms:modified>
</cp:coreProperties>
</file>