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赁情况" sheetId="82" r:id="rId46"/>
    <sheet name="案例-中指" sheetId="80" r:id="rId47"/>
    <sheet name="案例-网" sheetId="81"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33" i="33" l="1"/>
  <c r="B14" i="74"/>
  <c r="L26" i="1"/>
  <c r="J24" i="1"/>
  <c r="J22" i="1"/>
  <c r="K22" i="1"/>
  <c r="A20" i="82"/>
  <c r="F19" i="6"/>
  <c r="N44" i="82"/>
  <c r="N43" i="82"/>
  <c r="F43" i="82"/>
  <c r="L43" i="82"/>
  <c r="H35" i="82"/>
  <c r="H34" i="82"/>
  <c r="L27" i="82"/>
  <c r="K27" i="82"/>
  <c r="J27" i="82"/>
  <c r="O26" i="82"/>
  <c r="N26" i="82"/>
  <c r="M26" i="82"/>
  <c r="H26" i="82"/>
  <c r="O25" i="82"/>
  <c r="N25" i="82"/>
  <c r="M25" i="82"/>
  <c r="H25" i="82"/>
  <c r="N24" i="82"/>
  <c r="H24" i="82"/>
  <c r="G24" i="82"/>
  <c r="F24" i="82"/>
  <c r="I24" i="82"/>
  <c r="N23" i="82"/>
  <c r="H23" i="82"/>
  <c r="H27" i="82" s="1"/>
  <c r="G23" i="82"/>
  <c r="G27" i="82" s="1"/>
  <c r="F23" i="82"/>
  <c r="F27" i="82" s="1"/>
  <c r="HZ18" i="82"/>
  <c r="HY18" i="82"/>
  <c r="HW18" i="82"/>
  <c r="HV18" i="82"/>
  <c r="HU18" i="82"/>
  <c r="HT18" i="82"/>
  <c r="HQ18" i="82"/>
  <c r="HN18" i="82"/>
  <c r="HM18" i="82"/>
  <c r="HJ18" i="82"/>
  <c r="HG18" i="82"/>
  <c r="HF18" i="82"/>
  <c r="HC18" i="82"/>
  <c r="GZ18" i="82"/>
  <c r="GY18" i="82"/>
  <c r="GV18" i="82"/>
  <c r="GS18" i="82"/>
  <c r="GR18" i="82"/>
  <c r="GO18" i="82"/>
  <c r="GL18" i="82"/>
  <c r="GK18" i="82"/>
  <c r="GH18" i="82"/>
  <c r="GE18" i="82"/>
  <c r="GD18" i="82"/>
  <c r="GA18" i="82"/>
  <c r="FX18" i="82"/>
  <c r="FW18" i="82"/>
  <c r="FT18" i="82"/>
  <c r="FQ18" i="82"/>
  <c r="FP18" i="82"/>
  <c r="FM18" i="82"/>
  <c r="FJ18" i="82"/>
  <c r="FI18" i="82"/>
  <c r="FF18" i="82"/>
  <c r="FC18" i="82"/>
  <c r="FB18" i="82"/>
  <c r="EY18" i="82"/>
  <c r="EV18" i="82"/>
  <c r="EU18" i="82"/>
  <c r="ER18" i="82"/>
  <c r="EM18" i="82"/>
  <c r="EL18" i="82"/>
  <c r="EI18" i="82"/>
  <c r="EH18" i="82"/>
  <c r="EG18" i="82"/>
  <c r="ED18" i="82"/>
  <c r="EA18" i="82"/>
  <c r="DZ18" i="82"/>
  <c r="DW18" i="82"/>
  <c r="DT18" i="82"/>
  <c r="DS18" i="82"/>
  <c r="DP18" i="82"/>
  <c r="DM18" i="82"/>
  <c r="DL18" i="82"/>
  <c r="DI18" i="82"/>
  <c r="DF18" i="82"/>
  <c r="DE18" i="82"/>
  <c r="DB18" i="82"/>
  <c r="CY18" i="82"/>
  <c r="CX18" i="82"/>
  <c r="CU18" i="82"/>
  <c r="CR18" i="82"/>
  <c r="CQ18" i="82"/>
  <c r="CN18" i="82"/>
  <c r="CK18" i="82"/>
  <c r="CJ18" i="82"/>
  <c r="CG18" i="82"/>
  <c r="CD18" i="82"/>
  <c r="CC18" i="82"/>
  <c r="BZ18" i="82"/>
  <c r="BW18" i="82"/>
  <c r="BV18" i="82"/>
  <c r="BS18" i="82"/>
  <c r="BP18" i="82"/>
  <c r="BO18" i="82"/>
  <c r="BL18" i="82"/>
  <c r="BH18" i="82"/>
  <c r="AZ18" i="82"/>
  <c r="AY18" i="82"/>
  <c r="AW18" i="82"/>
  <c r="AV18" i="82"/>
  <c r="AU18" i="82"/>
  <c r="AT18" i="82"/>
  <c r="AQ18" i="82"/>
  <c r="AN18" i="82"/>
  <c r="AM18" i="82"/>
  <c r="AJ18" i="82"/>
  <c r="AG18" i="82"/>
  <c r="AF18" i="82"/>
  <c r="AC18" i="82"/>
  <c r="X18" i="82"/>
  <c r="V18" i="82"/>
  <c r="T18" i="82"/>
  <c r="R18" i="82"/>
  <c r="P18" i="82"/>
  <c r="N18" i="82"/>
  <c r="L18" i="82"/>
  <c r="BD18" i="82" s="1"/>
  <c r="K18" i="82"/>
  <c r="HZ17" i="82"/>
  <c r="HY17" i="82"/>
  <c r="HW17" i="82"/>
  <c r="HV17" i="82"/>
  <c r="HU17" i="82"/>
  <c r="HT17" i="82"/>
  <c r="HQ17" i="82"/>
  <c r="HN17" i="82"/>
  <c r="HM17" i="82"/>
  <c r="HJ17" i="82"/>
  <c r="HG17" i="82"/>
  <c r="HF17" i="82"/>
  <c r="HC17" i="82"/>
  <c r="GZ17" i="82"/>
  <c r="GY17" i="82"/>
  <c r="GV17" i="82"/>
  <c r="GS17" i="82"/>
  <c r="GR17" i="82"/>
  <c r="GO17" i="82"/>
  <c r="GL17" i="82"/>
  <c r="GK17" i="82"/>
  <c r="GH17" i="82"/>
  <c r="GE17" i="82"/>
  <c r="GD17" i="82"/>
  <c r="GA17" i="82"/>
  <c r="FX17" i="82"/>
  <c r="FW17" i="82"/>
  <c r="FT17" i="82"/>
  <c r="FQ17" i="82"/>
  <c r="FP17" i="82"/>
  <c r="FM17" i="82"/>
  <c r="FJ17" i="82"/>
  <c r="FI17" i="82"/>
  <c r="FF17" i="82"/>
  <c r="FC17" i="82"/>
  <c r="FB17" i="82"/>
  <c r="EY17" i="82"/>
  <c r="EV17" i="82"/>
  <c r="EU17" i="82"/>
  <c r="ER17" i="82"/>
  <c r="EM17" i="82"/>
  <c r="EL17" i="82"/>
  <c r="EJ17" i="82"/>
  <c r="EI17" i="82"/>
  <c r="EH17" i="82"/>
  <c r="EG17" i="82"/>
  <c r="ED17" i="82"/>
  <c r="EA17" i="82"/>
  <c r="DZ17" i="82"/>
  <c r="DW17" i="82"/>
  <c r="DT17" i="82"/>
  <c r="DS17" i="82"/>
  <c r="DP17" i="82"/>
  <c r="DM17" i="82"/>
  <c r="DL17" i="82"/>
  <c r="DI17" i="82"/>
  <c r="DF17" i="82"/>
  <c r="DE17" i="82"/>
  <c r="DB17" i="82"/>
  <c r="CY17" i="82"/>
  <c r="CX17" i="82"/>
  <c r="CU17" i="82"/>
  <c r="CR17" i="82"/>
  <c r="CQ17" i="82"/>
  <c r="CN17" i="82"/>
  <c r="CK17" i="82"/>
  <c r="CJ17" i="82"/>
  <c r="CG17" i="82"/>
  <c r="CD17" i="82"/>
  <c r="CC17" i="82"/>
  <c r="BZ17" i="82"/>
  <c r="BW17" i="82"/>
  <c r="BV17" i="82"/>
  <c r="BS17" i="82"/>
  <c r="BP17" i="82"/>
  <c r="BO17" i="82"/>
  <c r="BL17" i="82"/>
  <c r="BI17" i="82"/>
  <c r="BH17" i="82"/>
  <c r="BE17" i="82"/>
  <c r="AZ17" i="82"/>
  <c r="IG17" i="82" s="1"/>
  <c r="AY17" i="82"/>
  <c r="IF17" i="82" s="1"/>
  <c r="Y17" i="82" s="1"/>
  <c r="AW17" i="82"/>
  <c r="ID17" i="82" s="1"/>
  <c r="AV17" i="82"/>
  <c r="AU17" i="82"/>
  <c r="AT17" i="82"/>
  <c r="AQ17" i="82"/>
  <c r="AN17" i="82"/>
  <c r="AM17" i="82"/>
  <c r="AJ17" i="82"/>
  <c r="AG17" i="82"/>
  <c r="AF17" i="82"/>
  <c r="AC17" i="82"/>
  <c r="X17" i="82"/>
  <c r="Z17" i="82" s="1"/>
  <c r="K17" i="82"/>
  <c r="HZ16" i="82"/>
  <c r="HY16" i="82"/>
  <c r="HW16" i="82"/>
  <c r="HV16" i="82"/>
  <c r="HU16" i="82"/>
  <c r="HT16" i="82"/>
  <c r="HQ16" i="82"/>
  <c r="HN16" i="82"/>
  <c r="HM16" i="82"/>
  <c r="HJ16" i="82"/>
  <c r="HG16" i="82"/>
  <c r="HF16" i="82"/>
  <c r="HC16" i="82"/>
  <c r="GZ16" i="82"/>
  <c r="GY16" i="82"/>
  <c r="GV16" i="82"/>
  <c r="GS16" i="82"/>
  <c r="GR16" i="82"/>
  <c r="GO16" i="82"/>
  <c r="GL16" i="82"/>
  <c r="GK16" i="82"/>
  <c r="GH16" i="82"/>
  <c r="GE16" i="82"/>
  <c r="GD16" i="82"/>
  <c r="GA16" i="82"/>
  <c r="FX16" i="82"/>
  <c r="FW16" i="82"/>
  <c r="FT16" i="82"/>
  <c r="FQ16" i="82"/>
  <c r="FP16" i="82"/>
  <c r="FM16" i="82"/>
  <c r="FJ16" i="82"/>
  <c r="FI16" i="82"/>
  <c r="FF16" i="82"/>
  <c r="FC16" i="82"/>
  <c r="FB16" i="82"/>
  <c r="EY16" i="82"/>
  <c r="EV16" i="82"/>
  <c r="EU16" i="82"/>
  <c r="ER16" i="82"/>
  <c r="EM16" i="82"/>
  <c r="EL16" i="82"/>
  <c r="EJ16" i="82"/>
  <c r="EI16" i="82"/>
  <c r="EH16" i="82"/>
  <c r="EG16" i="82"/>
  <c r="ED16" i="82"/>
  <c r="EA16" i="82"/>
  <c r="DZ16" i="82"/>
  <c r="DW16" i="82"/>
  <c r="DT16" i="82"/>
  <c r="DS16" i="82"/>
  <c r="DP16" i="82"/>
  <c r="DM16" i="82"/>
  <c r="DL16" i="82"/>
  <c r="DI16" i="82"/>
  <c r="DF16" i="82"/>
  <c r="DE16" i="82"/>
  <c r="DB16" i="82"/>
  <c r="CY16" i="82"/>
  <c r="CX16" i="82"/>
  <c r="CU16" i="82"/>
  <c r="CR16" i="82"/>
  <c r="CQ16" i="82"/>
  <c r="CN16" i="82"/>
  <c r="CK16" i="82"/>
  <c r="CJ16" i="82"/>
  <c r="CG16" i="82"/>
  <c r="CD16" i="82"/>
  <c r="CC16" i="82"/>
  <c r="BZ16" i="82"/>
  <c r="BW16" i="82"/>
  <c r="BV16" i="82"/>
  <c r="BS16" i="82"/>
  <c r="BP16" i="82"/>
  <c r="BO16" i="82"/>
  <c r="BL16" i="82"/>
  <c r="BI16" i="82"/>
  <c r="BH16" i="82"/>
  <c r="BE16" i="82"/>
  <c r="AZ16" i="82"/>
  <c r="IG16" i="82" s="1"/>
  <c r="AY16" i="82"/>
  <c r="IF16" i="82" s="1"/>
  <c r="Y16" i="82" s="1"/>
  <c r="AW16" i="82"/>
  <c r="ID16" i="82" s="1"/>
  <c r="AV16" i="82"/>
  <c r="IC16" i="82" s="1"/>
  <c r="AU16" i="82"/>
  <c r="AT16" i="82"/>
  <c r="AQ16" i="82"/>
  <c r="AN16" i="82"/>
  <c r="AM16" i="82"/>
  <c r="AJ16" i="82"/>
  <c r="AG16" i="82"/>
  <c r="AF16" i="82"/>
  <c r="AC16" i="82"/>
  <c r="X16" i="82"/>
  <c r="Z16" i="82" s="1"/>
  <c r="V16" i="82"/>
  <c r="T16" i="82"/>
  <c r="R16" i="82"/>
  <c r="P16" i="82"/>
  <c r="N16" i="82"/>
  <c r="L16" i="82"/>
  <c r="K16" i="82"/>
  <c r="HZ15" i="82"/>
  <c r="HY15" i="82"/>
  <c r="HW15" i="82"/>
  <c r="HV15" i="82"/>
  <c r="HU15" i="82"/>
  <c r="HT15" i="82"/>
  <c r="HQ15" i="82"/>
  <c r="HN15" i="82"/>
  <c r="HM15" i="82"/>
  <c r="HJ15" i="82"/>
  <c r="HG15" i="82"/>
  <c r="HF15" i="82"/>
  <c r="HC15" i="82"/>
  <c r="GZ15" i="82"/>
  <c r="GY15" i="82"/>
  <c r="GV15" i="82"/>
  <c r="GS15" i="82"/>
  <c r="GR15" i="82"/>
  <c r="GO15" i="82"/>
  <c r="GL15" i="82"/>
  <c r="GK15" i="82"/>
  <c r="GH15" i="82"/>
  <c r="GE15" i="82"/>
  <c r="GD15" i="82"/>
  <c r="GA15" i="82"/>
  <c r="FX15" i="82"/>
  <c r="FW15" i="82"/>
  <c r="FT15" i="82"/>
  <c r="FQ15" i="82"/>
  <c r="FP15" i="82"/>
  <c r="FM15" i="82"/>
  <c r="FJ15" i="82"/>
  <c r="FI15" i="82"/>
  <c r="FF15" i="82"/>
  <c r="FC15" i="82"/>
  <c r="FB15" i="82"/>
  <c r="EY15" i="82"/>
  <c r="EV15" i="82"/>
  <c r="EU15" i="82"/>
  <c r="ER15" i="82"/>
  <c r="EM15" i="82"/>
  <c r="EL15" i="82"/>
  <c r="EJ15" i="82"/>
  <c r="EI15" i="82"/>
  <c r="EH15" i="82"/>
  <c r="EG15" i="82"/>
  <c r="ED15" i="82"/>
  <c r="EA15" i="82"/>
  <c r="DZ15" i="82"/>
  <c r="DW15" i="82"/>
  <c r="DT15" i="82"/>
  <c r="DS15" i="82"/>
  <c r="DP15" i="82"/>
  <c r="DM15" i="82"/>
  <c r="DL15" i="82"/>
  <c r="DI15" i="82"/>
  <c r="DF15" i="82"/>
  <c r="DE15" i="82"/>
  <c r="DB15" i="82"/>
  <c r="CY15" i="82"/>
  <c r="CX15" i="82"/>
  <c r="CU15" i="82"/>
  <c r="CR15" i="82"/>
  <c r="CQ15" i="82"/>
  <c r="CN15" i="82"/>
  <c r="CK15" i="82"/>
  <c r="CJ15" i="82"/>
  <c r="CG15" i="82"/>
  <c r="CD15" i="82"/>
  <c r="CC15" i="82"/>
  <c r="BZ15" i="82"/>
  <c r="BW15" i="82"/>
  <c r="BV15" i="82"/>
  <c r="BS15" i="82"/>
  <c r="BP15" i="82"/>
  <c r="BO15" i="82"/>
  <c r="BL15" i="82"/>
  <c r="BI15" i="82"/>
  <c r="BH15" i="82"/>
  <c r="BE15" i="82"/>
  <c r="AZ15" i="82"/>
  <c r="IG15" i="82" s="1"/>
  <c r="AY15" i="82"/>
  <c r="IF15" i="82" s="1"/>
  <c r="Y15" i="82" s="1"/>
  <c r="AW15" i="82"/>
  <c r="ID15" i="82" s="1"/>
  <c r="AV15" i="82"/>
  <c r="AU15" i="82"/>
  <c r="AT15" i="82"/>
  <c r="AQ15" i="82"/>
  <c r="AN15" i="82"/>
  <c r="AM15" i="82"/>
  <c r="AJ15" i="82"/>
  <c r="AG15" i="82"/>
  <c r="AF15" i="82"/>
  <c r="AC15" i="82"/>
  <c r="X15" i="82"/>
  <c r="Z15" i="82" s="1"/>
  <c r="K15" i="82"/>
  <c r="HZ14" i="82"/>
  <c r="HY14" i="82"/>
  <c r="HW14" i="82"/>
  <c r="HV14" i="82"/>
  <c r="HU14" i="82"/>
  <c r="HT14" i="82"/>
  <c r="HQ14" i="82"/>
  <c r="HN14" i="82"/>
  <c r="HM14" i="82"/>
  <c r="HJ14" i="82"/>
  <c r="HG14" i="82"/>
  <c r="HF14" i="82"/>
  <c r="HC14" i="82"/>
  <c r="GZ14" i="82"/>
  <c r="GY14" i="82"/>
  <c r="GV14" i="82"/>
  <c r="GS14" i="82"/>
  <c r="GR14" i="82"/>
  <c r="GO14" i="82"/>
  <c r="GL14" i="82"/>
  <c r="GK14" i="82"/>
  <c r="GH14" i="82"/>
  <c r="GE14" i="82"/>
  <c r="GD14" i="82"/>
  <c r="GA14" i="82"/>
  <c r="FX14" i="82"/>
  <c r="FW14" i="82"/>
  <c r="FT14" i="82"/>
  <c r="FQ14" i="82"/>
  <c r="FP14" i="82"/>
  <c r="FM14" i="82"/>
  <c r="FJ14" i="82"/>
  <c r="FI14" i="82"/>
  <c r="FF14" i="82"/>
  <c r="FC14" i="82"/>
  <c r="FB14" i="82"/>
  <c r="EY14" i="82"/>
  <c r="EV14" i="82"/>
  <c r="EU14" i="82"/>
  <c r="ER14" i="82"/>
  <c r="EM14" i="82"/>
  <c r="EL14" i="82"/>
  <c r="EJ14" i="82"/>
  <c r="EI14" i="82"/>
  <c r="EH14" i="82"/>
  <c r="EG14" i="82"/>
  <c r="ED14" i="82"/>
  <c r="EA14" i="82"/>
  <c r="DZ14" i="82"/>
  <c r="DW14" i="82"/>
  <c r="DT14" i="82"/>
  <c r="DS14" i="82"/>
  <c r="DP14" i="82"/>
  <c r="DM14" i="82"/>
  <c r="DL14" i="82"/>
  <c r="DI14" i="82"/>
  <c r="DF14" i="82"/>
  <c r="DE14" i="82"/>
  <c r="DB14" i="82"/>
  <c r="CY14" i="82"/>
  <c r="CX14" i="82"/>
  <c r="CU14" i="82"/>
  <c r="CR14" i="82"/>
  <c r="CQ14" i="82"/>
  <c r="CN14" i="82"/>
  <c r="CK14" i="82"/>
  <c r="CJ14" i="82"/>
  <c r="CG14" i="82"/>
  <c r="CD14" i="82"/>
  <c r="CC14" i="82"/>
  <c r="BZ14" i="82"/>
  <c r="BW14" i="82"/>
  <c r="BV14" i="82"/>
  <c r="BS14" i="82"/>
  <c r="BP14" i="82"/>
  <c r="BO14" i="82"/>
  <c r="BL14" i="82"/>
  <c r="BI14" i="82"/>
  <c r="BH14" i="82"/>
  <c r="BE14" i="82"/>
  <c r="AZ14" i="82"/>
  <c r="IG14" i="82" s="1"/>
  <c r="AY14" i="82"/>
  <c r="IF14" i="82" s="1"/>
  <c r="Y14" i="82" s="1"/>
  <c r="AW14" i="82"/>
  <c r="ID14" i="82" s="1"/>
  <c r="AV14" i="82"/>
  <c r="IC14" i="82" s="1"/>
  <c r="AU14" i="82"/>
  <c r="AT14" i="82"/>
  <c r="AQ14" i="82"/>
  <c r="AN14" i="82"/>
  <c r="AM14" i="82"/>
  <c r="AJ14" i="82"/>
  <c r="AG14" i="82"/>
  <c r="AF14" i="82"/>
  <c r="AC14" i="82"/>
  <c r="X14" i="82"/>
  <c r="Z14" i="82" s="1"/>
  <c r="K14" i="82"/>
  <c r="HZ13" i="82"/>
  <c r="HY13" i="82"/>
  <c r="HW13" i="82"/>
  <c r="HV13" i="82"/>
  <c r="HU13" i="82"/>
  <c r="HT13" i="82"/>
  <c r="HQ13" i="82"/>
  <c r="HN13" i="82"/>
  <c r="HM13" i="82"/>
  <c r="HJ13" i="82"/>
  <c r="HG13" i="82"/>
  <c r="HF13" i="82"/>
  <c r="HC13" i="82"/>
  <c r="GZ13" i="82"/>
  <c r="GY13" i="82"/>
  <c r="GV13" i="82"/>
  <c r="GS13" i="82"/>
  <c r="GR13" i="82"/>
  <c r="GO13" i="82"/>
  <c r="GL13" i="82"/>
  <c r="GK13" i="82"/>
  <c r="GH13" i="82"/>
  <c r="GE13" i="82"/>
  <c r="GD13" i="82"/>
  <c r="GA13" i="82"/>
  <c r="FX13" i="82"/>
  <c r="FW13" i="82"/>
  <c r="FT13" i="82"/>
  <c r="FQ13" i="82"/>
  <c r="FP13" i="82"/>
  <c r="FM13" i="82"/>
  <c r="FJ13" i="82"/>
  <c r="FI13" i="82"/>
  <c r="FF13" i="82"/>
  <c r="FC13" i="82"/>
  <c r="FB13" i="82"/>
  <c r="EY13" i="82"/>
  <c r="EV13" i="82"/>
  <c r="EU13" i="82"/>
  <c r="ER13" i="82"/>
  <c r="EM13" i="82"/>
  <c r="EL13" i="82"/>
  <c r="EJ13" i="82"/>
  <c r="EI13" i="82"/>
  <c r="EH13" i="82"/>
  <c r="EG13" i="82"/>
  <c r="ED13" i="82"/>
  <c r="EA13" i="82"/>
  <c r="DZ13" i="82"/>
  <c r="DW13" i="82"/>
  <c r="DT13" i="82"/>
  <c r="DS13" i="82"/>
  <c r="DP13" i="82"/>
  <c r="DM13" i="82"/>
  <c r="DL13" i="82"/>
  <c r="DI13" i="82"/>
  <c r="DF13" i="82"/>
  <c r="DE13" i="82"/>
  <c r="DB13" i="82"/>
  <c r="CY13" i="82"/>
  <c r="CX13" i="82"/>
  <c r="CU13" i="82"/>
  <c r="CR13" i="82"/>
  <c r="CQ13" i="82"/>
  <c r="CN13" i="82"/>
  <c r="CK13" i="82"/>
  <c r="CJ13" i="82"/>
  <c r="CG13" i="82"/>
  <c r="CD13" i="82"/>
  <c r="CC13" i="82"/>
  <c r="BZ13" i="82"/>
  <c r="BW13" i="82"/>
  <c r="BV13" i="82"/>
  <c r="BS13" i="82"/>
  <c r="BP13" i="82"/>
  <c r="BO13" i="82"/>
  <c r="BL13" i="82"/>
  <c r="BI13" i="82"/>
  <c r="BH13" i="82"/>
  <c r="BE13" i="82"/>
  <c r="AZ13" i="82"/>
  <c r="IG13" i="82" s="1"/>
  <c r="AY13" i="82"/>
  <c r="IF13" i="82" s="1"/>
  <c r="AW13" i="82"/>
  <c r="ID13" i="82" s="1"/>
  <c r="AU13" i="82"/>
  <c r="AO13" i="82"/>
  <c r="AV13" i="82" s="1"/>
  <c r="AN13" i="82"/>
  <c r="AM13" i="82"/>
  <c r="AJ13" i="82"/>
  <c r="AG13" i="82"/>
  <c r="AF13" i="82"/>
  <c r="AC13" i="82"/>
  <c r="Y13" i="82"/>
  <c r="X13" i="82"/>
  <c r="K13" i="82"/>
  <c r="HZ12" i="82"/>
  <c r="HY12" i="82"/>
  <c r="HW12" i="82"/>
  <c r="HV12" i="82"/>
  <c r="HU12" i="82"/>
  <c r="HT12" i="82"/>
  <c r="HQ12" i="82"/>
  <c r="HN12" i="82"/>
  <c r="HM12" i="82"/>
  <c r="HJ12" i="82"/>
  <c r="HG12" i="82"/>
  <c r="HF12" i="82"/>
  <c r="HC12" i="82"/>
  <c r="GZ12" i="82"/>
  <c r="GY12" i="82"/>
  <c r="GV12" i="82"/>
  <c r="GS12" i="82"/>
  <c r="GR12" i="82"/>
  <c r="GO12" i="82"/>
  <c r="GL12" i="82"/>
  <c r="GK12" i="82"/>
  <c r="GH12" i="82"/>
  <c r="GE12" i="82"/>
  <c r="GD12" i="82"/>
  <c r="GA12" i="82"/>
  <c r="FX12" i="82"/>
  <c r="FW12" i="82"/>
  <c r="FT12" i="82"/>
  <c r="FQ12" i="82"/>
  <c r="FP12" i="82"/>
  <c r="FM12" i="82"/>
  <c r="FJ12" i="82"/>
  <c r="FI12" i="82"/>
  <c r="FF12" i="82"/>
  <c r="FC12" i="82"/>
  <c r="FB12" i="82"/>
  <c r="EY12" i="82"/>
  <c r="EV12" i="82"/>
  <c r="EU12" i="82"/>
  <c r="ER12" i="82"/>
  <c r="EM12" i="82"/>
  <c r="EL12" i="82"/>
  <c r="EJ12" i="82"/>
  <c r="EI12" i="82"/>
  <c r="EH12" i="82"/>
  <c r="EG12" i="82"/>
  <c r="ED12" i="82"/>
  <c r="EA12" i="82"/>
  <c r="DZ12" i="82"/>
  <c r="DW12" i="82"/>
  <c r="DT12" i="82"/>
  <c r="DS12" i="82"/>
  <c r="DP12" i="82"/>
  <c r="DM12" i="82"/>
  <c r="DL12" i="82"/>
  <c r="DI12" i="82"/>
  <c r="DF12" i="82"/>
  <c r="DE12" i="82"/>
  <c r="DB12" i="82"/>
  <c r="CY12" i="82"/>
  <c r="CX12" i="82"/>
  <c r="CU12" i="82"/>
  <c r="CR12" i="82"/>
  <c r="CQ12" i="82"/>
  <c r="CN12" i="82"/>
  <c r="CK12" i="82"/>
  <c r="CJ12" i="82"/>
  <c r="CG12" i="82"/>
  <c r="CD12" i="82"/>
  <c r="CC12" i="82"/>
  <c r="BZ12" i="82"/>
  <c r="BW12" i="82"/>
  <c r="BV12" i="82"/>
  <c r="BS12" i="82"/>
  <c r="BP12" i="82"/>
  <c r="BO12" i="82"/>
  <c r="BL12" i="82"/>
  <c r="BI12" i="82"/>
  <c r="BH12" i="82"/>
  <c r="BE12" i="82"/>
  <c r="AZ12" i="82"/>
  <c r="IG12" i="82" s="1"/>
  <c r="AY12" i="82"/>
  <c r="IF12" i="82" s="1"/>
  <c r="Y12" i="82" s="1"/>
  <c r="AW12" i="82"/>
  <c r="ID12" i="82" s="1"/>
  <c r="AU12" i="82"/>
  <c r="AO12" i="82"/>
  <c r="AV12" i="82" s="1"/>
  <c r="AN12" i="82"/>
  <c r="AM12" i="82"/>
  <c r="AJ12" i="82"/>
  <c r="AG12" i="82"/>
  <c r="AF12" i="82"/>
  <c r="AC12" i="82"/>
  <c r="X12" i="82"/>
  <c r="Z12" i="82" s="1"/>
  <c r="K12" i="82"/>
  <c r="HZ11" i="82"/>
  <c r="HY11" i="82"/>
  <c r="HW11" i="82"/>
  <c r="HV11" i="82"/>
  <c r="HU11" i="82"/>
  <c r="HT11" i="82"/>
  <c r="HQ11" i="82"/>
  <c r="HN11" i="82"/>
  <c r="HM11" i="82"/>
  <c r="HJ11" i="82"/>
  <c r="HG11" i="82"/>
  <c r="HF11" i="82"/>
  <c r="HC11" i="82"/>
  <c r="GZ11" i="82"/>
  <c r="GY11" i="82"/>
  <c r="GV11" i="82"/>
  <c r="GS11" i="82"/>
  <c r="GR11" i="82"/>
  <c r="GO11" i="82"/>
  <c r="GL11" i="82"/>
  <c r="GK11" i="82"/>
  <c r="GH11" i="82"/>
  <c r="GE11" i="82"/>
  <c r="GD11" i="82"/>
  <c r="GA11" i="82"/>
  <c r="FX11" i="82"/>
  <c r="FW11" i="82"/>
  <c r="FT11" i="82"/>
  <c r="FQ11" i="82"/>
  <c r="FP11" i="82"/>
  <c r="FM11" i="82"/>
  <c r="FJ11" i="82"/>
  <c r="FI11" i="82"/>
  <c r="FF11" i="82"/>
  <c r="FC11" i="82"/>
  <c r="FB11" i="82"/>
  <c r="EY11" i="82"/>
  <c r="EV11" i="82"/>
  <c r="EU11" i="82"/>
  <c r="ER11" i="82"/>
  <c r="EM11" i="82"/>
  <c r="EL11" i="82"/>
  <c r="EJ11" i="82"/>
  <c r="EI11" i="82"/>
  <c r="EH11" i="82"/>
  <c r="EG11" i="82"/>
  <c r="ED11" i="82"/>
  <c r="EA11" i="82"/>
  <c r="DZ11" i="82"/>
  <c r="DW11" i="82"/>
  <c r="DT11" i="82"/>
  <c r="DS11" i="82"/>
  <c r="DP11" i="82"/>
  <c r="DM11" i="82"/>
  <c r="DL11" i="82"/>
  <c r="DI11" i="82"/>
  <c r="DF11" i="82"/>
  <c r="DE11" i="82"/>
  <c r="DB11" i="82"/>
  <c r="CY11" i="82"/>
  <c r="CX11" i="82"/>
  <c r="CU11" i="82"/>
  <c r="CR11" i="82"/>
  <c r="CQ11" i="82"/>
  <c r="CN11" i="82"/>
  <c r="CK11" i="82"/>
  <c r="CJ11" i="82"/>
  <c r="CG11" i="82"/>
  <c r="CD11" i="82"/>
  <c r="CC11" i="82"/>
  <c r="BZ11" i="82"/>
  <c r="BW11" i="82"/>
  <c r="BV11" i="82"/>
  <c r="BS11" i="82"/>
  <c r="BP11" i="82"/>
  <c r="BO11" i="82"/>
  <c r="BL11" i="82"/>
  <c r="BI11" i="82"/>
  <c r="BH11" i="82"/>
  <c r="BE11" i="82"/>
  <c r="AZ11" i="82"/>
  <c r="IG11" i="82" s="1"/>
  <c r="AY11" i="82"/>
  <c r="IF11" i="82" s="1"/>
  <c r="Y11" i="82" s="1"/>
  <c r="AW11" i="82"/>
  <c r="ID11" i="82" s="1"/>
  <c r="AV11" i="82"/>
  <c r="AU11" i="82"/>
  <c r="AT11" i="82"/>
  <c r="AQ11" i="82"/>
  <c r="AN11" i="82"/>
  <c r="AM11" i="82"/>
  <c r="AJ11" i="82"/>
  <c r="AG11" i="82"/>
  <c r="AF11" i="82"/>
  <c r="AC11" i="82"/>
  <c r="X11" i="82"/>
  <c r="Z11" i="82" s="1"/>
  <c r="K11" i="82"/>
  <c r="HZ10" i="82"/>
  <c r="HY10" i="82"/>
  <c r="HW10" i="82"/>
  <c r="HV10" i="82"/>
  <c r="HU10" i="82"/>
  <c r="HT10" i="82"/>
  <c r="HQ10" i="82"/>
  <c r="HN10" i="82"/>
  <c r="HM10" i="82"/>
  <c r="HJ10" i="82"/>
  <c r="HG10" i="82"/>
  <c r="HF10" i="82"/>
  <c r="HC10" i="82"/>
  <c r="GZ10" i="82"/>
  <c r="GY10" i="82"/>
  <c r="GV10" i="82"/>
  <c r="GS10" i="82"/>
  <c r="GR10" i="82"/>
  <c r="GO10" i="82"/>
  <c r="GL10" i="82"/>
  <c r="GK10" i="82"/>
  <c r="GH10" i="82"/>
  <c r="GE10" i="82"/>
  <c r="GD10" i="82"/>
  <c r="GA10" i="82"/>
  <c r="FX10" i="82"/>
  <c r="FW10" i="82"/>
  <c r="FT10" i="82"/>
  <c r="FQ10" i="82"/>
  <c r="FP10" i="82"/>
  <c r="FM10" i="82"/>
  <c r="FJ10" i="82"/>
  <c r="FI10" i="82"/>
  <c r="FF10" i="82"/>
  <c r="FC10" i="82"/>
  <c r="FB10" i="82"/>
  <c r="EY10" i="82"/>
  <c r="EV10" i="82"/>
  <c r="EU10" i="82"/>
  <c r="ER10" i="82"/>
  <c r="EM10" i="82"/>
  <c r="EL10" i="82"/>
  <c r="EJ10" i="82"/>
  <c r="EI10" i="82"/>
  <c r="EH10" i="82"/>
  <c r="EG10" i="82"/>
  <c r="ED10" i="82"/>
  <c r="EA10" i="82"/>
  <c r="DZ10" i="82"/>
  <c r="DW10" i="82"/>
  <c r="DT10" i="82"/>
  <c r="DS10" i="82"/>
  <c r="DP10" i="82"/>
  <c r="DM10" i="82"/>
  <c r="DL10" i="82"/>
  <c r="DI10" i="82"/>
  <c r="DF10" i="82"/>
  <c r="DE10" i="82"/>
  <c r="DB10" i="82"/>
  <c r="CY10" i="82"/>
  <c r="CX10" i="82"/>
  <c r="CU10" i="82"/>
  <c r="CR10" i="82"/>
  <c r="CQ10" i="82"/>
  <c r="CN10" i="82"/>
  <c r="CK10" i="82"/>
  <c r="CJ10" i="82"/>
  <c r="CG10" i="82"/>
  <c r="CD10" i="82"/>
  <c r="CC10" i="82"/>
  <c r="BZ10" i="82"/>
  <c r="BW10" i="82"/>
  <c r="BV10" i="82"/>
  <c r="BS10" i="82"/>
  <c r="BP10" i="82"/>
  <c r="BO10" i="82"/>
  <c r="BL10" i="82"/>
  <c r="BI10" i="82"/>
  <c r="BH10" i="82"/>
  <c r="BE10" i="82"/>
  <c r="AZ10" i="82"/>
  <c r="IG10" i="82" s="1"/>
  <c r="AY10" i="82"/>
  <c r="IF10" i="82" s="1"/>
  <c r="Y10" i="82" s="1"/>
  <c r="AW10" i="82"/>
  <c r="ID10" i="82" s="1"/>
  <c r="AV10" i="82"/>
  <c r="IC10" i="82" s="1"/>
  <c r="AU10" i="82"/>
  <c r="AT10" i="82"/>
  <c r="AQ10" i="82"/>
  <c r="AN10" i="82"/>
  <c r="AM10" i="82"/>
  <c r="AJ10" i="82"/>
  <c r="AG10" i="82"/>
  <c r="AF10" i="82"/>
  <c r="AC10" i="82"/>
  <c r="X10" i="82"/>
  <c r="Z10" i="82" s="1"/>
  <c r="K10" i="82"/>
  <c r="HZ9" i="82"/>
  <c r="HY9" i="82"/>
  <c r="HW9" i="82"/>
  <c r="HV9" i="82"/>
  <c r="HU9" i="82"/>
  <c r="HT9" i="82"/>
  <c r="HQ9" i="82"/>
  <c r="HN9" i="82"/>
  <c r="HM9" i="82"/>
  <c r="HJ9" i="82"/>
  <c r="HG9" i="82"/>
  <c r="HF9" i="82"/>
  <c r="HC9" i="82"/>
  <c r="GZ9" i="82"/>
  <c r="GY9" i="82"/>
  <c r="GV9" i="82"/>
  <c r="GS9" i="82"/>
  <c r="GR9" i="82"/>
  <c r="GO9" i="82"/>
  <c r="GL9" i="82"/>
  <c r="GK9" i="82"/>
  <c r="GH9" i="82"/>
  <c r="GE9" i="82"/>
  <c r="GD9" i="82"/>
  <c r="GA9" i="82"/>
  <c r="FX9" i="82"/>
  <c r="FW9" i="82"/>
  <c r="FT9" i="82"/>
  <c r="FQ9" i="82"/>
  <c r="FP9" i="82"/>
  <c r="FM9" i="82"/>
  <c r="FJ9" i="82"/>
  <c r="FI9" i="82"/>
  <c r="FF9" i="82"/>
  <c r="FC9" i="82"/>
  <c r="FB9" i="82"/>
  <c r="EY9" i="82"/>
  <c r="EV9" i="82"/>
  <c r="EU9" i="82"/>
  <c r="ER9" i="82"/>
  <c r="EM9" i="82"/>
  <c r="EL9" i="82"/>
  <c r="EJ9" i="82"/>
  <c r="EI9" i="82"/>
  <c r="EH9" i="82"/>
  <c r="EG9" i="82"/>
  <c r="ED9" i="82"/>
  <c r="EA9" i="82"/>
  <c r="DZ9" i="82"/>
  <c r="DW9" i="82"/>
  <c r="DT9" i="82"/>
  <c r="DS9" i="82"/>
  <c r="DP9" i="82"/>
  <c r="DM9" i="82"/>
  <c r="DL9" i="82"/>
  <c r="DI9" i="82"/>
  <c r="DF9" i="82"/>
  <c r="DE9" i="82"/>
  <c r="DB9" i="82"/>
  <c r="CY9" i="82"/>
  <c r="CX9" i="82"/>
  <c r="CU9" i="82"/>
  <c r="CR9" i="82"/>
  <c r="CQ9" i="82"/>
  <c r="CN9" i="82"/>
  <c r="CK9" i="82"/>
  <c r="CJ9" i="82"/>
  <c r="CG9" i="82"/>
  <c r="CD9" i="82"/>
  <c r="CC9" i="82"/>
  <c r="BZ9" i="82"/>
  <c r="BW9" i="82"/>
  <c r="BV9" i="82"/>
  <c r="BS9" i="82"/>
  <c r="BP9" i="82"/>
  <c r="BO9" i="82"/>
  <c r="BL9" i="82"/>
  <c r="BI9" i="82"/>
  <c r="BH9" i="82"/>
  <c r="BE9" i="82"/>
  <c r="AZ9" i="82"/>
  <c r="IG9" i="82" s="1"/>
  <c r="AY9" i="82"/>
  <c r="IF9" i="82" s="1"/>
  <c r="Y9" i="82" s="1"/>
  <c r="AU9" i="82"/>
  <c r="AT9" i="82"/>
  <c r="AQ9" i="82"/>
  <c r="AN9" i="82"/>
  <c r="AM9" i="82"/>
  <c r="AJ9" i="82"/>
  <c r="W9" i="82"/>
  <c r="V9" i="82"/>
  <c r="U9" i="82"/>
  <c r="U3" i="82" s="1"/>
  <c r="T9" i="82"/>
  <c r="S9" i="82"/>
  <c r="R9" i="82"/>
  <c r="Q9" i="82"/>
  <c r="Q3" i="82" s="1"/>
  <c r="P9" i="82"/>
  <c r="O9" i="82"/>
  <c r="O43" i="82" s="1"/>
  <c r="N9" i="82"/>
  <c r="M9" i="82"/>
  <c r="X9" i="82" s="1"/>
  <c r="Z9" i="82" s="1"/>
  <c r="L9" i="82"/>
  <c r="AB9" i="82" s="1"/>
  <c r="K9" i="82"/>
  <c r="HZ8" i="82"/>
  <c r="HY8" i="82"/>
  <c r="HW8" i="82"/>
  <c r="HV8" i="82"/>
  <c r="HU8" i="82"/>
  <c r="HT8" i="82"/>
  <c r="HQ8" i="82"/>
  <c r="HN8" i="82"/>
  <c r="HM8" i="82"/>
  <c r="HJ8" i="82"/>
  <c r="HG8" i="82"/>
  <c r="HF8" i="82"/>
  <c r="HC8" i="82"/>
  <c r="GZ8" i="82"/>
  <c r="GY8" i="82"/>
  <c r="GV8" i="82"/>
  <c r="GS8" i="82"/>
  <c r="GR8" i="82"/>
  <c r="GO8" i="82"/>
  <c r="GL8" i="82"/>
  <c r="GK8" i="82"/>
  <c r="GH8" i="82"/>
  <c r="GE8" i="82"/>
  <c r="GD8" i="82"/>
  <c r="GA8" i="82"/>
  <c r="FX8" i="82"/>
  <c r="FW8" i="82"/>
  <c r="FT8" i="82"/>
  <c r="FQ8" i="82"/>
  <c r="FP8" i="82"/>
  <c r="FM8" i="82"/>
  <c r="FJ8" i="82"/>
  <c r="FI8" i="82"/>
  <c r="FF8" i="82"/>
  <c r="FC8" i="82"/>
  <c r="FB8" i="82"/>
  <c r="EY8" i="82"/>
  <c r="EV8" i="82"/>
  <c r="EU8" i="82"/>
  <c r="ER8" i="82"/>
  <c r="EM8" i="82"/>
  <c r="EL8" i="82"/>
  <c r="EJ8" i="82"/>
  <c r="EI8" i="82"/>
  <c r="EH8" i="82"/>
  <c r="EG8" i="82"/>
  <c r="ED8" i="82"/>
  <c r="EA8" i="82"/>
  <c r="DZ8" i="82"/>
  <c r="DW8" i="82"/>
  <c r="DT8" i="82"/>
  <c r="DS8" i="82"/>
  <c r="DP8" i="82"/>
  <c r="DM8" i="82"/>
  <c r="DL8" i="82"/>
  <c r="DI8" i="82"/>
  <c r="DF8" i="82"/>
  <c r="DE8" i="82"/>
  <c r="DB8" i="82"/>
  <c r="CY8" i="82"/>
  <c r="CX8" i="82"/>
  <c r="CU8" i="82"/>
  <c r="CR8" i="82"/>
  <c r="CQ8" i="82"/>
  <c r="CN8" i="82"/>
  <c r="CK8" i="82"/>
  <c r="CJ8" i="82"/>
  <c r="CG8" i="82"/>
  <c r="CD8" i="82"/>
  <c r="CC8" i="82"/>
  <c r="BZ8" i="82"/>
  <c r="BW8" i="82"/>
  <c r="BV8" i="82"/>
  <c r="BS8" i="82"/>
  <c r="BP8" i="82"/>
  <c r="BO8" i="82"/>
  <c r="BL8" i="82"/>
  <c r="BI8" i="82"/>
  <c r="BH8" i="82"/>
  <c r="BE8" i="82"/>
  <c r="AZ8" i="82"/>
  <c r="IG8" i="82" s="1"/>
  <c r="AY8" i="82"/>
  <c r="IF8" i="82" s="1"/>
  <c r="AW8" i="82"/>
  <c r="ID8" i="82" s="1"/>
  <c r="AV8" i="82"/>
  <c r="IC8" i="82" s="1"/>
  <c r="AU8" i="82"/>
  <c r="AT8" i="82"/>
  <c r="AQ8" i="82"/>
  <c r="AN8" i="82"/>
  <c r="AM8" i="82"/>
  <c r="AJ8" i="82"/>
  <c r="AG8" i="82"/>
  <c r="AF8" i="82"/>
  <c r="AC8" i="82"/>
  <c r="X8" i="82"/>
  <c r="Z8" i="82" s="1"/>
  <c r="L8" i="82"/>
  <c r="K8" i="82"/>
  <c r="HZ7" i="82"/>
  <c r="HZ3" i="82" s="1"/>
  <c r="HY7" i="82"/>
  <c r="HW7" i="82"/>
  <c r="HV7" i="82"/>
  <c r="HU7" i="82"/>
  <c r="HT7" i="82"/>
  <c r="HQ7" i="82"/>
  <c r="HN7" i="82"/>
  <c r="HM7" i="82"/>
  <c r="HM3" i="82" s="1"/>
  <c r="HJ7" i="82"/>
  <c r="HG7" i="82"/>
  <c r="HF7" i="82"/>
  <c r="HC7" i="82"/>
  <c r="GZ7" i="82"/>
  <c r="GY7" i="82"/>
  <c r="GV7" i="82"/>
  <c r="GS7" i="82"/>
  <c r="GS3" i="82" s="1"/>
  <c r="GR7" i="82"/>
  <c r="GO7" i="82"/>
  <c r="GL7" i="82"/>
  <c r="GK7" i="82"/>
  <c r="GH7" i="82"/>
  <c r="GE7" i="82"/>
  <c r="GD7" i="82"/>
  <c r="GA7" i="82"/>
  <c r="GA3" i="82" s="1"/>
  <c r="FX7" i="82"/>
  <c r="FW7" i="82"/>
  <c r="FT7" i="82"/>
  <c r="FQ7" i="82"/>
  <c r="FP7" i="82"/>
  <c r="FM7" i="82"/>
  <c r="FJ7" i="82"/>
  <c r="FI7" i="82"/>
  <c r="FI3" i="82" s="1"/>
  <c r="FF7" i="82"/>
  <c r="FC7" i="82"/>
  <c r="FB7" i="82"/>
  <c r="EY7" i="82"/>
  <c r="EV7" i="82"/>
  <c r="EU7" i="82"/>
  <c r="ER7" i="82"/>
  <c r="EM7" i="82"/>
  <c r="EM3" i="82" s="1"/>
  <c r="G33" i="82" s="1"/>
  <c r="EL7" i="82"/>
  <c r="EJ7" i="82"/>
  <c r="EI7" i="82"/>
  <c r="EH7" i="82"/>
  <c r="EG7" i="82"/>
  <c r="ED7" i="82"/>
  <c r="ED3" i="82" s="1"/>
  <c r="EA7" i="82"/>
  <c r="DZ7" i="82"/>
  <c r="DW7" i="82"/>
  <c r="DT7" i="82"/>
  <c r="DT3" i="82" s="1"/>
  <c r="DS7" i="82"/>
  <c r="DP7" i="82"/>
  <c r="DM7" i="82"/>
  <c r="DL7" i="82"/>
  <c r="DL3" i="82" s="1"/>
  <c r="DI7" i="82"/>
  <c r="DF7" i="82"/>
  <c r="DE7" i="82"/>
  <c r="DB7" i="82"/>
  <c r="DB3" i="82" s="1"/>
  <c r="CY7" i="82"/>
  <c r="CX7" i="82"/>
  <c r="CU7" i="82"/>
  <c r="CR7" i="82"/>
  <c r="CR3" i="82" s="1"/>
  <c r="CQ7" i="82"/>
  <c r="CN7" i="82"/>
  <c r="CK7" i="82"/>
  <c r="CJ7" i="82"/>
  <c r="CJ3" i="82" s="1"/>
  <c r="CG7" i="82"/>
  <c r="CD7" i="82"/>
  <c r="CC7" i="82"/>
  <c r="BZ7" i="82"/>
  <c r="BZ3" i="82" s="1"/>
  <c r="BW7" i="82"/>
  <c r="BV7" i="82"/>
  <c r="BS7" i="82"/>
  <c r="BP7" i="82"/>
  <c r="BP3" i="82" s="1"/>
  <c r="BO7" i="82"/>
  <c r="BL7" i="82"/>
  <c r="BI7" i="82"/>
  <c r="BH7" i="82"/>
  <c r="BE7" i="82"/>
  <c r="AZ7" i="82"/>
  <c r="IG7" i="82" s="1"/>
  <c r="AY7" i="82"/>
  <c r="IF7" i="82" s="1"/>
  <c r="AW7" i="82"/>
  <c r="ID7" i="82" s="1"/>
  <c r="AV7" i="82"/>
  <c r="AU7" i="82"/>
  <c r="AT7" i="82"/>
  <c r="AQ7" i="82"/>
  <c r="AN7" i="82"/>
  <c r="AM7" i="82"/>
  <c r="AM3" i="82" s="1"/>
  <c r="AJ7" i="82"/>
  <c r="AG7" i="82"/>
  <c r="AF7" i="82"/>
  <c r="AC7" i="82"/>
  <c r="X7" i="82"/>
  <c r="K7" i="82"/>
  <c r="HU3" i="82"/>
  <c r="HS3" i="82"/>
  <c r="HR3" i="82"/>
  <c r="HP3" i="82"/>
  <c r="HO3" i="82"/>
  <c r="HL3" i="82"/>
  <c r="HK3" i="82"/>
  <c r="HI3" i="82"/>
  <c r="HH3" i="82"/>
  <c r="HE3" i="82"/>
  <c r="HD3" i="82"/>
  <c r="HC3" i="82"/>
  <c r="HB3" i="82"/>
  <c r="HA3" i="82"/>
  <c r="GX3" i="82"/>
  <c r="GW3" i="82"/>
  <c r="GU3" i="82"/>
  <c r="GT3" i="82"/>
  <c r="GQ3" i="82"/>
  <c r="GP3" i="82"/>
  <c r="GN3" i="82"/>
  <c r="GM3" i="82"/>
  <c r="GK3" i="82"/>
  <c r="GJ3" i="82"/>
  <c r="GI3" i="82"/>
  <c r="GG3" i="82"/>
  <c r="GF3" i="82"/>
  <c r="GC3" i="82"/>
  <c r="GB3" i="82"/>
  <c r="FZ3" i="82"/>
  <c r="FY3" i="82"/>
  <c r="FV3" i="82"/>
  <c r="FU3" i="82"/>
  <c r="FS3" i="82"/>
  <c r="FR3" i="82"/>
  <c r="FQ3" i="82"/>
  <c r="FO3" i="82"/>
  <c r="FN3" i="82"/>
  <c r="FL3" i="82"/>
  <c r="FK3" i="82"/>
  <c r="FH3" i="82"/>
  <c r="FG3" i="82"/>
  <c r="FE3" i="82"/>
  <c r="FD3" i="82"/>
  <c r="FA3" i="82"/>
  <c r="EZ3" i="82"/>
  <c r="EY3" i="82"/>
  <c r="EX3" i="82"/>
  <c r="EW3" i="82"/>
  <c r="ET3" i="82"/>
  <c r="ES3" i="82"/>
  <c r="EQ3" i="82"/>
  <c r="EP3" i="82"/>
  <c r="EH3" i="82"/>
  <c r="EF3" i="82"/>
  <c r="EE3" i="82"/>
  <c r="EC3" i="82"/>
  <c r="EB3" i="82"/>
  <c r="DZ3" i="82"/>
  <c r="DY3" i="82"/>
  <c r="DX3" i="82"/>
  <c r="DV3" i="82"/>
  <c r="DU3" i="82"/>
  <c r="DR3" i="82"/>
  <c r="DQ3" i="82"/>
  <c r="DP3" i="82"/>
  <c r="DO3" i="82"/>
  <c r="DN3" i="82"/>
  <c r="DK3" i="82"/>
  <c r="DJ3" i="82"/>
  <c r="DH3" i="82"/>
  <c r="DG3" i="82"/>
  <c r="DF3" i="82"/>
  <c r="DD3" i="82"/>
  <c r="DC3" i="82"/>
  <c r="DA3" i="82"/>
  <c r="CZ3" i="82"/>
  <c r="CX3" i="82"/>
  <c r="CW3" i="82"/>
  <c r="CV3" i="82"/>
  <c r="CT3" i="82"/>
  <c r="CS3" i="82"/>
  <c r="CP3" i="82"/>
  <c r="CO3" i="82"/>
  <c r="CN3" i="82"/>
  <c r="CM3" i="82"/>
  <c r="CL3" i="82"/>
  <c r="CI3" i="82"/>
  <c r="CH3" i="82"/>
  <c r="CF3" i="82"/>
  <c r="CE3" i="82"/>
  <c r="CD3" i="82"/>
  <c r="CB3" i="82"/>
  <c r="CA3" i="82"/>
  <c r="BY3" i="82"/>
  <c r="BX3" i="82"/>
  <c r="BV3" i="82"/>
  <c r="BU3" i="82"/>
  <c r="BT3" i="82"/>
  <c r="BR3" i="82"/>
  <c r="BQ3" i="82"/>
  <c r="BN3" i="82"/>
  <c r="BM3" i="82"/>
  <c r="BL3" i="82"/>
  <c r="BK3" i="82"/>
  <c r="BJ3" i="82"/>
  <c r="BG3" i="82"/>
  <c r="BF3" i="82"/>
  <c r="BD3" i="82"/>
  <c r="BC3" i="82"/>
  <c r="AU3" i="82"/>
  <c r="AS3" i="82"/>
  <c r="AR3" i="82"/>
  <c r="AR2" i="82" s="1"/>
  <c r="AP3" i="82"/>
  <c r="AP2" i="82" s="1"/>
  <c r="AO3" i="82"/>
  <c r="AO2" i="82" s="1"/>
  <c r="AL3" i="82"/>
  <c r="AK3" i="82"/>
  <c r="AI3" i="82"/>
  <c r="AI2" i="82" s="1"/>
  <c r="AH3" i="82"/>
  <c r="AH2" i="82" s="1"/>
  <c r="AE3" i="82"/>
  <c r="AE2" i="82" s="1"/>
  <c r="AD3" i="82"/>
  <c r="AD2" i="82" s="1"/>
  <c r="AB3" i="82"/>
  <c r="AB2" i="82" s="1"/>
  <c r="W3" i="82"/>
  <c r="S3" i="82"/>
  <c r="O3" i="82"/>
  <c r="F3" i="82"/>
  <c r="E3" i="82"/>
  <c r="AS2" i="82"/>
  <c r="H1" i="82"/>
  <c r="M43" i="82" l="1"/>
  <c r="I43" i="82" s="1"/>
  <c r="AZ3" i="82"/>
  <c r="G32" i="82" s="1"/>
  <c r="G36" i="82" s="1"/>
  <c r="X3" i="82"/>
  <c r="BA7" i="82"/>
  <c r="AJ3" i="82"/>
  <c r="AN3" i="82"/>
  <c r="AX7" i="82"/>
  <c r="EO7" i="82"/>
  <c r="BO3" i="82"/>
  <c r="BS3" i="82"/>
  <c r="BW3" i="82"/>
  <c r="CC3" i="82"/>
  <c r="CG3" i="82"/>
  <c r="CK3" i="82"/>
  <c r="CQ3" i="82"/>
  <c r="CU3" i="82"/>
  <c r="CY3" i="82"/>
  <c r="DE3" i="82"/>
  <c r="DI3" i="82"/>
  <c r="DM3" i="82"/>
  <c r="DS3" i="82"/>
  <c r="DW3" i="82"/>
  <c r="EA3" i="82"/>
  <c r="EG3" i="82"/>
  <c r="EK7" i="82"/>
  <c r="EL3" i="82"/>
  <c r="F33" i="82" s="1"/>
  <c r="ER3" i="82"/>
  <c r="IB7" i="82"/>
  <c r="FB3" i="82"/>
  <c r="FF3" i="82"/>
  <c r="FJ3" i="82"/>
  <c r="FP3" i="82"/>
  <c r="FT3" i="82"/>
  <c r="FX3" i="82"/>
  <c r="GD3" i="82"/>
  <c r="GH3" i="82"/>
  <c r="GL3" i="82"/>
  <c r="GR3" i="82"/>
  <c r="GV3" i="82"/>
  <c r="GZ3" i="82"/>
  <c r="HF3" i="82"/>
  <c r="HJ3" i="82"/>
  <c r="HN3" i="82"/>
  <c r="HT3" i="82"/>
  <c r="HX7" i="82"/>
  <c r="HY3" i="82"/>
  <c r="BA8" i="82"/>
  <c r="EO8" i="82"/>
  <c r="EK8" i="82"/>
  <c r="IB8" i="82"/>
  <c r="HX8" i="82"/>
  <c r="EN9" i="82"/>
  <c r="IA9" i="82"/>
  <c r="FC3" i="82"/>
  <c r="FM3" i="82"/>
  <c r="FW3" i="82"/>
  <c r="GE3" i="82"/>
  <c r="GO3" i="82"/>
  <c r="GY3" i="82"/>
  <c r="HG3" i="82"/>
  <c r="HQ3" i="82"/>
  <c r="HW3" i="82"/>
  <c r="EO10" i="82"/>
  <c r="EK10" i="82"/>
  <c r="IB10" i="82"/>
  <c r="HX10" i="82"/>
  <c r="EN11" i="82"/>
  <c r="IA11" i="82"/>
  <c r="EO12" i="82"/>
  <c r="EK12" i="82"/>
  <c r="HX12" i="82"/>
  <c r="EK13" i="82"/>
  <c r="IB13" i="82"/>
  <c r="HX13" i="82"/>
  <c r="BB14" i="82"/>
  <c r="EN14" i="82"/>
  <c r="IA14" i="82"/>
  <c r="BA15" i="82"/>
  <c r="AX15" i="82"/>
  <c r="EO15" i="82"/>
  <c r="EK15" i="82"/>
  <c r="IB15" i="82"/>
  <c r="HX15" i="82"/>
  <c r="BB16" i="82"/>
  <c r="EN16" i="82"/>
  <c r="IA16" i="82"/>
  <c r="BA17" i="82"/>
  <c r="BB17" i="82"/>
  <c r="AX17" i="82"/>
  <c r="EO17" i="82"/>
  <c r="EK17" i="82"/>
  <c r="IB17" i="82"/>
  <c r="HX17" i="82"/>
  <c r="BB18" i="82"/>
  <c r="IG18" i="82"/>
  <c r="IB18" i="82"/>
  <c r="HX18" i="82"/>
  <c r="IB12" i="82"/>
  <c r="M3" i="82"/>
  <c r="AY3" i="82"/>
  <c r="F32" i="82" s="1"/>
  <c r="F36" i="82" s="1"/>
  <c r="F38" i="82" s="1"/>
  <c r="BH3" i="82"/>
  <c r="EI3" i="82"/>
  <c r="EU3" i="82"/>
  <c r="EV3" i="82"/>
  <c r="HV3" i="82"/>
  <c r="BB7" i="82"/>
  <c r="II7" i="82" s="1"/>
  <c r="IG3" i="82"/>
  <c r="EN7" i="82"/>
  <c r="IA7" i="82"/>
  <c r="BB8" i="82"/>
  <c r="II8" i="82" s="1"/>
  <c r="EN8" i="82"/>
  <c r="IA8" i="82"/>
  <c r="EO9" i="82"/>
  <c r="EK9" i="82"/>
  <c r="IB9" i="82"/>
  <c r="HX9" i="82"/>
  <c r="BB10" i="82"/>
  <c r="II10" i="82" s="1"/>
  <c r="BA10" i="82"/>
  <c r="EN10" i="82"/>
  <c r="IA10" i="82"/>
  <c r="BA11" i="82"/>
  <c r="BB11" i="82"/>
  <c r="AX11" i="82"/>
  <c r="EO11" i="82"/>
  <c r="EK11" i="82"/>
  <c r="IB11" i="82"/>
  <c r="HX11" i="82"/>
  <c r="BB12" i="82"/>
  <c r="EN12" i="82"/>
  <c r="IA12" i="82"/>
  <c r="Z13" i="82"/>
  <c r="BB13" i="82"/>
  <c r="EN13" i="82"/>
  <c r="IA13" i="82"/>
  <c r="BA14" i="82"/>
  <c r="IE14" i="82"/>
  <c r="EO14" i="82"/>
  <c r="EK14" i="82"/>
  <c r="IB14" i="82"/>
  <c r="HX14" i="82"/>
  <c r="BB15" i="82"/>
  <c r="EN15" i="82"/>
  <c r="IA15" i="82"/>
  <c r="BA16" i="82"/>
  <c r="IE16" i="82"/>
  <c r="EO16" i="82"/>
  <c r="EK16" i="82"/>
  <c r="IB16" i="82"/>
  <c r="HX16" i="82"/>
  <c r="EN17" i="82"/>
  <c r="IA17" i="82"/>
  <c r="BA18" i="82"/>
  <c r="IC18" i="82"/>
  <c r="IF18" i="82"/>
  <c r="Y18" i="82" s="1"/>
  <c r="Z18" i="82" s="1"/>
  <c r="EN18" i="82"/>
  <c r="IA18" i="82"/>
  <c r="N27" i="82"/>
  <c r="Y7" i="82"/>
  <c r="Y3" i="82" s="1"/>
  <c r="IE8" i="82"/>
  <c r="IE10" i="82"/>
  <c r="AW9" i="82"/>
  <c r="AG9" i="82"/>
  <c r="AX12" i="82"/>
  <c r="IC12" i="82"/>
  <c r="IE12" i="82" s="1"/>
  <c r="IC13" i="82"/>
  <c r="IE13" i="82" s="1"/>
  <c r="AX13" i="82"/>
  <c r="IC7" i="82"/>
  <c r="AX8" i="82"/>
  <c r="AA9" i="82"/>
  <c r="AX10" i="82"/>
  <c r="IC11" i="82"/>
  <c r="IE11" i="82" s="1"/>
  <c r="AQ12" i="82"/>
  <c r="AQ13" i="82"/>
  <c r="EO13" i="82"/>
  <c r="II14" i="82"/>
  <c r="O24" i="82"/>
  <c r="M24" i="82"/>
  <c r="AT12" i="82"/>
  <c r="AT13" i="82"/>
  <c r="BA13" i="82" s="1"/>
  <c r="EJ18" i="82"/>
  <c r="EJ3" i="82" s="1"/>
  <c r="BI18" i="82"/>
  <c r="BE18" i="82"/>
  <c r="BE3" i="82" s="1"/>
  <c r="G38" i="82"/>
  <c r="AX14" i="82"/>
  <c r="IC15" i="82"/>
  <c r="IE15" i="82" s="1"/>
  <c r="AX16" i="82"/>
  <c r="IC17" i="82"/>
  <c r="IE17" i="82" s="1"/>
  <c r="AX18" i="82"/>
  <c r="I23" i="82"/>
  <c r="C66" i="9"/>
  <c r="J52" i="67"/>
  <c r="J49" i="67"/>
  <c r="I47" i="33"/>
  <c r="G47" i="33"/>
  <c r="E47" i="33"/>
  <c r="E36" i="33"/>
  <c r="C36" i="33"/>
  <c r="I33" i="33"/>
  <c r="G33" i="33"/>
  <c r="C33" i="33"/>
  <c r="I10" i="33"/>
  <c r="E10" i="33"/>
  <c r="C10" i="33"/>
  <c r="I7" i="33"/>
  <c r="G7" i="33"/>
  <c r="E7" i="33"/>
  <c r="I5" i="33"/>
  <c r="G5" i="33"/>
  <c r="E5" i="33"/>
  <c r="D4" i="81"/>
  <c r="D3" i="81"/>
  <c r="D2" i="81"/>
  <c r="F122" i="33"/>
  <c r="E122" i="33"/>
  <c r="D122" i="33"/>
  <c r="C122" i="33"/>
  <c r="G112" i="33"/>
  <c r="F112" i="33"/>
  <c r="E112" i="33"/>
  <c r="D112" i="33"/>
  <c r="C112" i="33"/>
  <c r="H104" i="33"/>
  <c r="G104" i="33"/>
  <c r="F104" i="33"/>
  <c r="E104" i="33"/>
  <c r="D104" i="33"/>
  <c r="G89" i="33"/>
  <c r="F89" i="33"/>
  <c r="E89" i="33"/>
  <c r="D89" i="33"/>
  <c r="E66" i="33"/>
  <c r="D66" i="33"/>
  <c r="B35" i="1"/>
  <c r="B21" i="1"/>
  <c r="Y6" i="1"/>
  <c r="N6" i="1"/>
  <c r="N19" i="1"/>
  <c r="D3" i="4"/>
  <c r="IF3" i="82" l="1"/>
  <c r="IH17" i="82"/>
  <c r="IH16" i="82"/>
  <c r="IH15" i="82"/>
  <c r="II12" i="82"/>
  <c r="IH8" i="82"/>
  <c r="II16" i="82"/>
  <c r="II15" i="82"/>
  <c r="IH14" i="82"/>
  <c r="IH11" i="82"/>
  <c r="HX3" i="82"/>
  <c r="II17" i="82"/>
  <c r="EK18" i="82"/>
  <c r="EK3" i="82" s="1"/>
  <c r="IB3" i="82"/>
  <c r="II11" i="82"/>
  <c r="IH10" i="82"/>
  <c r="EN3" i="82"/>
  <c r="H33" i="82" s="1"/>
  <c r="IH13" i="82"/>
  <c r="AQ3" i="82"/>
  <c r="AQ2" i="82" s="1"/>
  <c r="H2" i="82" s="1"/>
  <c r="IH7" i="82"/>
  <c r="IH18" i="82"/>
  <c r="IA3" i="82"/>
  <c r="ID18" i="82"/>
  <c r="IE18" i="82" s="1"/>
  <c r="G40" i="82"/>
  <c r="G39" i="82"/>
  <c r="AT3" i="82"/>
  <c r="AV9" i="82"/>
  <c r="AF9" i="82"/>
  <c r="AA3" i="82"/>
  <c r="AA2" i="82" s="1"/>
  <c r="AC9" i="82"/>
  <c r="AC3" i="82" s="1"/>
  <c r="AC2" i="82" s="1"/>
  <c r="IE7" i="82"/>
  <c r="BB9" i="82"/>
  <c r="AG3" i="82"/>
  <c r="BA12" i="82"/>
  <c r="IH12" i="82" s="1"/>
  <c r="O23" i="82"/>
  <c r="O27" i="82" s="1"/>
  <c r="M23" i="82"/>
  <c r="M27" i="82" s="1"/>
  <c r="I27" i="82"/>
  <c r="EO18" i="82"/>
  <c r="II18" i="82" s="1"/>
  <c r="BI3" i="82"/>
  <c r="F39" i="82"/>
  <c r="F40" i="82"/>
  <c r="II13" i="82"/>
  <c r="ID9" i="82"/>
  <c r="ID3" i="82" s="1"/>
  <c r="AW3" i="82"/>
  <c r="Z7" i="82"/>
  <c r="Z3" i="82" s="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I9" i="82" l="1"/>
  <c r="II3" i="82" s="1"/>
  <c r="BB3" i="82"/>
  <c r="AX9" i="82"/>
  <c r="AX3" i="82" s="1"/>
  <c r="IC9" i="82"/>
  <c r="AV3" i="82"/>
  <c r="BA9" i="82"/>
  <c r="AF3" i="82"/>
  <c r="EO3" i="82"/>
  <c r="P28" i="79"/>
  <c r="B10" i="74"/>
  <c r="IE9" i="82" l="1"/>
  <c r="IE3" i="82" s="1"/>
  <c r="IC3" i="82"/>
  <c r="IH9" i="82"/>
  <c r="IH3" i="82" s="1"/>
  <c r="BA3" i="82"/>
  <c r="H32" i="82" s="1"/>
  <c r="H36" i="82" s="1"/>
  <c r="H3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39" i="82" l="1"/>
  <c r="H40" i="82"/>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H1" i="69"/>
  <c r="W25" i="40"/>
  <c r="U25" i="40"/>
  <c r="U29" i="39"/>
  <c r="W29" i="39"/>
  <c r="W18" i="36"/>
  <c r="AB21" i="37"/>
  <c r="U21" i="37"/>
  <c r="S21" i="37"/>
  <c r="U21" i="34"/>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J31" i="33" s="1"/>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s="1"/>
  <c r="W8" i="34"/>
  <c r="J28" i="34"/>
  <c r="W28" i="34"/>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U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F31" i="33"/>
  <c r="AA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AA14" i="33"/>
  <c r="J36" i="37"/>
  <c r="AC36" i="37" s="1"/>
  <c r="G105" i="37"/>
  <c r="J10" i="36"/>
  <c r="AC10" i="36" s="1"/>
  <c r="AB30" i="21"/>
  <c r="AA14" i="37"/>
  <c r="W31" i="34"/>
  <c r="AC13" i="36"/>
  <c r="W13" i="36"/>
  <c r="S11" i="36"/>
  <c r="AB46" i="34"/>
  <c r="AC30" i="34"/>
  <c r="AA14" i="34"/>
  <c r="AB45"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G509" i="3"/>
  <c r="BL493" i="3"/>
  <c r="AZ491" i="3"/>
  <c r="AZ376"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W38" i="33"/>
  <c r="H41" i="33"/>
  <c r="U41" i="33" s="1"/>
  <c r="F121" i="33"/>
  <c r="G121" i="33" s="1"/>
  <c r="H121" i="33" s="1"/>
  <c r="I121" i="33" s="1"/>
  <c r="J121" i="33" s="1"/>
  <c r="K121" i="33" s="1"/>
  <c r="L121" i="33" s="1"/>
  <c r="M121" i="33" s="1"/>
  <c r="S42" i="33"/>
  <c r="G111" i="33"/>
  <c r="F36" i="33" s="1"/>
  <c r="AA36" i="33" s="1"/>
  <c r="J35" i="33"/>
  <c r="AC35" i="33" s="1"/>
  <c r="S37" i="33"/>
  <c r="AA37" i="33"/>
  <c r="J32" i="33"/>
  <c r="AC32" i="33" s="1"/>
  <c r="S46" i="33"/>
  <c r="S43" i="33"/>
  <c r="F91" i="33"/>
  <c r="G91" i="33" s="1"/>
  <c r="H91" i="33" s="1"/>
  <c r="I91" i="33" s="1"/>
  <c r="J91" i="33" s="1"/>
  <c r="K91" i="33" s="1"/>
  <c r="L91" i="33" s="1"/>
  <c r="M91" i="33" s="1"/>
  <c r="H27" i="33"/>
  <c r="AB27" i="33" s="1"/>
  <c r="H25" i="33"/>
  <c r="U25" i="33" s="1"/>
  <c r="F25" i="33"/>
  <c r="AA25"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C14" i="33"/>
  <c r="W14" i="33"/>
  <c r="AC30" i="33"/>
  <c r="W30" i="33"/>
  <c r="S31" i="33"/>
  <c r="W13" i="33"/>
  <c r="AC13"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U27" i="33"/>
  <c r="J27" i="33"/>
  <c r="AC27" i="33" s="1"/>
  <c r="J25" i="33"/>
  <c r="AC25" i="33" s="1"/>
  <c r="H19" i="33"/>
  <c r="U19" i="33" s="1"/>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37" i="67"/>
  <c r="L47" i="15"/>
  <c r="F9" i="15"/>
  <c r="L48" i="67"/>
  <c r="F13" i="67"/>
  <c r="F43" i="67"/>
  <c r="M28" i="67"/>
  <c r="F42" i="15"/>
  <c r="M23" i="67"/>
  <c r="F3" i="73"/>
  <c r="B13" i="76"/>
  <c r="B9" i="76"/>
  <c r="F7" i="73"/>
  <c r="F20" i="31"/>
  <c r="E2" i="69"/>
  <c r="F6" i="67"/>
  <c r="M6" i="15"/>
  <c r="E8" i="76"/>
  <c r="M29" i="15"/>
  <c r="D5" i="73"/>
  <c r="F37" i="15"/>
  <c r="F9" i="67"/>
  <c r="D3" i="73"/>
  <c r="F36" i="15"/>
  <c r="F13" i="15"/>
  <c r="AO13" i="1"/>
  <c r="D6" i="73"/>
  <c r="E2" i="68"/>
  <c r="M8" i="15"/>
  <c r="F38" i="15"/>
  <c r="M8" i="67"/>
  <c r="M28" i="15"/>
  <c r="M26" i="15"/>
  <c r="M9" i="15"/>
  <c r="M26" i="67"/>
  <c r="F5" i="73"/>
  <c r="J15" i="67"/>
  <c r="F36" i="67"/>
  <c r="E12" i="76"/>
  <c r="E10" i="76"/>
  <c r="E7" i="76"/>
  <c r="F8" i="15"/>
  <c r="M22" i="67"/>
  <c r="M23" i="15"/>
  <c r="F26" i="15"/>
  <c r="E13" i="76"/>
  <c r="D7" i="73"/>
  <c r="L47" i="67"/>
  <c r="E11" i="76"/>
  <c r="M22" i="15"/>
  <c r="B10" i="76"/>
  <c r="F43" i="15"/>
  <c r="M6" i="67"/>
  <c r="B12" i="76"/>
  <c r="F6" i="73"/>
  <c r="F38" i="67"/>
  <c r="M24" i="15"/>
  <c r="C76" i="15"/>
  <c r="J15" i="15"/>
  <c r="B11" i="76"/>
  <c r="C76" i="67"/>
  <c r="L48" i="15"/>
  <c r="B7" i="76"/>
  <c r="F16" i="67"/>
  <c r="M29" i="67"/>
  <c r="F40" i="67"/>
  <c r="F42" i="67"/>
  <c r="F16" i="15"/>
  <c r="M9" i="67"/>
  <c r="F8" i="67"/>
  <c r="E9" i="76"/>
  <c r="F40" i="15"/>
  <c r="F6" i="15"/>
  <c r="F26" i="67"/>
  <c r="D4" i="73"/>
  <c r="F7" i="67"/>
  <c r="M24" i="67"/>
  <c r="F4" i="73"/>
  <c r="B8" i="76"/>
  <c r="W43" i="33" l="1"/>
  <c r="U43" i="33"/>
  <c r="J41" i="33"/>
  <c r="S39" i="33"/>
  <c r="H111" i="33"/>
  <c r="I111" i="33" s="1"/>
  <c r="J111" i="33" s="1"/>
  <c r="K111" i="33" s="1"/>
  <c r="L111" i="33" s="1"/>
  <c r="M111" i="33" s="1"/>
  <c r="J23" i="33"/>
  <c r="H23" i="33"/>
  <c r="U23" i="33" s="1"/>
  <c r="F23" i="33"/>
  <c r="AA23" i="33" s="1"/>
  <c r="F85" i="33"/>
  <c r="G85" i="33" s="1"/>
  <c r="AB17" i="33"/>
  <c r="AB41" i="33"/>
  <c r="U42" i="33"/>
  <c r="U37" i="33"/>
  <c r="S36" i="33"/>
  <c r="U32" i="33"/>
  <c r="AC17" i="33"/>
  <c r="AB23" i="33"/>
  <c r="AC21" i="33"/>
  <c r="AB19" i="33"/>
  <c r="AA19" i="33"/>
  <c r="S17" i="33"/>
  <c r="AB15" i="33"/>
  <c r="S45" i="33"/>
  <c r="U46" i="33"/>
  <c r="AC29" i="33"/>
  <c r="W29" i="33"/>
  <c r="W31" i="33"/>
  <c r="AC31" i="33"/>
  <c r="H31" i="33"/>
  <c r="F29" i="33"/>
  <c r="H29" i="33"/>
  <c r="U39" i="33"/>
  <c r="W39" i="33"/>
  <c r="S38" i="33"/>
  <c r="W35" i="33"/>
  <c r="AA35" i="33"/>
  <c r="U35" i="33"/>
  <c r="AB34" i="33"/>
  <c r="AA34" i="33"/>
  <c r="W32" i="33"/>
  <c r="S32" i="33"/>
  <c r="S27" i="33"/>
  <c r="W27" i="33"/>
  <c r="AC26" i="33"/>
  <c r="AB26" i="33"/>
  <c r="S26" i="33"/>
  <c r="AB25" i="33"/>
  <c r="S25" i="33"/>
  <c r="W25" i="33"/>
  <c r="S11" i="33"/>
  <c r="B79" i="43"/>
  <c r="B73" i="43"/>
  <c r="A15" i="62"/>
  <c r="B61" i="72" s="1"/>
  <c r="C28" i="67"/>
  <c r="E19" i="71"/>
  <c r="E18" i="71" s="1"/>
  <c r="E17" i="71" s="1"/>
  <c r="E16" i="71" s="1"/>
  <c r="V20" i="71"/>
  <c r="D17" i="71"/>
  <c r="C16" i="71"/>
  <c r="D16" i="53"/>
  <c r="B34" i="72" s="1"/>
  <c r="AZ521" i="3"/>
  <c r="G5" i="3"/>
  <c r="B3" i="3" s="1"/>
  <c r="AC11" i="35"/>
  <c r="AZ398" i="3"/>
  <c r="AZ405" i="3"/>
  <c r="AZ407" i="3"/>
  <c r="AZ410" i="3"/>
  <c r="AZ415" i="3"/>
  <c r="AZ420" i="3"/>
  <c r="AZ426" i="3"/>
  <c r="AZ431" i="3"/>
  <c r="AZ448" i="3"/>
  <c r="AZ452" i="3"/>
  <c r="AZ461" i="3"/>
  <c r="AZ463" i="3"/>
  <c r="AZ468" i="3"/>
  <c r="AZ470" i="3"/>
  <c r="AZ479" i="3"/>
  <c r="AZ485" i="3"/>
  <c r="G28" i="6"/>
  <c r="F29" i="6"/>
  <c r="AA41" i="34"/>
  <c r="BL585" i="3"/>
  <c r="AZ585" i="3" s="1"/>
  <c r="AZ439" i="3"/>
  <c r="AZ475" i="3"/>
  <c r="AZ489" i="3"/>
  <c r="H12" i="3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2" i="3"/>
  <c r="AZ54" i="3"/>
  <c r="AZ57" i="3"/>
  <c r="AZ78" i="3"/>
  <c r="AZ91" i="3"/>
  <c r="AZ98" i="3"/>
  <c r="AZ104" i="3"/>
  <c r="AB21" i="33"/>
  <c r="T44" i="71"/>
  <c r="D44" i="71"/>
  <c r="AZ108" i="3"/>
  <c r="AB21" i="21"/>
  <c r="T40" i="71"/>
  <c r="D40" i="71"/>
  <c r="S21" i="21"/>
  <c r="U18" i="36"/>
  <c r="D27" i="71"/>
  <c r="AB27" i="71"/>
  <c r="S28" i="71"/>
  <c r="X32" i="71"/>
  <c r="X37" i="71"/>
  <c r="AA29" i="71"/>
  <c r="Y9" i="71"/>
  <c r="Z9" i="71" s="1"/>
  <c r="Y10" i="71"/>
  <c r="Z10" i="71" s="1"/>
  <c r="AA9" i="71"/>
  <c r="X22" i="71"/>
  <c r="AA24" i="71"/>
  <c r="AA22" i="71"/>
  <c r="X21" i="71"/>
  <c r="AA21" i="71"/>
  <c r="X18" i="71"/>
  <c r="AA18" i="71"/>
  <c r="AB18" i="71"/>
  <c r="X14" i="71"/>
  <c r="AA14" i="71"/>
  <c r="X17" i="71"/>
  <c r="AA17" i="71"/>
  <c r="X10" i="71"/>
  <c r="X9" i="71"/>
  <c r="AB9" i="71"/>
  <c r="AB24" i="71"/>
  <c r="Y21" i="71"/>
  <c r="Z21" i="71" s="1"/>
  <c r="AB21" i="71"/>
  <c r="Y18" i="71"/>
  <c r="Z18" i="71" s="1"/>
  <c r="Y14" i="71"/>
  <c r="Z14" i="71" s="1"/>
  <c r="Y17" i="71"/>
  <c r="Z17" i="71" s="1"/>
  <c r="AB17" i="71"/>
  <c r="F67" i="71"/>
  <c r="X24" i="71"/>
  <c r="Y24" i="71"/>
  <c r="Z24" i="71" s="1"/>
  <c r="AB15" i="71"/>
  <c r="AB13" i="71"/>
  <c r="AB12" i="71"/>
  <c r="AA11" i="71"/>
  <c r="AA10" i="71"/>
  <c r="X13" i="71"/>
  <c r="Y12" i="71"/>
  <c r="Z12" i="71" s="1"/>
  <c r="Y13" i="71"/>
  <c r="Z13" i="71" s="1"/>
  <c r="Y23" i="71"/>
  <c r="Z23" i="71" s="1"/>
  <c r="Y22" i="71"/>
  <c r="Z22" i="71" s="1"/>
  <c r="AA23" i="71"/>
  <c r="AB23" i="71"/>
  <c r="X15" i="71"/>
  <c r="AA15" i="71"/>
  <c r="AB11" i="71"/>
  <c r="AB10" i="71"/>
  <c r="AB14" i="71"/>
  <c r="AA12" i="71"/>
  <c r="AA13" i="71"/>
  <c r="X12" i="71"/>
  <c r="X11"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W41" i="33" l="1"/>
  <c r="AC41" i="33"/>
  <c r="AC23" i="33"/>
  <c r="W23" i="33"/>
  <c r="S23" i="33"/>
  <c r="S29" i="33"/>
  <c r="AA29" i="33"/>
  <c r="AB29" i="33"/>
  <c r="U29" i="33"/>
  <c r="U31" i="33"/>
  <c r="AB31" i="3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B15" i="71"/>
  <c r="B14" i="71" s="1"/>
  <c r="B13" i="71" s="1"/>
  <c r="B12" i="71" s="1"/>
  <c r="S16" i="71"/>
  <c r="F66" i="71"/>
  <c r="Q67" i="71"/>
  <c r="AC38" i="40"/>
  <c r="W38" i="40"/>
  <c r="AA44" i="39"/>
  <c r="S44" i="39"/>
  <c r="AA26" i="37"/>
  <c r="S26" i="37"/>
  <c r="AA25" i="37"/>
  <c r="S25" i="37"/>
  <c r="U12" i="33"/>
  <c r="AB12" i="33"/>
  <c r="BL5" i="3"/>
  <c r="C15" i="71"/>
  <c r="T16" i="71"/>
  <c r="AZ5" i="3"/>
  <c r="AY6" i="3" s="1"/>
  <c r="U39" i="40"/>
  <c r="AB39" i="40"/>
  <c r="AB38" i="40"/>
  <c r="U38" i="40"/>
  <c r="AB26" i="37"/>
  <c r="U26" i="37"/>
  <c r="AC25" i="37"/>
  <c r="W25" i="37"/>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AC6" i="3" s="1"/>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L36" i="43" l="1"/>
  <c r="P36" i="43" s="1"/>
  <c r="E65" i="39"/>
  <c r="D15" i="71"/>
  <c r="C14" i="71"/>
  <c r="E11" i="71"/>
  <c r="E10" i="71" s="1"/>
  <c r="E9" i="71" s="1"/>
  <c r="E8" i="71" s="1"/>
  <c r="E7" i="71" s="1"/>
  <c r="E6" i="71" s="1"/>
  <c r="E5" i="71" s="1"/>
  <c r="V12" i="71"/>
  <c r="Q66" i="71"/>
  <c r="Q65"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O36" i="43" l="1"/>
  <c r="N36" i="43"/>
  <c r="M36" i="43"/>
  <c r="Q36" i="4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2" i="33"/>
  <c r="F52" i="33" s="1"/>
  <c r="C33" i="15"/>
  <c r="C22" i="11"/>
  <c r="C31" i="11" s="1"/>
  <c r="C33" i="67"/>
  <c r="J19" i="67"/>
  <c r="C34" i="68"/>
  <c r="AE6" i="1"/>
  <c r="E6" i="76"/>
  <c r="B6" i="76"/>
  <c r="C14" i="15"/>
  <c r="AG6" i="1" l="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M27" i="67"/>
  <c r="F41" i="67"/>
  <c r="F69" i="67" l="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H36" i="33" l="1"/>
  <c r="U36" i="33"/>
  <c r="AB36" i="33"/>
  <c r="T48" i="3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3" i="33" s="1"/>
  <c r="H53" i="33" s="1"/>
  <c r="R49" i="3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G52" i="33" l="1"/>
  <c r="H52" i="33" s="1"/>
  <c r="E53" i="33"/>
  <c r="F53" i="33" s="1"/>
  <c r="C49" i="33"/>
  <c r="C48" i="33"/>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6"/>
  <c r="D2" i="37"/>
  <c r="D2" i="35"/>
  <c r="D2" i="34"/>
  <c r="L51" i="15"/>
  <c r="C102" i="9" l="1"/>
  <c r="C21" i="9"/>
  <c r="B3" i="33"/>
  <c r="D102" i="9"/>
  <c r="D22" i="9"/>
  <c r="G19" i="9"/>
  <c r="G21" i="9" s="1"/>
  <c r="D21"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C20" i="9"/>
  <c r="AO10" i="1"/>
  <c r="D20" i="9"/>
  <c r="AO8" i="1"/>
  <c r="AO11" i="1"/>
  <c r="AO9" i="1"/>
  <c r="AO7" i="1"/>
  <c r="AO12" i="1"/>
  <c r="L46" i="15" l="1"/>
  <c r="B2" i="15" s="1"/>
  <c r="B3" i="15" s="1"/>
  <c r="C103" i="9"/>
  <c r="D103" i="9"/>
  <c r="G20" i="9"/>
  <c r="C32" i="9"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AO6" i="1"/>
  <c r="B6" i="70" l="1"/>
  <c r="B2" i="70" s="1"/>
  <c r="B3" i="70" s="1"/>
  <c r="F118" i="9"/>
  <c r="F119" i="9" s="1"/>
  <c r="F5" i="52" s="1"/>
  <c r="B53" i="72" s="1"/>
  <c r="C105" i="9"/>
  <c r="H118" i="9"/>
  <c r="D14" i="74" s="1"/>
  <c r="G14" i="74" s="1"/>
  <c r="B6" i="74" s="1"/>
  <c r="D6" i="74" s="1"/>
  <c r="E118" i="9"/>
  <c r="I4" i="52"/>
  <c r="H102" i="9"/>
  <c r="F14" i="74" l="1"/>
  <c r="E14" i="74"/>
  <c r="B5" i="74"/>
  <c r="D5" i="74" s="1"/>
  <c r="F4" i="52"/>
  <c r="B51" i="72" s="1"/>
  <c r="D7" i="53"/>
  <c r="B21" i="72" s="1"/>
  <c r="E4" i="52"/>
  <c r="B48" i="72" s="1"/>
  <c r="D118" i="9"/>
  <c r="C104" i="9"/>
  <c r="H101" i="9"/>
  <c r="H4" i="52"/>
  <c r="H119" i="9"/>
  <c r="H5" i="52" s="1"/>
  <c r="C5" i="74" l="1"/>
  <c r="M48" i="9"/>
  <c r="D5" i="53"/>
  <c r="H107" i="9"/>
  <c r="D45" i="9"/>
  <c r="D4" i="52"/>
  <c r="B47" i="72" s="1"/>
  <c r="D119" i="9"/>
  <c r="D5" i="52" s="1"/>
  <c r="B49" i="72" s="1"/>
  <c r="M49" i="9" l="1"/>
  <c r="D122" i="9"/>
  <c r="D13" i="53"/>
  <c r="H108" i="9"/>
  <c r="C78" i="9"/>
  <c r="C73" i="9" s="1"/>
  <c r="D55" i="9"/>
  <c r="M53" i="9" s="1"/>
  <c r="D52" i="9"/>
  <c r="D53" i="9"/>
  <c r="C64" i="9"/>
  <c r="C63" i="9" s="1"/>
  <c r="C67" i="9" s="1"/>
  <c r="C93" i="9"/>
  <c r="C86" i="9" s="1"/>
  <c r="C72" i="9"/>
  <c r="C79" i="9" s="1"/>
  <c r="C85" i="9"/>
  <c r="B20" i="72"/>
  <c r="D6" i="53"/>
  <c r="B22" i="72" s="1"/>
  <c r="C95" i="9" l="1"/>
  <c r="C96" i="9" s="1"/>
  <c r="E96" i="9" s="1"/>
  <c r="E97" i="9" s="1"/>
  <c r="D15" i="53"/>
  <c r="B31" i="72" s="1"/>
  <c r="C6" i="74"/>
  <c r="D8" i="52"/>
  <c r="D123" i="9"/>
  <c r="D9" i="52" s="1"/>
  <c r="C80" i="9"/>
  <c r="E80" i="9" s="1"/>
  <c r="E81" i="9" s="1"/>
  <c r="C68" i="9"/>
  <c r="D54" i="9" s="1"/>
  <c r="D48" i="9" s="1"/>
  <c r="M52" i="9" s="1"/>
  <c r="D59" i="9"/>
  <c r="M55" i="9" s="1"/>
  <c r="B30" i="72"/>
  <c r="D14" i="53"/>
  <c r="B32" i="72" s="1"/>
  <c r="L66" i="9"/>
  <c r="M66" i="9" s="1"/>
  <c r="L63" i="9"/>
  <c r="M63" i="9" s="1"/>
  <c r="L64" i="9"/>
  <c r="M64" i="9" s="1"/>
  <c r="L68" i="9"/>
  <c r="M68" i="9" s="1"/>
  <c r="L67" i="9"/>
  <c r="M67" i="9" s="1"/>
  <c r="L65" i="9"/>
  <c r="M65" i="9" s="1"/>
  <c r="M69" i="9" l="1"/>
  <c r="N69" i="9" s="1"/>
  <c r="C81" i="9"/>
  <c r="C97" i="9"/>
  <c r="D58" i="9" l="1"/>
  <c r="D56" i="9" s="1"/>
  <c r="M54" i="9" s="1"/>
  <c r="N57" i="9" s="1"/>
  <c r="P57" i="9" s="1"/>
  <c r="N58" i="9" l="1"/>
  <c r="N59" i="9"/>
  <c r="N61" i="9" l="1"/>
  <c r="H112" i="9" s="1"/>
  <c r="H111" i="9"/>
  <c r="N60" i="9"/>
  <c r="D126" i="9" l="1"/>
  <c r="I14" i="74" s="1"/>
  <c r="B8" i="74" s="1"/>
  <c r="D8" i="74" s="1"/>
  <c r="D19" i="53"/>
  <c r="D21" i="53"/>
  <c r="B39" i="72" s="1"/>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Lenovo</author>
  </authors>
  <commentList>
    <comment ref="AB6" authorId="0">
      <text>
        <r>
          <rPr>
            <sz val="9"/>
            <rFont val="宋体"/>
            <family val="3"/>
            <charset val="134"/>
          </rPr>
          <t xml:space="preserve">应付佣金即变动成本
</t>
        </r>
      </text>
    </comment>
    <comment ref="AI6" authorId="0">
      <text>
        <r>
          <rPr>
            <sz val="9"/>
            <rFont val="宋体"/>
            <family val="3"/>
            <charset val="134"/>
          </rPr>
          <t xml:space="preserve">应付佣金即变动成本
</t>
        </r>
      </text>
    </comment>
    <comment ref="AP6" authorId="0">
      <text>
        <r>
          <rPr>
            <sz val="9"/>
            <rFont val="宋体"/>
            <family val="3"/>
            <charset val="134"/>
          </rPr>
          <t xml:space="preserve">应付佣金即变动成本
</t>
        </r>
      </text>
    </comment>
    <comment ref="AW6" authorId="0">
      <text>
        <r>
          <rPr>
            <sz val="9"/>
            <rFont val="宋体"/>
            <family val="3"/>
            <charset val="134"/>
          </rPr>
          <t xml:space="preserve">应付佣金即变动成本
</t>
        </r>
      </text>
    </comment>
    <comment ref="BD6" authorId="0">
      <text>
        <r>
          <rPr>
            <sz val="9"/>
            <rFont val="宋体"/>
            <family val="3"/>
            <charset val="134"/>
          </rPr>
          <t xml:space="preserve">应付佣金即变动成本
</t>
        </r>
      </text>
    </comment>
    <comment ref="BK6" authorId="0">
      <text>
        <r>
          <rPr>
            <sz val="9"/>
            <rFont val="宋体"/>
            <family val="3"/>
            <charset val="134"/>
          </rPr>
          <t xml:space="preserve">应付佣金即变动成本
</t>
        </r>
      </text>
    </comment>
    <comment ref="BR6" authorId="0">
      <text>
        <r>
          <rPr>
            <sz val="9"/>
            <rFont val="宋体"/>
            <family val="3"/>
            <charset val="134"/>
          </rPr>
          <t xml:space="preserve">应付佣金即变动成本
</t>
        </r>
      </text>
    </comment>
    <comment ref="BY6" authorId="0">
      <text>
        <r>
          <rPr>
            <sz val="9"/>
            <rFont val="宋体"/>
            <family val="3"/>
            <charset val="134"/>
          </rPr>
          <t xml:space="preserve">应付佣金即变动成本
</t>
        </r>
      </text>
    </comment>
    <comment ref="CF6" authorId="0">
      <text>
        <r>
          <rPr>
            <sz val="9"/>
            <rFont val="宋体"/>
            <family val="3"/>
            <charset val="134"/>
          </rPr>
          <t xml:space="preserve">应付佣金即变动成本
</t>
        </r>
      </text>
    </comment>
    <comment ref="CM6" authorId="0">
      <text>
        <r>
          <rPr>
            <sz val="9"/>
            <rFont val="宋体"/>
            <family val="3"/>
            <charset val="134"/>
          </rPr>
          <t xml:space="preserve">应付佣金即变动成本
</t>
        </r>
      </text>
    </comment>
    <comment ref="CT6" authorId="0">
      <text>
        <r>
          <rPr>
            <sz val="9"/>
            <rFont val="宋体"/>
            <family val="3"/>
            <charset val="134"/>
          </rPr>
          <t xml:space="preserve">应付佣金即变动成本
</t>
        </r>
      </text>
    </comment>
    <comment ref="EQ6" authorId="0">
      <text>
        <r>
          <rPr>
            <sz val="9"/>
            <rFont val="宋体"/>
            <family val="3"/>
            <charset val="134"/>
          </rPr>
          <t xml:space="preserve">应付佣金即变动成本
</t>
        </r>
      </text>
    </comment>
    <comment ref="FL6" authorId="0">
      <text>
        <r>
          <rPr>
            <sz val="9"/>
            <rFont val="宋体"/>
            <family val="3"/>
            <charset val="134"/>
          </rPr>
          <t xml:space="preserve">应付佣金即变动成本
</t>
        </r>
      </text>
    </comment>
    <comment ref="FS6" authorId="0">
      <text>
        <r>
          <rPr>
            <sz val="9"/>
            <rFont val="宋体"/>
            <family val="3"/>
            <charset val="134"/>
          </rPr>
          <t xml:space="preserve">应付佣金即变动成本
</t>
        </r>
      </text>
    </comment>
    <comment ref="C12" authorId="0">
      <text>
        <r>
          <rPr>
            <sz val="9"/>
            <rFont val="宋体"/>
            <family val="3"/>
            <charset val="134"/>
          </rPr>
          <t xml:space="preserve">自用
</t>
        </r>
      </text>
    </comment>
    <comment ref="C13" authorId="0">
      <text>
        <r>
          <rPr>
            <sz val="9"/>
            <rFont val="宋体"/>
            <family val="3"/>
            <charset val="134"/>
          </rPr>
          <t>自用</t>
        </r>
      </text>
    </comment>
    <comment ref="J22" authorId="0">
      <text>
        <r>
          <rPr>
            <sz val="9"/>
            <rFont val="宋体"/>
            <family val="3"/>
            <charset val="134"/>
          </rPr>
          <t xml:space="preserve">应付佣金即变动成本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<sst xmlns="http://schemas.openxmlformats.org/spreadsheetml/2006/main" count="8265" uniqueCount="3551">
  <si>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</si>
  <si>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</si>
  <si>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</si>
  <si>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</si>
  <si>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</si>
  <si>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</si>
  <si>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</si>
  <si>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</si>
  <si>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</si>
  <si>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</si>
  <si>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</si>
  <si>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</si>
  <si>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</si>
  <si>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</si>
  <si>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</si>
  <si>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</si>
  <si>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</si>
  <si>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</si>
  <si>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</si>
  <si>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</si>
  <si>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</si>
  <si>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</si>
  <si>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</si>
  <si>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</si>
  <si>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</si>
  <si>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</si>
  <si>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</si>
  <si>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</si>
  <si>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</si>
  <si>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</si>
  <si>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</si>
  <si>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</si>
  <si>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</si>
  <si>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</si>
  <si>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</si>
  <si>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</si>
  <si>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</si>
  <si>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</si>
  <si>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</si>
  <si>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</si>
  <si>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</si>
  <si>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</si>
  <si>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</si>
  <si>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</si>
  <si>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</si>
  <si>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</si>
  <si>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</si>
  <si>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</si>
  <si>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</si>
  <si>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</si>
  <si>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</si>
  <si>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</si>
  <si>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</si>
  <si>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</si>
  <si>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</si>
  <si>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</si>
  <si>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</si>
  <si>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</si>
  <si>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</si>
  <si>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</si>
  <si>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</si>
  <si>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</si>
  <si>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</si>
  <si>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</si>
  <si>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</si>
  <si>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</si>
  <si>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</si>
  <si>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</si>
  <si>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</si>
  <si>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</si>
  <si>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</si>
  <si>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</si>
  <si>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</si>
  <si>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</si>
  <si>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</si>
  <si>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</si>
  <si>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</si>
  <si>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</si>
  <si>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</si>
  <si>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</si>
  <si>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</si>
  <si>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</si>
  <si>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</si>
  <si>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</si>
  <si>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</si>
  <si>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</si>
  <si>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</si>
  <si>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</si>
  <si>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</si>
  <si>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</si>
  <si>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</si>
  <si>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</si>
  <si>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</si>
  <si>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</si>
  <si>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</si>
  <si>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</si>
  <si>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</si>
  <si>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</si>
  <si>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</si>
  <si>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</si>
  <si>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</si>
  <si>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</si>
  <si>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</si>
  <si>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</si>
  <si>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</si>
  <si>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</si>
  <si>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</si>
  <si>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</si>
  <si>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</si>
  <si>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</si>
  <si>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</si>
  <si>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</si>
  <si>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</si>
  <si>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</si>
  <si>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</si>
  <si>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</si>
  <si>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</si>
  <si>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</si>
  <si>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</si>
  <si>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</si>
  <si>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</si>
  <si>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</si>
  <si>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</si>
  <si>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</si>
  <si>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</si>
  <si>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</si>
  <si>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</si>
  <si>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</si>
  <si>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</si>
  <si>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</si>
  <si>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</si>
  <si>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</si>
  <si>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</si>
  <si>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</si>
  <si>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</si>
  <si>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</si>
  <si>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</si>
  <si>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</si>
  <si>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</si>
  <si>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</si>
  <si>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</si>
  <si>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</si>
  <si>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</si>
  <si>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</si>
  <si>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</si>
  <si>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</si>
  <si>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</si>
  <si>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</si>
  <si>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</si>
  <si>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</si>
  <si>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</si>
  <si>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</si>
  <si>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</si>
  <si>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</si>
  <si>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</si>
  <si>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</si>
  <si>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</si>
  <si>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</si>
  <si>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</si>
  <si>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</si>
  <si>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</si>
  <si>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</si>
  <si>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</si>
  <si>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</si>
  <si>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</si>
  <si>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</si>
  <si>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</si>
  <si>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</si>
  <si>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</si>
  <si>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</si>
  <si>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</si>
  <si>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</si>
  <si>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</si>
  <si>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</si>
  <si>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</si>
  <si>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</si>
  <si>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</si>
  <si>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</si>
  <si>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</si>
  <si>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</si>
  <si>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</si>
  <si>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</si>
  <si>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</si>
  <si>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</si>
  <si>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</si>
  <si>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</si>
  <si>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</si>
  <si>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</si>
  <si>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</si>
  <si>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</si>
  <si>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</si>
  <si>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</si>
  <si>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</si>
  <si>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</si>
  <si>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</si>
  <si>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</si>
  <si>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</si>
  <si>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</si>
  <si>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</si>
  <si>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</si>
  <si>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</si>
  <si>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</si>
  <si>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</si>
  <si>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</si>
  <si>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</si>
  <si>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</si>
  <si>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</si>
  <si>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</si>
  <si>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</si>
  <si>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</si>
  <si>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</si>
  <si>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</si>
  <si>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</si>
  <si>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</si>
  <si>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</si>
  <si>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</si>
  <si>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</si>
  <si>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</si>
  <si>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</si>
  <si>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</si>
  <si>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</si>
  <si>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</si>
  <si>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</si>
  <si>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</si>
  <si>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</si>
  <si>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</si>
  <si>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</si>
  <si>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</si>
  <si>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</si>
  <si>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</si>
  <si>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</si>
  <si>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</si>
  <si>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</si>
  <si>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</si>
  <si>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</si>
  <si>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</si>
  <si>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</si>
  <si>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</si>
  <si>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</si>
  <si>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</si>
  <si>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</si>
  <si>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</si>
  <si>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</si>
  <si>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</si>
  <si>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</si>
  <si>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</si>
  <si>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</si>
  <si>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</si>
  <si>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</si>
  <si>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</si>
  <si>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</si>
  <si>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</si>
  <si>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</si>
  <si>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</si>
  <si>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</si>
  <si>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</si>
  <si>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</si>
  <si>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</si>
  <si>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</si>
  <si>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</si>
  <si>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</si>
  <si>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</si>
  <si>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</si>
  <si>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</si>
  <si>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</si>
  <si>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</si>
  <si>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</si>
  <si>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</si>
  <si>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</si>
  <si>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</si>
  <si>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</si>
  <si>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</si>
  <si>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</si>
  <si>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</si>
  <si>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</si>
  <si>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</si>
  <si>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</si>
  <si>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</si>
  <si>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</si>
  <si>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</si>
  <si>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</si>
  <si>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</si>
  <si>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</si>
  <si>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</si>
  <si>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</si>
  <si>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</si>
  <si>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</si>
  <si>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</si>
  <si>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</si>
  <si>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</si>
  <si>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</si>
  <si>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</si>
  <si>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</si>
  <si>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</si>
  <si>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</si>
  <si>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</si>
  <si>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</si>
  <si>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</si>
  <si>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</si>
  <si>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</si>
  <si>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</si>
  <si>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</si>
  <si>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</si>
  <si>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</si>
  <si>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</si>
  <si>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</si>
  <si>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</si>
  <si>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</si>
  <si>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</si>
  <si>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</si>
  <si>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</si>
  <si>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</si>
  <si>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</si>
  <si>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</si>
  <si>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</si>
  <si>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</si>
  <si>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</si>
  <si>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</si>
  <si>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</si>
  <si>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</si>
  <si>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</si>
  <si>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</si>
  <si>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</si>
  <si>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</si>
  <si>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</si>
  <si>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</si>
  <si>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</si>
  <si>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</si>
  <si>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</si>
  <si>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</si>
  <si>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</si>
  <si>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</si>
  <si>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</si>
  <si>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</si>
  <si>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</si>
  <si>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</si>
  <si>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</si>
  <si>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</si>
  <si>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</si>
  <si>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</si>
  <si>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</si>
  <si>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</si>
  <si>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</si>
  <si>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</si>
  <si>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</si>
  <si>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</si>
  <si>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</si>
  <si>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</si>
  <si>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</si>
  <si>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</si>
  <si>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</si>
  <si>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</si>
  <si>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</si>
  <si>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</si>
  <si>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</si>
  <si>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</si>
  <si>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</si>
  <si>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</si>
  <si>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</si>
  <si>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</si>
  <si>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</si>
  <si>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</si>
  <si>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</si>
  <si>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</si>
  <si>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</si>
  <si>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</si>
  <si>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</si>
  <si>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</si>
  <si>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</si>
  <si>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</si>
  <si>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</si>
  <si>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</si>
  <si>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</si>
  <si>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</si>
  <si>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</si>
  <si>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</si>
  <si>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</si>
  <si>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</si>
  <si>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</si>
  <si>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</si>
  <si>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</si>
  <si>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</si>
  <si>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</si>
  <si>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</si>
  <si>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</si>
  <si>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</si>
  <si>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</si>
  <si>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</si>
  <si>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</si>
  <si>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</si>
  <si>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</si>
  <si>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</si>
  <si>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</si>
  <si>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</si>
  <si>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</si>
  <si>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</si>
  <si>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</si>
  <si>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</si>
  <si>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</si>
  <si>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</si>
  <si>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</si>
  <si>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</si>
  <si>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</si>
  <si>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</si>
  <si>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</si>
  <si>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</si>
  <si>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</si>
  <si>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</si>
  <si>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</si>
  <si>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</si>
  <si>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</si>
  <si>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</si>
  <si>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</si>
  <si>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</si>
  <si>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</si>
  <si>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</si>
  <si>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</si>
  <si>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</si>
  <si>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</si>
  <si>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</si>
  <si>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</si>
  <si>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</si>
  <si>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</si>
  <si>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</si>
  <si>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</si>
  <si>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</si>
  <si>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</si>
  <si>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</si>
  <si>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</si>
  <si>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</si>
  <si>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</si>
  <si>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</si>
  <si>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</si>
  <si>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</si>
  <si>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</si>
  <si>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</si>
  <si>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</si>
  <si>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</si>
  <si>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</si>
  <si>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</si>
  <si>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</si>
  <si>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</si>
  <si>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</si>
  <si>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</si>
  <si>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</si>
  <si>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</si>
  <si>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</si>
  <si>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</si>
  <si>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</si>
  <si>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</si>
  <si>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</si>
  <si>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</si>
  <si>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</si>
  <si>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</si>
  <si>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</si>
  <si>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</si>
  <si>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</si>
  <si>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</si>
  <si>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</si>
  <si>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</si>
  <si>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</si>
  <si>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</si>
  <si>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</si>
  <si>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</si>
  <si>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</si>
  <si>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</si>
  <si>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</si>
  <si>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</si>
  <si>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</si>
  <si>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</si>
  <si>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</si>
  <si>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</si>
  <si>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</si>
  <si>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</si>
  <si>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</si>
  <si>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</si>
  <si>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</si>
  <si>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</si>
  <si>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</si>
  <si>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</si>
  <si>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</si>
  <si>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</si>
  <si>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</si>
  <si>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</si>
  <si>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</si>
  <si>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</si>
  <si>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</si>
  <si>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</si>
  <si>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</si>
  <si>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</si>
  <si>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</si>
  <si>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</si>
  <si>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</si>
  <si>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</si>
  <si>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</si>
  <si>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</si>
  <si>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</si>
  <si>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</si>
  <si>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</si>
  <si>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</si>
  <si>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</si>
  <si>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</si>
  <si>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</si>
  <si>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</si>
  <si>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</si>
  <si>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</si>
  <si>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</si>
  <si>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</si>
  <si>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</si>
  <si>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</si>
  <si>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</si>
  <si>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</si>
  <si>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</si>
  <si>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</si>
  <si>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</si>
  <si>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</si>
  <si>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</si>
  <si>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</si>
  <si>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</si>
  <si>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</si>
  <si>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</si>
  <si>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</si>
  <si>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</si>
  <si>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</si>
  <si>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</si>
  <si>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</si>
  <si>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</si>
  <si>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</si>
  <si>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</si>
  <si>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</si>
  <si>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</si>
  <si>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</si>
  <si>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</si>
  <si>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</si>
  <si>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</si>
  <si>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</si>
  <si>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</si>
  <si>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</si>
  <si>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</si>
  <si>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</si>
  <si>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</si>
  <si>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</si>
  <si>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</si>
  <si>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</si>
  <si>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</si>
  <si>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</si>
  <si>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</si>
  <si>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</si>
  <si>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</si>
  <si>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</si>
  <si>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</si>
  <si>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</si>
  <si>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</si>
  <si>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</si>
  <si>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</si>
  <si>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</si>
  <si>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</si>
  <si>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</si>
  <si>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</si>
  <si>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</si>
  <si>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</si>
  <si>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</si>
  <si>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</si>
  <si>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</si>
  <si>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</si>
  <si>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</si>
  <si>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</si>
  <si>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</si>
  <si>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</si>
  <si>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</si>
  <si>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</si>
  <si>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</si>
  <si>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</si>
  <si>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</si>
  <si>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</si>
  <si>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</si>
  <si>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</si>
  <si>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</si>
  <si>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</si>
  <si>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</si>
  <si>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</si>
  <si>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</si>
  <si>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</si>
  <si>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</si>
  <si>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</si>
  <si>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</si>
  <si>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</si>
  <si>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</si>
  <si>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</si>
  <si>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</si>
  <si>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</si>
  <si>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</si>
  <si>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</si>
  <si>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</si>
  <si>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</si>
  <si>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</si>
  <si>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</si>
  <si>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</si>
  <si>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</si>
  <si>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</si>
  <si>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</si>
  <si>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</si>
  <si>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</si>
  <si>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</si>
  <si>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</si>
  <si>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</si>
  <si>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</si>
  <si>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</si>
  <si>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</si>
  <si>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</si>
  <si>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</si>
  <si>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</si>
  <si>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</si>
  <si>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</si>
  <si>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</si>
  <si>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</si>
  <si>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</si>
  <si>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</si>
  <si>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</si>
  <si>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</si>
  <si>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</si>
  <si>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</si>
  <si>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</si>
  <si>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</si>
  <si>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</si>
  <si>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</si>
  <si>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</si>
  <si>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</si>
  <si>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</si>
  <si>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</si>
  <si>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</si>
  <si>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</si>
  <si>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</si>
  <si>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</si>
  <si>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</si>
  <si>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</si>
  <si>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</si>
  <si>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</si>
  <si>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</si>
  <si>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</si>
  <si>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</si>
  <si>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</si>
  <si>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</si>
  <si>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</si>
  <si>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</si>
  <si>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</si>
  <si>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</si>
  <si>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</si>
  <si>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</si>
  <si>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</si>
  <si>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</si>
  <si>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</si>
  <si>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</si>
  <si>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</si>
  <si>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</si>
  <si>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</si>
  <si>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</si>
  <si>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</si>
  <si>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</si>
  <si>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</si>
  <si>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</si>
  <si>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</si>
  <si>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</si>
  <si>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</si>
  <si>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</si>
  <si>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</si>
  <si>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</si>
  <si>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</si>
  <si>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</si>
  <si>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</si>
  <si>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</si>
  <si>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</si>
  <si>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</si>
  <si>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</si>
  <si>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</si>
  <si>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</si>
  <si>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</si>
  <si>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</si>
  <si>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</si>
  <si>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</si>
  <si>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</si>
  <si>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</si>
  <si>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</si>
  <si>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</si>
  <si>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</si>
  <si>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</si>
  <si>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</si>
  <si>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</si>
  <si>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</si>
  <si>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</si>
  <si>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</si>
  <si>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</si>
  <si>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</si>
  <si>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</si>
  <si>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</si>
  <si>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</si>
  <si>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</si>
  <si>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</si>
  <si>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</si>
  <si>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</si>
  <si>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</si>
  <si>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</si>
  <si>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</si>
  <si>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</si>
  <si>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</si>
  <si>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</si>
  <si>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</si>
  <si>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</si>
  <si>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</si>
  <si>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</si>
  <si>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</si>
  <si>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</si>
  <si>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</si>
  <si>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</si>
  <si>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</si>
  <si>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</si>
  <si>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</si>
  <si>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</si>
  <si>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</si>
  <si>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</si>
  <si>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</si>
  <si>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</si>
  <si>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</si>
  <si>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</si>
  <si>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</si>
  <si>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</si>
  <si>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</si>
  <si>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</si>
  <si>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</si>
  <si>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</si>
  <si>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</si>
  <si>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</si>
  <si>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</si>
  <si>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</si>
  <si>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</si>
  <si>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</si>
  <si>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</si>
  <si>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</si>
  <si>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</si>
  <si>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</si>
  <si>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</si>
  <si>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</si>
  <si>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</si>
  <si>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</si>
  <si>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</si>
  <si>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</si>
  <si>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</si>
  <si>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</si>
  <si>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</si>
  <si>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</si>
  <si>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</si>
  <si>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</si>
  <si>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</si>
  <si>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</si>
  <si>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</si>
  <si>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</si>
  <si>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</si>
  <si>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</si>
  <si>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</si>
  <si>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</si>
  <si>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</si>
  <si>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</si>
  <si>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</si>
  <si>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</si>
  <si>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</si>
  <si>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</si>
  <si>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</si>
  <si>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</si>
  <si>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</si>
  <si>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</si>
  <si>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</si>
  <si>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</si>
  <si>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</si>
  <si>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</si>
  <si>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</si>
  <si>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</si>
  <si>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</si>
  <si>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</si>
  <si>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</si>
  <si>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</si>
  <si>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</si>
  <si>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</si>
  <si>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</si>
  <si>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</si>
  <si>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</si>
  <si>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</si>
  <si>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</si>
  <si>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</si>
  <si>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</si>
  <si>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</si>
  <si>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</si>
  <si>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</si>
  <si>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</si>
  <si>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</si>
  <si>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</si>
  <si>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</si>
  <si>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</si>
  <si>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</si>
  <si>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</si>
  <si>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</si>
  <si>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</si>
  <si>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</si>
  <si>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</si>
  <si>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</si>
  <si>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</si>
  <si>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</si>
  <si>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</si>
  <si>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</si>
  <si>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</si>
  <si>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</si>
  <si>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</si>
  <si>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</si>
  <si>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</si>
  <si>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</si>
  <si>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</si>
  <si>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</si>
  <si>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</si>
  <si>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</si>
  <si>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</si>
  <si>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</si>
  <si>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</si>
  <si>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</si>
  <si>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</si>
  <si>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</si>
  <si>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</si>
  <si>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</si>
  <si>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</si>
  <si>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</si>
  <si>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</si>
  <si>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</si>
  <si>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</si>
  <si>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</si>
  <si>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</si>
  <si>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</si>
  <si>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</si>
  <si>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</si>
  <si>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</si>
  <si>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</si>
  <si>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</si>
  <si>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</si>
  <si>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</si>
  <si>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</si>
  <si>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</si>
  <si>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</si>
  <si>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</si>
  <si>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</si>
  <si>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</si>
  <si>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</si>
  <si>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</si>
  <si>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</si>
  <si>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</si>
  <si>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</si>
  <si>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</si>
  <si>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</si>
  <si>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</si>
  <si>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</si>
  <si>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</si>
  <si>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</si>
  <si>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</si>
  <si>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</si>
  <si>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</si>
  <si>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</si>
  <si>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</si>
  <si>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</si>
  <si>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</si>
  <si>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</si>
  <si>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</si>
  <si>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</si>
  <si>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</si>
  <si>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</si>
  <si>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</si>
  <si>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</si>
  <si>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</si>
  <si>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</si>
  <si>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</si>
  <si>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</si>
  <si>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</si>
  <si>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</si>
  <si>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</si>
  <si>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</si>
  <si>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</si>
  <si>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</si>
  <si>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</si>
  <si>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</si>
  <si>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</si>
  <si>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</si>
  <si>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</si>
  <si>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</si>
  <si>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</si>
  <si>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</si>
  <si>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</si>
  <si>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</si>
  <si>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</si>
  <si>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</si>
  <si>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</si>
  <si>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</si>
  <si>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</si>
  <si>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</si>
  <si>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</si>
  <si>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</si>
  <si>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</si>
  <si>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</si>
  <si>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</si>
  <si>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</si>
  <si>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</si>
  <si>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</si>
  <si>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</si>
  <si>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</si>
  <si>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</si>
  <si>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</si>
  <si>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</si>
  <si>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</si>
  <si>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</si>
  <si>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</si>
  <si>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</si>
  <si>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</si>
  <si>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</si>
  <si>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</si>
  <si>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</si>
  <si>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</si>
  <si>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</si>
  <si>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</si>
  <si>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</si>
  <si>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</si>
  <si>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</si>
  <si>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</si>
  <si>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</si>
  <si>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</si>
  <si>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</si>
  <si>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</si>
  <si>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</si>
  <si>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</si>
  <si>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</si>
  <si>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</si>
  <si>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</si>
  <si>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</si>
  <si>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</si>
  <si>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</si>
  <si>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</si>
  <si>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</si>
  <si>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</si>
  <si>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</si>
  <si>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</si>
  <si>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</si>
  <si>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</si>
  <si>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</si>
  <si>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</si>
  <si>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</si>
  <si>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</si>
  <si>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</si>
  <si>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</si>
  <si>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</si>
  <si>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</si>
  <si>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</si>
  <si>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</si>
  <si>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</si>
  <si>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</si>
  <si>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</si>
  <si>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</si>
  <si>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</si>
  <si>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</si>
  <si>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</si>
  <si>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</si>
  <si>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</si>
  <si>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</si>
  <si>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</si>
  <si>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</si>
  <si>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</si>
  <si>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</si>
  <si>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</si>
  <si>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</si>
  <si>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</si>
  <si>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</si>
  <si>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</si>
  <si>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</si>
  <si>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</si>
  <si>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</si>
  <si>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</si>
  <si>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</si>
  <si>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</si>
  <si>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</si>
  <si>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</si>
  <si>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</si>
  <si>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</si>
  <si>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</si>
  <si>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</si>
  <si>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</si>
  <si>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</si>
  <si>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</si>
  <si>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</si>
  <si>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</si>
  <si>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</si>
  <si>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</si>
  <si>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</si>
  <si>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</si>
  <si>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</si>
  <si>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</si>
  <si>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</si>
  <si>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</si>
  <si>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</si>
  <si>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</si>
  <si>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</si>
  <si>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</si>
  <si>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</si>
  <si>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</si>
  <si>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</si>
  <si>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</si>
  <si>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</si>
  <si>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</si>
  <si>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</si>
  <si>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</si>
  <si>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</si>
  <si>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</si>
  <si>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</si>
  <si>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</si>
  <si>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</si>
  <si>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</si>
  <si>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</si>
  <si>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</si>
  <si>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</si>
  <si>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</si>
  <si>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</si>
  <si>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</si>
  <si>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</si>
  <si>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</si>
  <si>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</si>
  <si>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</si>
  <si>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</si>
  <si>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</si>
  <si>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</si>
  <si>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</si>
  <si>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</si>
  <si>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</si>
  <si>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</si>
  <si>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</si>
  <si>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</si>
  <si>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</si>
  <si>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</si>
  <si>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</si>
  <si>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</si>
  <si>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</si>
  <si>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</si>
  <si>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</si>
  <si>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</si>
  <si>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</si>
  <si>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</si>
  <si>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</si>
  <si>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</si>
  <si>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</si>
  <si>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</si>
  <si>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</si>
  <si>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</si>
  <si>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</si>
  <si>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</si>
  <si>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</si>
  <si>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</si>
  <si>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</si>
  <si>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</si>
  <si>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</si>
  <si>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</si>
  <si>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</si>
  <si>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</si>
  <si>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</si>
  <si>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</si>
  <si>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</si>
  <si>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</si>
  <si>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</si>
  <si>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</si>
  <si>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</si>
  <si>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</si>
  <si>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</si>
  <si>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</si>
  <si>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</si>
  <si>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</si>
  <si>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</si>
  <si>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</si>
  <si>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</si>
  <si>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</si>
  <si>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</si>
  <si>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</si>
  <si>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</si>
  <si>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</si>
  <si>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</si>
  <si>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</si>
  <si>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</si>
  <si>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</si>
  <si>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</si>
  <si>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</si>
  <si>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</si>
  <si>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</si>
  <si>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</si>
  <si>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</si>
  <si>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</si>
  <si>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</si>
  <si>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</si>
  <si>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</si>
  <si>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</si>
  <si>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</si>
  <si>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</si>
  <si>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</si>
  <si>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</si>
  <si>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</si>
  <si>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</si>
  <si>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</si>
  <si>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</si>
  <si>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</si>
  <si>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</si>
  <si>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</si>
  <si>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</si>
  <si>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</si>
  <si>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</si>
  <si>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</si>
  <si>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</si>
  <si>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</si>
  <si>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</si>
  <si>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</si>
  <si>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</si>
  <si>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</si>
  <si>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</si>
  <si>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</si>
  <si>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</si>
  <si>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</si>
  <si>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</si>
  <si>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</si>
  <si>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</si>
  <si>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</si>
  <si>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</si>
  <si>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</si>
  <si>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</si>
  <si>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</si>
  <si>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</si>
  <si>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</si>
  <si>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</si>
  <si>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</si>
  <si>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</si>
  <si>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</si>
  <si>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</si>
  <si>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</si>
  <si>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</si>
  <si>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</si>
  <si>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</si>
  <si>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</si>
  <si>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</si>
  <si>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</si>
  <si>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</si>
  <si>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</si>
  <si>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</si>
  <si>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</si>
  <si>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</si>
  <si>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</si>
  <si>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</si>
  <si>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</si>
  <si>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</si>
  <si>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</si>
  <si>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</si>
  <si>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</si>
  <si>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</si>
  <si>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</si>
  <si>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</si>
  <si>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</si>
  <si>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</si>
  <si>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</si>
  <si>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</si>
  <si>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</si>
  <si>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</si>
  <si>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</si>
  <si>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</si>
  <si>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</si>
  <si>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</si>
  <si>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</si>
  <si>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</si>
  <si>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</si>
  <si>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</si>
  <si>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</si>
  <si>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</si>
  <si>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</si>
  <si>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</si>
  <si>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</si>
  <si>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</si>
  <si>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</si>
  <si>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</si>
  <si>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</si>
  <si>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</si>
  <si>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</si>
  <si>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</si>
  <si>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</si>
  <si>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</si>
  <si>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</si>
  <si>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</si>
  <si>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</si>
  <si>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</si>
  <si>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</si>
  <si>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</si>
  <si>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</si>
  <si>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</si>
  <si>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</si>
  <si>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</si>
  <si>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</si>
  <si>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</si>
  <si>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</si>
  <si>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</si>
  <si>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</si>
  <si>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</si>
  <si>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</si>
  <si>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</si>
  <si>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</si>
  <si>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</si>
  <si>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</si>
  <si>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</si>
  <si>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</si>
  <si>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</si>
  <si>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</si>
  <si>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</si>
  <si>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</si>
  <si>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</si>
  <si>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</si>
  <si>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</si>
  <si>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</si>
  <si>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</si>
  <si>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</si>
  <si>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</si>
  <si>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</si>
  <si>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</si>
  <si>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</si>
  <si>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</si>
  <si>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</si>
  <si>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</si>
  <si>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</si>
  <si>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</si>
  <si>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</si>
  <si>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</si>
  <si>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</si>
  <si>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</si>
  <si>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</si>
  <si>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</si>
  <si>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</si>
  <si>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</si>
  <si>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</si>
  <si>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</si>
  <si>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</si>
  <si>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</si>
  <si>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</si>
  <si>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</si>
  <si>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</si>
  <si>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</si>
  <si>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</si>
  <si>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</si>
  <si>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</si>
  <si>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</si>
  <si>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</si>
  <si>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</si>
  <si>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</si>
  <si>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</si>
  <si>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</si>
  <si>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</si>
  <si>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</si>
  <si>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</si>
  <si>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</si>
  <si>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</si>
  <si>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</si>
  <si>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</si>
  <si>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</si>
  <si>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</si>
  <si>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</si>
  <si>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</si>
  <si>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</si>
  <si>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</si>
  <si>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</si>
  <si>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</si>
  <si>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</si>
  <si>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</si>
  <si>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</si>
  <si>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</si>
  <si>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</si>
  <si>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</si>
  <si>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</si>
  <si>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</si>
  <si>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</si>
  <si>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</si>
  <si>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</si>
  <si>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</si>
  <si>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</si>
  <si>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</si>
  <si>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</si>
  <si>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</si>
  <si>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</si>
  <si>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</si>
  <si>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</si>
  <si>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</si>
  <si>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</si>
  <si>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</si>
  <si>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</si>
  <si>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</si>
  <si>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</si>
  <si>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</si>
  <si>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</si>
  <si>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</si>
  <si>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</si>
  <si>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</si>
  <si>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</si>
  <si>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</si>
  <si>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</si>
  <si>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</si>
  <si>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</si>
  <si>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</si>
  <si>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</si>
  <si>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</si>
  <si>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</si>
  <si>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</si>
  <si>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</si>
  <si>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</si>
  <si>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</si>
  <si>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</si>
  <si>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</si>
  <si>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</si>
  <si>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</si>
  <si>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</si>
  <si>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</si>
  <si>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</si>
  <si>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</si>
  <si>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</si>
  <si>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</si>
  <si>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</si>
  <si>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</si>
  <si>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</si>
  <si>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</si>
  <si>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</si>
  <si>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</si>
  <si>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</si>
  <si>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</si>
  <si>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</si>
  <si>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</si>
  <si>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</si>
  <si>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</si>
  <si>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</si>
  <si>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</si>
  <si>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</si>
  <si>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</si>
  <si>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</si>
  <si>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</si>
  <si>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</si>
  <si>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</si>
  <si>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</si>
  <si>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</si>
  <si>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</si>
  <si>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</si>
  <si>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</si>
  <si>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</si>
  <si>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</si>
  <si>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</si>
  <si>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</si>
  <si>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</si>
  <si>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</si>
  <si>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</si>
  <si>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</si>
  <si>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</si>
  <si>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</si>
  <si>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</si>
  <si>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</si>
  <si>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</si>
  <si>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</si>
  <si>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</si>
  <si>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</si>
  <si>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</si>
  <si>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</si>
  <si>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</si>
  <si>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</si>
  <si>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</si>
  <si>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</si>
  <si>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</si>
  <si>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</si>
  <si>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</si>
  <si>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</si>
  <si>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</si>
  <si>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</si>
  <si>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</si>
  <si>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</si>
  <si>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</si>
  <si>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</si>
  <si>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</si>
  <si>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</si>
  <si>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</si>
  <si>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</si>
  <si>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</si>
  <si>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</si>
  <si>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</si>
  <si>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</si>
  <si>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</si>
  <si>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</si>
  <si>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</si>
  <si>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</si>
  <si>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</si>
  <si>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</si>
  <si>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</si>
  <si>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</si>
  <si>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</si>
  <si>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</si>
  <si>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</si>
  <si>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</si>
  <si>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</si>
  <si>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</si>
  <si>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</si>
  <si>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</si>
  <si>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</si>
  <si>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</si>
  <si>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</si>
  <si>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</si>
  <si>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</si>
  <si>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</si>
  <si>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</si>
  <si>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</si>
  <si>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</si>
  <si>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</si>
  <si>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</si>
  <si>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</si>
  <si>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</si>
  <si>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</si>
  <si>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</si>
  <si>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</si>
  <si>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</si>
  <si>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</si>
  <si>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</si>
  <si>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</si>
  <si>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</si>
  <si>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</si>
  <si>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</si>
  <si>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</si>
  <si>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</si>
  <si>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</si>
  <si>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</si>
  <si>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</si>
  <si>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</si>
  <si>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</si>
  <si>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</si>
  <si>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</si>
  <si>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</si>
  <si>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</si>
  <si>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</si>
  <si>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</si>
  <si>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</si>
  <si>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</si>
  <si>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</si>
  <si>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</si>
  <si>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</si>
  <si>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</si>
  <si>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</si>
  <si>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</si>
  <si>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</si>
  <si>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</si>
  <si>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</si>
  <si>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</si>
  <si>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</si>
  <si>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</si>
  <si>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</si>
  <si>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</si>
  <si>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</si>
  <si>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</si>
  <si>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</si>
  <si>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</si>
  <si>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</si>
  <si>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</si>
  <si>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</si>
  <si>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</si>
  <si>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</si>
  <si>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</si>
  <si>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</si>
  <si>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</si>
  <si>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</si>
  <si>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</si>
  <si>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</si>
  <si>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</si>
  <si>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</si>
  <si>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</si>
  <si>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</si>
  <si>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</si>
  <si>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</si>
  <si>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</si>
  <si>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</si>
  <si>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</si>
  <si>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</si>
  <si>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</si>
  <si>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</si>
  <si>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</si>
  <si>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</si>
  <si>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</si>
  <si>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</si>
  <si>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</si>
  <si>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</si>
  <si>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</si>
  <si>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</si>
  <si>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</si>
  <si>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</si>
  <si>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</si>
  <si>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</si>
  <si>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</si>
  <si>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</si>
  <si>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</si>
  <si>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</si>
  <si>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</si>
  <si>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</si>
  <si>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</si>
  <si>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</si>
  <si>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</si>
  <si>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</si>
  <si>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</si>
  <si>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</si>
  <si>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</si>
  <si>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</si>
  <si>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</si>
  <si>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</si>
  <si>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</si>
  <si>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</si>
  <si>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</si>
  <si>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</si>
  <si>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</si>
  <si>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</si>
  <si>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</si>
  <si>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</si>
  <si>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</si>
  <si>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</si>
  <si>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</si>
  <si>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</si>
  <si>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</si>
  <si>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</si>
  <si>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</si>
  <si>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</si>
  <si>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</si>
  <si>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</si>
  <si>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</si>
  <si>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</si>
  <si>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</si>
  <si>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</si>
  <si>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</si>
  <si>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</si>
  <si>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</si>
  <si>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</si>
  <si>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</si>
  <si>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</si>
  <si>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</si>
  <si>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</si>
  <si>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</si>
  <si>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</si>
  <si>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</si>
  <si>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</si>
  <si>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</si>
  <si>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</si>
  <si>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</si>
  <si>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</si>
  <si>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</si>
  <si>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</si>
  <si>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</si>
  <si>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</si>
  <si>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</si>
  <si>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</si>
  <si>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</si>
  <si>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</si>
  <si>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</si>
  <si>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</si>
  <si>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</si>
  <si>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</si>
  <si>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</si>
  <si>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</si>
  <si>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</si>
  <si>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</si>
  <si>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</si>
  <si>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</si>
  <si>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</si>
  <si>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</si>
  <si>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</si>
  <si>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</si>
  <si>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</si>
  <si>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</si>
  <si>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</si>
  <si>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</si>
  <si>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</si>
  <si>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</si>
  <si>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</si>
  <si>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</si>
  <si>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</si>
  <si>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</si>
  <si>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</si>
  <si>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</si>
  <si>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</si>
  <si>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</si>
  <si>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</si>
  <si>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</si>
  <si>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</si>
  <si>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</si>
  <si>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</si>
  <si>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</si>
  <si>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</si>
  <si>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</si>
  <si>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</si>
  <si>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</si>
  <si>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</si>
  <si>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</si>
  <si>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</si>
  <si>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</si>
  <si>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</si>
  <si>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</si>
  <si>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</si>
  <si>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</si>
  <si>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</si>
  <si>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</si>
  <si>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</si>
  <si>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</si>
  <si>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</si>
  <si>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</si>
  <si>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</si>
  <si>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</si>
  <si>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</si>
  <si>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</si>
  <si>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</si>
  <si>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</si>
  <si>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</si>
  <si>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</si>
  <si>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</si>
  <si>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</si>
  <si>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</si>
  <si>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</si>
  <si>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</si>
  <si>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</si>
  <si>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</si>
  <si>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</si>
  <si>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</si>
  <si>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</si>
  <si>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</si>
  <si>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</si>
  <si>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</si>
  <si>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</si>
  <si>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</si>
  <si>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</si>
  <si>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</si>
  <si>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</si>
  <si>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</si>
  <si>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</si>
  <si>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</si>
  <si>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</si>
  <si>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</si>
  <si>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</si>
  <si>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</si>
  <si>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</si>
  <si>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</si>
  <si>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</si>
  <si>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</si>
  <si>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</si>
  <si>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</si>
  <si>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</si>
  <si>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</si>
  <si>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</si>
  <si>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</si>
  <si>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</si>
  <si>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</si>
  <si>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</si>
  <si>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</si>
  <si>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</si>
  <si>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</si>
  <si>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</si>
  <si>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</si>
  <si>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</si>
  <si>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</si>
  <si>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</si>
  <si>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</si>
  <si>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</si>
  <si>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</si>
  <si>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</si>
  <si>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</si>
  <si>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</si>
  <si>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</si>
  <si>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</si>
  <si>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</si>
  <si>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</si>
  <si>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</si>
  <si>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</si>
  <si>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</si>
  <si>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</si>
  <si>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</si>
  <si>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</si>
  <si>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</si>
  <si>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</si>
  <si>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</si>
  <si>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</si>
  <si>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</si>
  <si>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</si>
  <si>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</si>
  <si>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</si>
  <si>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</si>
  <si>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</si>
  <si>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</si>
  <si>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</si>
  <si>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</si>
  <si>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</si>
  <si>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</si>
  <si>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</si>
  <si>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</si>
  <si>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</si>
  <si>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</si>
  <si>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</si>
  <si>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</si>
  <si>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</si>
  <si>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</si>
  <si>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</si>
  <si>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</si>
  <si>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</si>
  <si>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</si>
  <si>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</si>
  <si>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</si>
  <si>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</si>
  <si>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</si>
  <si>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</si>
  <si>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</si>
  <si>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</si>
  <si>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</si>
  <si>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</si>
  <si>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</si>
  <si>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</si>
  <si>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</si>
  <si>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</si>
  <si>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</si>
  <si>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</si>
  <si>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</si>
  <si>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</si>
  <si>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</si>
  <si>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</si>
  <si>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</si>
  <si>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</si>
  <si>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</si>
  <si>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</si>
  <si>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</si>
  <si>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</si>
  <si>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</si>
  <si>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</si>
  <si>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</si>
  <si>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</si>
  <si>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</si>
  <si>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</si>
  <si>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</si>
  <si>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</si>
  <si>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</si>
  <si>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</si>
  <si>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</si>
  <si>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</si>
  <si>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</si>
  <si>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</si>
  <si>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</si>
  <si>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</si>
  <si>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</si>
  <si>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</si>
  <si>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</si>
  <si>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</si>
  <si>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</si>
  <si>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</si>
  <si>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</si>
  <si>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</si>
  <si>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</si>
  <si>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</si>
  <si>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</si>
  <si>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</si>
  <si>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</si>
  <si>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</si>
  <si>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</si>
  <si>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</si>
  <si>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</si>
  <si>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</si>
  <si>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</si>
  <si>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</si>
  <si>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</si>
  <si>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</si>
  <si>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</si>
  <si>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</si>
  <si>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</si>
  <si>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</si>
  <si>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</si>
  <si>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</si>
  <si>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</si>
  <si>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</si>
  <si>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</si>
  <si>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</si>
  <si>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</si>
  <si>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</si>
  <si>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</si>
  <si>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</si>
  <si>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</si>
  <si>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</si>
  <si>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</si>
  <si>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</si>
  <si>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</si>
  <si>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</si>
  <si>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</si>
  <si>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</si>
  <si>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</si>
  <si>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</si>
  <si>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</si>
  <si>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</si>
  <si>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</si>
  <si>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</si>
  <si>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</si>
  <si>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</si>
  <si>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</si>
  <si>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</si>
  <si>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</si>
  <si>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</si>
  <si>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</si>
  <si>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</si>
  <si>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</si>
  <si>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</si>
  <si>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</si>
  <si>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</si>
  <si>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</si>
  <si>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</si>
  <si>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</si>
  <si>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</si>
  <si>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</si>
  <si>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</si>
  <si>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</si>
  <si>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</si>
  <si>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</si>
  <si>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</si>
  <si>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</si>
  <si>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</si>
  <si>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</si>
  <si>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</si>
  <si>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</si>
  <si>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</si>
  <si>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</si>
  <si>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</si>
  <si>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</si>
  <si>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</si>
  <si>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</si>
  <si>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</si>
  <si>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</si>
  <si>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</si>
  <si>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</si>
  <si>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</si>
  <si>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</si>
  <si>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</si>
  <si>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</si>
  <si>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</si>
  <si>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</si>
  <si>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</si>
  <si>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</si>
  <si>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</si>
  <si>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</si>
  <si>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</si>
  <si>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</si>
  <si>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</si>
  <si>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</si>
  <si>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</si>
  <si>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</si>
  <si>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</si>
  <si>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</si>
  <si>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</si>
  <si>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</si>
  <si>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</si>
  <si>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</si>
  <si>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</si>
  <si>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</si>
  <si>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</si>
  <si>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</si>
  <si>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</si>
  <si>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</si>
  <si>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</si>
  <si>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</si>
  <si>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</si>
  <si>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</si>
  <si>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</si>
  <si>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</si>
  <si>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</si>
  <si>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</si>
  <si>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</si>
  <si>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</si>
  <si>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</si>
  <si>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</si>
  <si>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</si>
  <si>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</si>
  <si>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</si>
  <si>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</si>
  <si>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</si>
  <si>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</si>
  <si>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</si>
  <si>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</si>
  <si>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</si>
  <si>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</si>
  <si>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</si>
  <si>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</si>
  <si>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</si>
  <si>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</si>
  <si>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</si>
  <si>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</si>
  <si>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</si>
  <si>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</si>
  <si>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</si>
  <si>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</si>
  <si>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</si>
  <si>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</si>
  <si>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</si>
  <si>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</si>
  <si>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</si>
  <si>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</si>
  <si>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</si>
  <si>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</si>
  <si>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</si>
  <si>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</si>
  <si>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</si>
  <si>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</si>
  <si>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</si>
  <si>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</si>
  <si>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</si>
  <si>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</si>
  <si>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</si>
  <si>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</si>
  <si>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</si>
  <si>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</si>
  <si>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</si>
  <si>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</si>
  <si>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</si>
  <si>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</si>
  <si>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</si>
  <si>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</si>
  <si>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</si>
  <si>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</si>
  <si>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</si>
  <si>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</si>
  <si>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</si>
  <si>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</si>
  <si>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</si>
  <si>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</si>
  <si>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</si>
  <si>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</si>
  <si>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</si>
  <si>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</si>
  <si>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</si>
  <si>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</si>
  <si>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</si>
  <si>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</si>
  <si>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</si>
  <si>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</si>
  <si>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</si>
  <si>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</si>
  <si>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</si>
  <si>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</si>
  <si>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</si>
  <si>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</si>
  <si>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</si>
  <si>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</si>
  <si>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</si>
  <si>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</si>
  <si>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</si>
  <si>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</si>
  <si>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</si>
  <si>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</si>
  <si>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</si>
  <si>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</si>
  <si>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</si>
  <si>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</si>
  <si>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</si>
  <si>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</si>
  <si>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</si>
  <si>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</si>
  <si>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</si>
  <si>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</si>
  <si>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</si>
  <si>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</si>
  <si>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</si>
  <si>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</si>
  <si>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</si>
  <si>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</si>
  <si>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</si>
  <si>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</si>
  <si>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</si>
  <si>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</si>
  <si>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</si>
  <si>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</si>
  <si>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</si>
  <si>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</si>
  <si>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</si>
  <si>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</si>
  <si>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</si>
  <si>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</si>
  <si>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</si>
  <si>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</si>
  <si>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</si>
  <si>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</si>
  <si>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</si>
  <si>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</si>
  <si>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</si>
  <si>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</si>
  <si>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</si>
  <si>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</si>
  <si>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</si>
  <si>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</si>
  <si>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</si>
  <si>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</si>
  <si>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</si>
  <si>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</si>
  <si>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</si>
  <si>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</si>
  <si>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</si>
  <si>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</si>
  <si>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</si>
  <si>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</si>
  <si>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</si>
  <si>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</si>
  <si>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</si>
  <si>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</si>
  <si>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</si>
  <si>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</si>
  <si>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</si>
  <si>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</si>
  <si>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</si>
  <si>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</si>
  <si>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</si>
  <si>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</si>
  <si>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</si>
  <si>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</si>
  <si>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</si>
  <si>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</si>
  <si>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</si>
  <si>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</si>
  <si>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</si>
  <si>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</si>
  <si>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</si>
  <si>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</si>
  <si>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</si>
  <si>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</si>
  <si>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</si>
  <si>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</si>
  <si>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</si>
  <si>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</si>
  <si>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</si>
  <si>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</si>
  <si>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</si>
  <si>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</si>
  <si>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</si>
  <si>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</si>
  <si>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</si>
  <si>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</si>
  <si>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</si>
  <si>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</si>
  <si>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</si>
  <si>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</si>
  <si>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</si>
  <si>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</si>
  <si>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</si>
  <si>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</si>
  <si>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</si>
  <si>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</si>
  <si>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</si>
  <si>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</si>
  <si>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</si>
  <si>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</si>
  <si>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</si>
  <si>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</si>
  <si>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</si>
  <si>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</si>
  <si>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</si>
  <si>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</si>
  <si>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</si>
  <si>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</si>
  <si>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</si>
  <si>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</si>
  <si>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</si>
  <si>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</si>
  <si>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</si>
  <si>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</si>
  <si>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</si>
  <si>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</si>
  <si>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</si>
  <si>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</si>
  <si>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</si>
  <si>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</si>
  <si>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</si>
  <si>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</si>
  <si>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</si>
  <si>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</si>
  <si>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</si>
  <si>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</si>
  <si>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</si>
  <si>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</si>
  <si>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</si>
  <si>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</si>
  <si>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</si>
  <si>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</si>
  <si>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</si>
  <si>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</si>
  <si>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</si>
  <si>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</si>
  <si>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</si>
  <si>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</si>
  <si>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</si>
  <si>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</si>
  <si>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</si>
  <si>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</si>
  <si>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</si>
  <si>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</si>
  <si>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</si>
  <si>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</si>
  <si>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</si>
  <si>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</si>
  <si>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</si>
  <si>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</si>
  <si>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</si>
  <si>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</si>
  <si>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</si>
  <si>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</si>
  <si>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</si>
  <si>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</si>
  <si>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</si>
  <si>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</si>
  <si>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</si>
  <si>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</si>
  <si>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</si>
  <si>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</si>
  <si>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</si>
  <si>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</si>
  <si>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</si>
  <si>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</si>
  <si>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</si>
  <si>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</si>
  <si>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</si>
  <si>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</si>
  <si>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</si>
  <si>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</si>
  <si>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</si>
  <si>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</si>
  <si>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</si>
  <si>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</si>
  <si>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</si>
  <si>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</si>
  <si>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</si>
  <si>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</si>
  <si>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</si>
  <si>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</si>
  <si>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</si>
  <si>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</si>
  <si>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</si>
  <si>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</si>
  <si>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</si>
  <si>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</si>
  <si>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</si>
  <si>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</si>
  <si>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</si>
  <si>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</si>
  <si>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</si>
  <si>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</si>
  <si>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</si>
  <si>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</si>
  <si>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</si>
  <si>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</si>
  <si>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</si>
  <si>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</si>
  <si>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</si>
  <si>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</si>
  <si>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</si>
  <si>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</si>
  <si>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</si>
  <si>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</si>
  <si>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</si>
  <si>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</si>
  <si>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</si>
  <si>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</si>
  <si>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</si>
  <si>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</si>
  <si>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</si>
  <si>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</si>
  <si>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</si>
  <si>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</si>
  <si>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</si>
  <si>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</si>
  <si>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</si>
  <si>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</si>
  <si>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</si>
  <si>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</si>
  <si>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</si>
  <si>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</si>
  <si>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</si>
  <si>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</si>
  <si>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</si>
  <si>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</si>
  <si>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</si>
  <si>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</si>
  <si>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</si>
  <si>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</si>
  <si>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</si>
  <si>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</si>
  <si>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</si>
  <si>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</si>
  <si>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</si>
  <si>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</si>
  <si>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</si>
  <si>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</si>
  <si>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</si>
  <si>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</si>
  <si>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</si>
  <si>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</si>
  <si>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</si>
  <si>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</si>
  <si>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</si>
  <si>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</si>
  <si>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</si>
  <si>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</si>
  <si>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</si>
  <si>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</si>
  <si>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</si>
  <si>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</si>
  <si>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</si>
  <si>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</si>
  <si>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</si>
  <si>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</si>
  <si>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</si>
  <si>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</si>
  <si>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</si>
  <si>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</si>
  <si>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</si>
  <si>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</si>
  <si>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</si>
  <si>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</si>
  <si>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</si>
  <si>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</si>
  <si>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</si>
  <si>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</si>
  <si>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</si>
  <si>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</si>
  <si>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</si>
  <si>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</si>
  <si>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</si>
  <si>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</si>
  <si>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</si>
  <si>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</si>
  <si>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</si>
  <si>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</si>
  <si>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</si>
  <si>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</si>
  <si>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</si>
  <si>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</si>
  <si>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</si>
  <si>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</si>
  <si>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</si>
  <si>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</si>
  <si>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</si>
  <si>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</si>
  <si>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</si>
  <si>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</si>
  <si>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</si>
  <si>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</si>
  <si>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</si>
  <si>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</si>
  <si>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</si>
  <si>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</si>
  <si>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</si>
  <si>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</si>
  <si>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</si>
  <si>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</si>
  <si>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</si>
  <si>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</si>
  <si>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</si>
  <si>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</si>
  <si>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</si>
  <si>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</si>
  <si>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</si>
  <si>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</si>
  <si>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</si>
  <si>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</si>
  <si>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</si>
  <si>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</si>
  <si>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</si>
  <si>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</si>
  <si>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</si>
  <si>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</si>
  <si>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</si>
  <si>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</si>
  <si>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</si>
  <si>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</si>
  <si>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</si>
  <si>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</si>
  <si>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</si>
  <si>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</si>
  <si>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</si>
  <si>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</si>
  <si>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</si>
  <si>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</si>
  <si>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</si>
  <si>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</si>
  <si>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</si>
  <si>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</si>
  <si>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</si>
  <si>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</si>
  <si>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</si>
  <si>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</si>
  <si>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</si>
  <si>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</si>
  <si>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</si>
  <si>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</si>
  <si>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</si>
  <si>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</si>
  <si>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</si>
  <si>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</si>
  <si>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</si>
  <si>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</si>
  <si>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</si>
  <si>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</si>
  <si>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</si>
  <si>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</si>
  <si>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</si>
  <si>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</si>
  <si>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</si>
  <si>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</si>
  <si>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</si>
  <si>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</si>
  <si>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</si>
  <si>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</si>
  <si>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</si>
  <si>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</si>
  <si>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</si>
  <si>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</si>
  <si>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</si>
  <si>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</si>
  <si>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</si>
  <si>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</si>
  <si>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</si>
  <si>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</si>
  <si>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</si>
  <si>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</si>
  <si>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</si>
  <si>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</si>
  <si>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</si>
  <si>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</si>
  <si>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</si>
  <si>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</si>
  <si>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</si>
  <si>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</si>
  <si>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</si>
  <si>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</si>
  <si>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</si>
  <si>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</si>
  <si>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</si>
  <si>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</si>
  <si>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</si>
  <si>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</si>
  <si>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</si>
  <si>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</si>
  <si>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</si>
  <si>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</si>
  <si>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</si>
  <si>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</si>
  <si>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</si>
  <si>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</si>
  <si>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</si>
  <si>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</si>
  <si>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</si>
  <si>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</si>
  <si>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</si>
  <si>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</si>
  <si>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</si>
  <si>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</si>
  <si>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</si>
  <si>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</si>
  <si>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</si>
  <si>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</si>
  <si>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</si>
  <si>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</si>
  <si>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</si>
  <si>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</si>
  <si>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</si>
  <si>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</si>
  <si>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</si>
  <si>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</si>
  <si>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</si>
  <si>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</si>
  <si>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</si>
  <si>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</si>
  <si>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</si>
  <si>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</si>
  <si>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</si>
  <si>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</si>
  <si>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</si>
  <si>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</si>
  <si>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</si>
  <si>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</si>
  <si>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</si>
  <si>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</si>
  <si>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</si>
  <si>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</si>
  <si>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</si>
  <si>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</si>
  <si>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</si>
  <si>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</si>
  <si>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</si>
  <si>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</si>
  <si>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</si>
  <si>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</si>
  <si>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</si>
  <si>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</si>
  <si>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</si>
  <si>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</si>
  <si>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</si>
  <si>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</si>
  <si>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</si>
  <si>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</si>
  <si>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</si>
  <si>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</si>
  <si>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</si>
  <si>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</si>
  <si>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</si>
  <si>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</si>
  <si>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</si>
  <si>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</si>
  <si>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</si>
  <si>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</si>
  <si>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</si>
  <si>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</si>
  <si>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</si>
  <si>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</si>
  <si>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</si>
  <si>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</si>
  <si>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</si>
  <si>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</si>
  <si>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</si>
  <si>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</si>
  <si>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</si>
  <si>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</si>
  <si>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</si>
  <si>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</si>
  <si>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</si>
  <si>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</si>
  <si>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</si>
  <si>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</si>
  <si>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</si>
  <si>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</si>
  <si>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</si>
  <si>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</si>
  <si>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</si>
  <si>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</si>
  <si>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</si>
  <si>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</si>
  <si>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</si>
  <si>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</si>
  <si>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</si>
  <si>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</si>
  <si>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</si>
  <si>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</si>
  <si>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</si>
  <si>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</si>
  <si>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</si>
  <si>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</si>
  <si>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</si>
  <si>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</si>
  <si>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</si>
  <si>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</si>
  <si>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</si>
  <si>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</si>
  <si>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</si>
  <si>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</si>
  <si>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</si>
  <si>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</si>
  <si>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</si>
  <si>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</si>
  <si>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</si>
  <si>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</si>
  <si>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</si>
  <si>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</si>
  <si>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</si>
  <si>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</si>
  <si>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</si>
  <si>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</si>
  <si>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</si>
  <si>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</si>
  <si>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</si>
  <si>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</si>
  <si>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</si>
  <si>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</si>
  <si>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</si>
  <si>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</si>
  <si>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</si>
  <si>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</si>
  <si>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</si>
  <si>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</si>
  <si>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</si>
  <si>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</si>
  <si>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</si>
  <si>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</si>
  <si>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</si>
  <si>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</si>
  <si>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</si>
  <si>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</si>
  <si>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</si>
  <si>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</si>
  <si>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</si>
  <si>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</si>
  <si>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</si>
  <si>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</si>
  <si>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</si>
  <si>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</si>
  <si>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</si>
  <si>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</si>
  <si>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</si>
  <si>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</si>
  <si>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</si>
  <si>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</si>
  <si>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</si>
  <si>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</si>
  <si>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</si>
  <si>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</si>
  <si>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</si>
  <si>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</si>
  <si>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</si>
  <si>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</si>
  <si>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</si>
  <si>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</si>
  <si>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</si>
  <si>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</si>
  <si>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</si>
  <si>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</si>
  <si>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</si>
  <si>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</si>
  <si>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</si>
  <si>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</si>
  <si>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</si>
  <si>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</si>
  <si>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</si>
  <si>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</si>
  <si>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</si>
  <si>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</si>
  <si>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</si>
  <si>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</si>
  <si>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</si>
  <si>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</si>
  <si>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</si>
  <si>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</si>
  <si>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</si>
  <si>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</si>
  <si>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</si>
  <si>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</si>
  <si>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</si>
  <si>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</si>
  <si>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</si>
  <si>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</si>
  <si>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</si>
  <si>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</si>
  <si>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</si>
  <si>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</si>
  <si>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</si>
  <si>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</si>
  <si>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</si>
  <si>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</si>
  <si>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</si>
  <si>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</si>
  <si>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</si>
  <si>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</si>
  <si>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</si>
  <si>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</si>
  <si>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</si>
  <si>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</si>
  <si>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</si>
  <si>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</si>
  <si>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</si>
  <si>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</si>
  <si>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</si>
  <si>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</si>
  <si>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</si>
  <si>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</si>
  <si>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</si>
  <si>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</si>
  <si>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</si>
  <si>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</si>
  <si>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</si>
  <si>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</si>
  <si>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</si>
  <si>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</si>
  <si>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</si>
  <si>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</si>
  <si>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</si>
  <si>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</si>
  <si>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</si>
  <si>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</si>
  <si>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</si>
  <si>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</si>
  <si>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</si>
  <si>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</si>
  <si>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</si>
  <si>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</si>
  <si>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</si>
  <si>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</si>
  <si>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</si>
  <si>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</si>
  <si>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</si>
  <si>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</si>
  <si>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</si>
  <si>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</si>
  <si>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</si>
  <si>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</si>
  <si>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</si>
  <si>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</si>
  <si>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</si>
  <si>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</si>
  <si>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</si>
  <si>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</si>
  <si>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</si>
  <si>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</si>
  <si>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</si>
  <si>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</si>
  <si>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</si>
  <si>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</si>
  <si>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</si>
  <si>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</si>
  <si>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</si>
  <si>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</si>
  <si>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</si>
  <si>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</si>
  <si>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</si>
  <si>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</si>
  <si>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</si>
  <si>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</si>
  <si>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</si>
  <si>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</si>
  <si>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</si>
  <si>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</si>
  <si>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</si>
  <si>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</si>
  <si>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</si>
  <si>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</si>
  <si>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</si>
  <si>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</si>
  <si>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</si>
  <si>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</si>
  <si>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</si>
  <si>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</si>
  <si>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</si>
  <si>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</si>
  <si>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</si>
  <si>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</si>
  <si>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</si>
  <si>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</si>
  <si>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</si>
  <si>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</si>
  <si>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</si>
  <si>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</si>
  <si>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</si>
  <si>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</si>
  <si>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</si>
  <si>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</si>
  <si>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</si>
  <si>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</si>
  <si>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</si>
  <si>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</si>
  <si>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</si>
  <si>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</si>
  <si>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</si>
  <si>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</si>
  <si>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</si>
  <si>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</si>
  <si>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</si>
  <si>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</si>
  <si>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</si>
  <si>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</si>
  <si>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</si>
  <si>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</si>
  <si>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</si>
  <si>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</si>
  <si>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</si>
  <si>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</si>
  <si>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</si>
  <si>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</si>
  <si>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</si>
  <si>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</si>
  <si>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</si>
  <si>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</si>
  <si>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</si>
  <si>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</si>
  <si>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</si>
  <si>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</si>
  <si>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</si>
  <si>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</si>
  <si>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</si>
  <si>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</si>
  <si>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</si>
  <si>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</si>
  <si>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</si>
  <si>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</si>
  <si>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</si>
  <si>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</si>
  <si>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</si>
  <si>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</si>
  <si>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</si>
  <si>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</si>
  <si>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</si>
  <si>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</si>
  <si>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</si>
  <si>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</si>
  <si>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</si>
  <si>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</si>
  <si>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</si>
  <si>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</si>
  <si>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</si>
  <si>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</si>
  <si>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</si>
  <si>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</si>
  <si>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</si>
  <si>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</si>
  <si>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</si>
  <si>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</si>
  <si>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</si>
  <si>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</si>
  <si>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</si>
  <si>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</si>
  <si>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</si>
  <si>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</si>
  <si>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</si>
  <si>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</si>
  <si>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</si>
  <si>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</si>
  <si>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</si>
  <si>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</si>
  <si>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</si>
  <si>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</si>
  <si>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</si>
  <si>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</si>
  <si>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</si>
  <si>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</si>
  <si>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</si>
  <si>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</si>
  <si>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</si>
  <si>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</si>
  <si>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</si>
  <si>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</si>
  <si>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</si>
  <si>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</si>
  <si>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</si>
  <si>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</si>
  <si>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</si>
  <si>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</si>
  <si>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</si>
  <si>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</si>
  <si>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</si>
  <si>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</si>
  <si>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</si>
  <si>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</si>
  <si>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</si>
  <si>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</si>
  <si>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</si>
  <si>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</si>
  <si>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</si>
  <si>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</si>
  <si>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</si>
  <si>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</si>
  <si>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</si>
  <si>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</si>
  <si>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</si>
  <si>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</si>
  <si>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</si>
  <si>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</si>
  <si>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</si>
  <si>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</si>
  <si>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</si>
  <si>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</si>
  <si>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</si>
  <si>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</si>
  <si>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</si>
  <si>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</si>
  <si>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</si>
  <si>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</si>
  <si>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</si>
  <si>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</si>
  <si>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</si>
  <si>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</si>
  <si>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</si>
  <si>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</si>
  <si>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</si>
  <si>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</si>
  <si>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</si>
  <si>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</si>
  <si>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</si>
  <si>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</si>
  <si>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</si>
  <si>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</si>
  <si>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</si>
  <si>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</si>
  <si>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</si>
  <si>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</si>
  <si>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</si>
  <si>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</si>
  <si>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</si>
  <si>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</si>
  <si>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</si>
  <si>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</si>
  <si>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</si>
  <si>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</si>
  <si>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</si>
  <si>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</si>
  <si>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</si>
  <si>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</si>
  <si>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</si>
  <si>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</si>
  <si>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</si>
  <si>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</si>
  <si>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</si>
  <si>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</si>
  <si>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</si>
  <si>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</si>
  <si>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</si>
  <si>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</si>
  <si>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</si>
  <si>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</si>
  <si>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</si>
  <si>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</si>
  <si>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</si>
  <si>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</si>
  <si>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</si>
  <si>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</si>
  <si>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</si>
  <si>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</si>
  <si>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</si>
  <si>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</si>
  <si>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</si>
  <si>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</si>
  <si>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</si>
  <si>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</si>
  <si>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</si>
  <si>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</si>
  <si>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</si>
  <si>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</si>
  <si>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</si>
  <si>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</si>
  <si>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</si>
  <si>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</si>
  <si>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</si>
  <si>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</si>
  <si>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</si>
  <si>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</si>
  <si>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</si>
  <si>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</si>
  <si>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</si>
  <si>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</si>
  <si>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</si>
  <si>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</si>
  <si>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</si>
  <si>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</si>
  <si>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</si>
  <si>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</si>
  <si>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</si>
  <si>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</si>
  <si>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</si>
  <si>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</si>
  <si>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</si>
  <si>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</si>
  <si>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</si>
  <si>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</si>
  <si>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</si>
  <si>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</si>
  <si>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</si>
  <si>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</si>
  <si>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</si>
  <si>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</si>
  <si>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</si>
  <si>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</si>
  <si>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</si>
  <si>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</si>
  <si>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</si>
  <si>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</si>
  <si>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</si>
  <si>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</si>
  <si>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</si>
  <si>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</si>
  <si>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</si>
  <si>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</si>
  <si>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</si>
  <si>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</si>
  <si>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</si>
  <si>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</si>
  <si>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</si>
  <si>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</si>
  <si>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</si>
  <si>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</si>
  <si>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</si>
  <si>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</si>
  <si>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</si>
  <si>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</si>
  <si>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</si>
  <si>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</si>
  <si>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</si>
  <si>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</si>
  <si>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</si>
  <si>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</si>
  <si>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</si>
  <si>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</si>
  <si>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</si>
  <si>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</si>
  <si>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</si>
  <si>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</si>
  <si>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</si>
  <si>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</si>
  <si>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</si>
  <si>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</si>
  <si>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</si>
  <si>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</si>
  <si>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</si>
  <si>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</si>
  <si>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</si>
  <si>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</si>
  <si>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</si>
  <si>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</si>
  <si>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</si>
  <si>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</si>
  <si>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</si>
  <si>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</si>
  <si>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</si>
  <si>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</si>
  <si>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</si>
  <si>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</si>
  <si>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</si>
  <si>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</si>
  <si>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</si>
  <si>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</si>
  <si>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</si>
  <si>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</si>
  <si>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</si>
  <si>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</si>
  <si>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</si>
  <si>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</si>
  <si>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</si>
  <si>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</si>
  <si>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</si>
  <si>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</si>
  <si>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</si>
  <si>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</si>
  <si>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</si>
  <si>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</si>
  <si>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</si>
  <si>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</si>
  <si>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</si>
  <si>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</si>
  <si>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</si>
  <si>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</si>
  <si>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</si>
  <si>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</si>
  <si>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</si>
  <si>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</si>
  <si>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</si>
  <si>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</si>
  <si>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</si>
  <si>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</si>
  <si>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</si>
  <si>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</si>
  <si>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</si>
  <si>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</si>
  <si>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</si>
  <si>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</si>
  <si>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</si>
  <si>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</si>
  <si>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</si>
  <si>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</si>
  <si>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</si>
  <si>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</si>
  <si>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</si>
  <si>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</si>
  <si>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</si>
  <si>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</si>
  <si>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</si>
  <si>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</si>
  <si>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</si>
  <si>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</si>
  <si>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</si>
  <si>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</si>
  <si>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</si>
  <si>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</si>
  <si>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</si>
  <si>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</si>
  <si>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</si>
  <si>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</si>
  <si>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</si>
  <si>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</si>
  <si>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</si>
  <si>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</si>
  <si>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</si>
  <si>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</si>
  <si>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</si>
  <si>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</si>
  <si>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</si>
  <si>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</si>
  <si>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</si>
  <si>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</si>
  <si>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</si>
  <si>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</si>
  <si>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</si>
  <si>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</si>
  <si>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</si>
  <si>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</si>
  <si>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</si>
  <si>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</si>
  <si>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</si>
  <si>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</si>
  <si>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</si>
  <si>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</si>
  <si>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</si>
  <si>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</si>
  <si>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</si>
  <si>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</si>
  <si>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</si>
  <si>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</si>
  <si>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</si>
  <si>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</si>
  <si>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</si>
  <si>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</si>
  <si>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</si>
  <si>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</si>
  <si>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</si>
  <si>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</si>
  <si>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</si>
  <si>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</si>
  <si>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</si>
  <si>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</si>
  <si>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</si>
  <si>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</si>
  <si>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</si>
  <si>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</si>
  <si>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</si>
  <si>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</si>
  <si>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</si>
  <si>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</si>
  <si>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</si>
  <si>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</si>
  <si>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</si>
  <si>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</si>
  <si>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</si>
  <si>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</si>
  <si>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</si>
  <si>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</si>
  <si>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</si>
  <si>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</si>
  <si>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</si>
  <si>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</si>
  <si>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</si>
  <si>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</si>
  <si>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</si>
  <si>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</si>
  <si>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</si>
  <si>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</si>
  <si>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</si>
  <si>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</si>
  <si>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</si>
  <si>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</si>
  <si>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</si>
  <si>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</si>
  <si>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</si>
  <si>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</si>
  <si>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</si>
  <si>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</si>
  <si>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</si>
  <si>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</si>
  <si>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</si>
  <si>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</si>
  <si>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</si>
  <si>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</si>
  <si>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</si>
  <si>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</si>
  <si>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</si>
  <si>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</si>
  <si>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</si>
  <si>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</si>
  <si>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</si>
  <si>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</si>
  <si>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</si>
  <si>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</si>
  <si>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</si>
  <si>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</si>
  <si>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</si>
  <si>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</si>
  <si>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</si>
  <si>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</si>
  <si>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</si>
  <si>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</si>
  <si>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</si>
  <si>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</si>
  <si>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</si>
  <si>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</si>
  <si>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</si>
  <si>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</si>
  <si>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</si>
  <si>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</si>
  <si>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</si>
  <si>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</si>
  <si>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</si>
  <si>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</si>
  <si>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</si>
  <si>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</si>
  <si>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</si>
  <si>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</si>
  <si>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</si>
  <si>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</si>
  <si>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</si>
  <si>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</si>
  <si>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</si>
  <si>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</si>
  <si>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</si>
  <si>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</si>
  <si>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</si>
  <si>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</si>
  <si>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</si>
  <si>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</si>
  <si>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</si>
  <si>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</si>
  <si>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</si>
  <si>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</si>
  <si>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</si>
  <si>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</si>
  <si>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</si>
  <si>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</si>
  <si>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</si>
  <si>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</si>
  <si>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</si>
  <si>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</si>
  <si>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</si>
  <si>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</si>
  <si>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</si>
  <si>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</si>
  <si>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</si>
  <si>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</si>
  <si>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</si>
  <si>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</si>
  <si>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</si>
  <si>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</si>
  <si>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</si>
  <si>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</si>
  <si>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</si>
  <si>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</si>
  <si>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</si>
  <si>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</si>
  <si>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</si>
  <si>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</si>
  <si>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</si>
  <si>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</si>
  <si>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</si>
  <si>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</si>
  <si>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</si>
  <si>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</si>
  <si>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</si>
  <si>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</si>
  <si>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</si>
  <si>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</si>
  <si>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</si>
  <si>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</si>
  <si>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</si>
  <si>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</si>
  <si>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</si>
  <si>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</si>
  <si>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</si>
  <si>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</si>
  <si>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</si>
  <si>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</si>
  <si>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</si>
  <si>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</si>
  <si>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</si>
  <si>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</si>
  <si>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</si>
  <si>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</si>
  <si>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</si>
  <si>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</si>
  <si>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</si>
  <si>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</si>
  <si>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</si>
  <si>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</si>
  <si>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</si>
  <si>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</si>
  <si>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</si>
  <si>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</si>
  <si>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</si>
  <si>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</si>
  <si>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</si>
  <si>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</si>
  <si>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</si>
  <si>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</si>
  <si>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</si>
  <si>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</si>
  <si>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</si>
  <si>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</si>
  <si>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</si>
  <si>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</si>
  <si>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</si>
  <si>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</si>
  <si>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</si>
  <si>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</si>
  <si>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</si>
  <si>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</si>
  <si>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</si>
  <si>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</si>
  <si>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</si>
  <si>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</si>
  <si>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</si>
  <si>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</si>
  <si>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</si>
  <si>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</si>
  <si>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</si>
  <si>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</si>
  <si>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</si>
  <si>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</si>
  <si>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</si>
  <si>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</si>
  <si>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</si>
  <si>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</si>
  <si>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</si>
  <si>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</si>
  <si>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</si>
  <si>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</si>
  <si>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</si>
  <si>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</si>
  <si>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</si>
  <si>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</si>
  <si>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</si>
  <si>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</si>
  <si>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</si>
  <si>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</si>
  <si>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</si>
  <si>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</si>
  <si>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</si>
  <si>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</si>
  <si>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</si>
  <si>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</si>
  <si>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</si>
  <si>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</si>
  <si>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</si>
  <si>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</si>
  <si>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</si>
  <si>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</si>
  <si>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</si>
  <si>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</si>
  <si>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</si>
  <si>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</si>
  <si>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</si>
  <si>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</si>
  <si>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</si>
  <si>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</si>
  <si>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</si>
  <si>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</si>
  <si>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</si>
  <si>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</si>
  <si>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</si>
  <si>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</si>
  <si>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</si>
  <si>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</si>
  <si>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</si>
  <si>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</si>
  <si>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</si>
  <si>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</si>
  <si>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</si>
  <si>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</si>
  <si>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</si>
  <si>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</si>
  <si>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</si>
  <si>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</si>
  <si>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</si>
  <si>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</si>
  <si>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</si>
  <si>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</si>
  <si>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</si>
  <si>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</si>
  <si>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</si>
  <si>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</si>
  <si>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</si>
  <si>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</si>
  <si>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</si>
  <si>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</si>
  <si>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</si>
  <si>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</si>
  <si>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</si>
  <si>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</si>
  <si>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</si>
  <si>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</si>
  <si>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</si>
  <si>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</si>
  <si>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</si>
  <si>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</si>
  <si>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</si>
  <si>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</si>
  <si>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</si>
  <si>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</si>
  <si>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</si>
  <si>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</si>
  <si>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</si>
  <si>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</si>
  <si>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</si>
  <si>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</si>
  <si>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</si>
  <si>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</si>
  <si>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</si>
  <si>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</si>
  <si>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</si>
  <si>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</si>
  <si>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</si>
  <si>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</si>
  <si>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</si>
  <si>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</si>
  <si>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</si>
  <si>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</si>
  <si>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</si>
  <si>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</si>
  <si>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</si>
  <si>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</si>
  <si>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</si>
  <si>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</si>
  <si>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</si>
  <si>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</si>
  <si>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</si>
  <si>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</si>
  <si>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</si>
  <si>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</si>
  <si>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</si>
  <si>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</si>
  <si>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</si>
  <si>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</si>
  <si>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</si>
  <si>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</si>
  <si>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</si>
  <si>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</si>
  <si>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</si>
  <si>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</si>
  <si>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</si>
  <si>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</si>
  <si>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</si>
  <si>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</si>
  <si>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</si>
  <si>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</si>
  <si>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</si>
  <si>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</si>
  <si>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</si>
  <si>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</si>
  <si>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</si>
  <si>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</si>
  <si>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</si>
  <si>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</si>
  <si>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</si>
  <si>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</si>
  <si>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</si>
  <si>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</si>
  <si>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</si>
  <si>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</si>
  <si>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</si>
  <si>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</si>
  <si>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</si>
  <si>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</si>
  <si>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</si>
  <si>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</si>
  <si>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</si>
  <si>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</si>
  <si>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</si>
  <si>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</si>
  <si>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</si>
  <si>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</si>
  <si>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</si>
  <si>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</si>
  <si>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</si>
  <si>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</si>
  <si>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</si>
  <si>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</si>
  <si>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</si>
  <si>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</si>
  <si>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</si>
  <si>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</si>
  <si>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</si>
  <si>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</si>
  <si>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</si>
  <si>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</si>
  <si>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</si>
  <si>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</si>
  <si>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</si>
  <si>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</si>
  <si>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</si>
  <si>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</si>
  <si>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</si>
  <si>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</si>
  <si>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</si>
  <si>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</si>
  <si>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</si>
  <si>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</si>
  <si>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</si>
  <si>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r>
      <rPr>
        <sz val="10"/>
        <color theme="9" tint="-0.249977111117893"/>
        <rFont val="宋体"/>
        <family val="3"/>
        <charset val="134"/>
      </rPr>
      <t>门头沟区城子大街</t>
    </r>
    <r>
      <rPr>
        <sz val="10"/>
        <color theme="9" tint="-0.249977111117893"/>
        <rFont val="Arial"/>
        <family val="2"/>
      </rPr>
      <t>90</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17-2</t>
    </r>
    <phoneticPr fontId="6" type="noConversion"/>
  </si>
  <si>
    <t>企业</t>
  </si>
  <si>
    <t>《不动产权证书》</t>
  </si>
  <si>
    <t>复印件</t>
  </si>
  <si>
    <t>是</t>
  </si>
  <si>
    <t>地上</t>
  </si>
  <si>
    <t>底商</t>
  </si>
  <si>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</si>
  <si>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</si>
  <si>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</si>
  <si>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</si>
  <si>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</si>
  <si>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</si>
  <si>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</si>
  <si>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</si>
  <si>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</si>
  <si>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</si>
  <si>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</si>
  <si>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较好</t>
    <phoneticPr fontId="40" type="noConversion"/>
  </si>
  <si>
    <t>七通</t>
  </si>
  <si>
    <t>七通</t>
    <phoneticPr fontId="24" type="noConversion"/>
  </si>
  <si>
    <t>报价</t>
  </si>
  <si>
    <t>报价</t>
    <phoneticPr fontId="30" type="noConversion"/>
  </si>
  <si>
    <t>30-40</t>
    <phoneticPr fontId="30" type="noConversion"/>
  </si>
  <si>
    <t>20-30</t>
    <phoneticPr fontId="30" type="noConversion"/>
  </si>
  <si>
    <t>10-20</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</si>
  <si>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</si>
  <si>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</si>
  <si>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</si>
  <si>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</si>
  <si>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</si>
  <si>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</si>
  <si>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</si>
  <si>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</si>
  <si>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</si>
  <si>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</si>
  <si>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</si>
  <si>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</si>
  <si>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</si>
  <si>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</si>
  <si>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</si>
  <si>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</si>
  <si>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phoneticPr fontId="30" type="noConversion"/>
  </si>
  <si>
    <t>底商</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</si>
  <si>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</si>
  <si>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</si>
  <si>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</si>
  <si>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</si>
  <si>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</si>
  <si>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</si>
  <si>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</si>
  <si>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</si>
  <si>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</si>
  <si>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</si>
  <si>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</si>
  <si>
    <t>非标层高</t>
    <phoneticPr fontId="30" type="noConversion"/>
  </si>
  <si>
    <t>标准层高</t>
  </si>
  <si>
    <t>标准层高</t>
    <phoneticPr fontId="30" type="noConversion"/>
  </si>
  <si>
    <t>适宜</t>
    <phoneticPr fontId="30" type="noConversion"/>
  </si>
  <si>
    <t>较适宜</t>
  </si>
  <si>
    <t>较适宜</t>
    <phoneticPr fontId="30" type="noConversion"/>
  </si>
  <si>
    <t>案例</t>
    <phoneticPr fontId="134" type="noConversion"/>
  </si>
  <si>
    <t>中骏西山天璟</t>
    <phoneticPr fontId="134" type="noConversion"/>
  </si>
  <si>
    <t>中昂时代</t>
    <phoneticPr fontId="134" type="noConversion"/>
  </si>
  <si>
    <t>面积</t>
    <phoneticPr fontId="134" type="noConversion"/>
  </si>
  <si>
    <t>总价</t>
    <phoneticPr fontId="134" type="noConversion"/>
  </si>
  <si>
    <t>单价</t>
    <phoneticPr fontId="134" type="noConversion"/>
  </si>
  <si>
    <t>正常</t>
  </si>
  <si>
    <t>商业</t>
    <phoneticPr fontId="30" type="noConversion"/>
  </si>
  <si>
    <t>1层</t>
  </si>
  <si>
    <t>六通</t>
  </si>
  <si>
    <t>单套模式</t>
  </si>
  <si>
    <t>售价</t>
  </si>
  <si>
    <t>中骏西山天璟</t>
    <phoneticPr fontId="3" type="noConversion"/>
  </si>
  <si>
    <t>绿地京西景园</t>
    <phoneticPr fontId="134" type="noConversion"/>
  </si>
  <si>
    <t>20-30</t>
    <phoneticPr fontId="30" type="noConversion"/>
  </si>
  <si>
    <t>押一</t>
  </si>
  <si>
    <t>非生产用房</t>
  </si>
  <si>
    <t>否</t>
  </si>
  <si>
    <t>现房</t>
  </si>
  <si>
    <t>项目局部</t>
  </si>
  <si>
    <t>比较法-商业</t>
  </si>
  <si>
    <t>楼面单价</t>
  </si>
  <si>
    <t>情况4</t>
  </si>
  <si>
    <t>转让取得</t>
  </si>
  <si>
    <t>非个人房产</t>
  </si>
  <si>
    <t>购房发票</t>
  </si>
  <si>
    <t>2016年5月1日后购买</t>
  </si>
  <si>
    <t>合计</t>
  </si>
  <si>
    <t>序号</t>
  </si>
  <si>
    <t>房号（备案号）</t>
  </si>
  <si>
    <t>实际门牌号</t>
  </si>
  <si>
    <t>套内面积</t>
  </si>
  <si>
    <t>合同建筑面积</t>
  </si>
  <si>
    <t>起始租金
元/天/㎡</t>
  </si>
  <si>
    <t>租户姓名</t>
  </si>
  <si>
    <t>合同起始日期</t>
  </si>
  <si>
    <t>合同结束日期</t>
  </si>
  <si>
    <t>租期（年）</t>
  </si>
  <si>
    <t>应收租金总计（请用公式计算，以便核对月租金和年租金）</t>
  </si>
  <si>
    <t>权责应收应付（以缴费起始日期计算）</t>
  </si>
  <si>
    <t>第一年</t>
  </si>
  <si>
    <t>第二年</t>
  </si>
  <si>
    <t>第三年</t>
  </si>
  <si>
    <t>第四年</t>
  </si>
  <si>
    <t>第五年</t>
  </si>
  <si>
    <t>第六年</t>
  </si>
  <si>
    <t>应收租金总计</t>
  </si>
  <si>
    <t>已收租金（不含押金）</t>
  </si>
  <si>
    <t>未收租金总计</t>
  </si>
  <si>
    <t>2022年合计</t>
  </si>
  <si>
    <t>2023年合计</t>
  </si>
  <si>
    <t>2024年合计</t>
  </si>
  <si>
    <t>总计</t>
  </si>
  <si>
    <t>月租金（元/月）</t>
  </si>
  <si>
    <t>年租金</t>
  </si>
  <si>
    <t>应收</t>
  </si>
  <si>
    <t>应付</t>
  </si>
  <si>
    <t>净留</t>
  </si>
  <si>
    <t>实收</t>
  </si>
  <si>
    <t>实付</t>
  </si>
  <si>
    <t>未收</t>
  </si>
  <si>
    <t>未付</t>
  </si>
  <si>
    <t>17号楼1层17-2-1</t>
  </si>
  <si>
    <t>17号楼1层17-2-2</t>
  </si>
  <si>
    <t>17-2+17-3</t>
  </si>
  <si>
    <t>资管</t>
  </si>
  <si>
    <t>邢学国</t>
  </si>
  <si>
    <t>17号楼1层17-2-3</t>
  </si>
  <si>
    <t>17-4</t>
  </si>
  <si>
    <t>西山天璟店</t>
  </si>
  <si>
    <t>何少康</t>
  </si>
  <si>
    <t>17号楼1层17-2-4</t>
  </si>
  <si>
    <t>17-5</t>
  </si>
  <si>
    <t>17号楼1层17-2-5</t>
  </si>
  <si>
    <t>17-6</t>
  </si>
  <si>
    <t>17号楼1层17-2-6</t>
  </si>
  <si>
    <t>17-7+8+9</t>
  </si>
  <si>
    <t>17号楼1层17-2-7</t>
  </si>
  <si>
    <t>17-10</t>
  </si>
  <si>
    <t>17号楼1层17-2-8</t>
  </si>
  <si>
    <t>17号楼1层17-2-9</t>
  </si>
  <si>
    <t>17-12</t>
  </si>
  <si>
    <t>鲁晓晨</t>
  </si>
  <si>
    <t>17号楼1层17-2-10</t>
  </si>
  <si>
    <t>17-13+14</t>
  </si>
  <si>
    <t>王成</t>
  </si>
  <si>
    <t>17号楼1层17-2-11</t>
  </si>
  <si>
    <t>17-15+16</t>
  </si>
  <si>
    <t>17号楼1层17-2-12</t>
  </si>
  <si>
    <t>17-17</t>
  </si>
  <si>
    <t>崔凤</t>
  </si>
  <si>
    <t>分配前</t>
  </si>
  <si>
    <t>一分</t>
  </si>
  <si>
    <t>年度</t>
  </si>
  <si>
    <t>权责应收</t>
  </si>
  <si>
    <t>权责应付</t>
  </si>
  <si>
    <t>权责实收</t>
  </si>
  <si>
    <t>权责实付</t>
  </si>
  <si>
    <t>权责未收</t>
  </si>
  <si>
    <t>权责未付</t>
  </si>
  <si>
    <t>2022年</t>
  </si>
  <si>
    <t>2023年</t>
  </si>
  <si>
    <t>2024年</t>
  </si>
  <si>
    <t>平台分配前合计</t>
  </si>
  <si>
    <t>验算</t>
  </si>
  <si>
    <t>平台分配后合计</t>
  </si>
  <si>
    <t>毛坯</t>
    <phoneticPr fontId="134" type="noConversion"/>
  </si>
  <si>
    <t>普通</t>
    <phoneticPr fontId="134" type="noConversion"/>
  </si>
  <si>
    <t>17-11</t>
    <phoneticPr fontId="134" type="noConversion"/>
  </si>
  <si>
    <t>普装</t>
    <phoneticPr fontId="3" type="noConversion"/>
  </si>
  <si>
    <t>毛坯</t>
    <phoneticPr fontId="3" type="noConversion"/>
  </si>
  <si>
    <t>底商</t>
    <phoneticPr fontId="7" type="noConversion"/>
  </si>
  <si>
    <t>综合</t>
    <phoneticPr fontId="3" type="noConversion"/>
  </si>
  <si>
    <t>电话问询</t>
    <phoneticPr fontId="134" type="noConversion"/>
  </si>
  <si>
    <t>加权平均</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</si>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</sst>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等线"/>
      <charset val="134"/>
    </font>
    <font>
      <b/>
      <sz val="11"/>
      <color theme="1"/>
      <name val="等线"/>
      <charset val="134"/>
    </font>
    <font>
      <sz val="10.5"/>
      <color theme="1"/>
      <name val="等线"/>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9"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 xfId="0"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36"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0"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0" applyFont="1" applyFill="1" applyAlignment="1">
      <alignment vertical="center" wrapText="1"/>
    </xf>
    <xf numFmtId="49" fontId="269" fillId="0" borderId="0" xfId="10" applyNumberFormat="1" applyFont="1" applyFill="1" applyAlignment="1">
      <alignment vertical="center" wrapText="1"/>
    </xf>
    <xf numFmtId="196" fontId="269" fillId="0" borderId="0" xfId="10" applyNumberFormat="1" applyFont="1" applyFill="1" applyAlignment="1">
      <alignment vertical="center" wrapText="1"/>
    </xf>
    <xf numFmtId="0" fontId="269" fillId="0" borderId="0" xfId="10" applyFont="1" applyFill="1" applyAlignment="1">
      <alignment horizontal="center" vertical="center" wrapText="1"/>
    </xf>
    <xf numFmtId="179" fontId="269" fillId="0" borderId="0" xfId="10" applyNumberFormat="1" applyFont="1" applyFill="1" applyAlignment="1">
      <alignment horizontal="center" vertical="center" wrapText="1"/>
    </xf>
    <xf numFmtId="196" fontId="269" fillId="0" borderId="0" xfId="10" applyNumberFormat="1" applyFont="1" applyFill="1" applyAlignment="1">
      <alignment horizontal="center" vertical="center" wrapText="1"/>
    </xf>
    <xf numFmtId="196" fontId="270" fillId="0" borderId="0" xfId="10" applyNumberFormat="1" applyFont="1" applyFill="1" applyAlignment="1">
      <alignment horizontal="center" vertical="center" wrapText="1"/>
    </xf>
    <xf numFmtId="196" fontId="270" fillId="7" borderId="0" xfId="10" applyNumberFormat="1" applyFont="1" applyFill="1" applyAlignment="1">
      <alignment horizontal="center" vertical="center" wrapText="1"/>
    </xf>
    <xf numFmtId="196" fontId="270" fillId="22" borderId="0" xfId="10" applyNumberFormat="1" applyFont="1" applyFill="1" applyAlignment="1">
      <alignment horizontal="center" vertical="center" wrapText="1"/>
    </xf>
    <xf numFmtId="196" fontId="270" fillId="8" borderId="0" xfId="10" applyNumberFormat="1" applyFont="1" applyFill="1" applyAlignment="1">
      <alignment horizontal="center" vertical="center" wrapText="1"/>
    </xf>
    <xf numFmtId="49" fontId="270" fillId="22" borderId="4" xfId="10" applyNumberFormat="1" applyFont="1" applyFill="1" applyBorder="1" applyAlignment="1">
      <alignment horizontal="center" vertical="center" wrapText="1"/>
    </xf>
    <xf numFmtId="49" fontId="270" fillId="22" borderId="60" xfId="10" applyNumberFormat="1" applyFont="1" applyFill="1" applyBorder="1" applyAlignment="1">
      <alignment horizontal="center" vertical="center" wrapText="1"/>
    </xf>
    <xf numFmtId="196" fontId="270" fillId="22" borderId="2" xfId="10" applyNumberFormat="1" applyFont="1" applyFill="1" applyBorder="1" applyAlignment="1">
      <alignment horizontal="center" vertical="center" wrapText="1"/>
    </xf>
    <xf numFmtId="0" fontId="270" fillId="22" borderId="2" xfId="10" applyFont="1" applyFill="1" applyBorder="1" applyAlignment="1">
      <alignment horizontal="center" vertical="center" wrapText="1"/>
    </xf>
    <xf numFmtId="179" fontId="270" fillId="22" borderId="2" xfId="10" applyNumberFormat="1" applyFont="1" applyFill="1" applyBorder="1" applyAlignment="1">
      <alignment horizontal="center" vertical="center" wrapText="1"/>
    </xf>
    <xf numFmtId="0" fontId="270" fillId="22" borderId="1" xfId="10" applyFont="1" applyFill="1" applyBorder="1" applyAlignment="1">
      <alignment horizontal="center" vertical="center" wrapText="1"/>
    </xf>
    <xf numFmtId="0" fontId="270" fillId="5" borderId="2" xfId="10" applyFont="1" applyFill="1" applyBorder="1" applyAlignment="1">
      <alignment horizontal="center" vertical="center" wrapText="1"/>
    </xf>
    <xf numFmtId="0" fontId="270" fillId="0" borderId="0" xfId="10" applyFont="1" applyFill="1" applyAlignment="1">
      <alignment vertical="center" wrapText="1"/>
    </xf>
    <xf numFmtId="49" fontId="270" fillId="23" borderId="13" xfId="10" applyNumberFormat="1" applyFont="1" applyFill="1" applyBorder="1" applyAlignment="1">
      <alignment horizontal="center" vertical="center" wrapText="1"/>
    </xf>
    <xf numFmtId="196" fontId="270" fillId="23" borderId="13" xfId="10" applyNumberFormat="1" applyFont="1" applyFill="1" applyBorder="1" applyAlignment="1">
      <alignment horizontal="center" vertical="center" wrapText="1"/>
    </xf>
    <xf numFmtId="196" fontId="270" fillId="5" borderId="13" xfId="10" applyNumberFormat="1" applyFont="1" applyFill="1" applyBorder="1" applyAlignment="1">
      <alignment horizontal="center" vertical="center" wrapText="1"/>
    </xf>
    <xf numFmtId="0" fontId="270" fillId="5" borderId="13" xfId="10" applyFont="1" applyFill="1" applyBorder="1" applyAlignment="1">
      <alignment horizontal="center" vertical="center" wrapText="1"/>
    </xf>
    <xf numFmtId="0" fontId="270" fillId="8" borderId="13" xfId="10" applyFont="1" applyFill="1" applyBorder="1" applyAlignment="1">
      <alignment horizontal="center" vertical="center" wrapText="1"/>
    </xf>
    <xf numFmtId="0" fontId="270" fillId="23" borderId="13" xfId="10" applyFont="1" applyFill="1" applyBorder="1" applyAlignment="1">
      <alignment horizontal="center" vertical="center" wrapText="1"/>
    </xf>
    <xf numFmtId="0" fontId="270" fillId="23" borderId="5" xfId="10" applyFont="1" applyFill="1" applyBorder="1" applyAlignment="1">
      <alignment horizontal="center" vertical="center" wrapText="1"/>
    </xf>
    <xf numFmtId="179" fontId="270" fillId="23" borderId="54" xfId="10" applyNumberFormat="1" applyFont="1" applyFill="1" applyBorder="1" applyAlignment="1">
      <alignment horizontal="center" vertical="center" wrapText="1"/>
    </xf>
    <xf numFmtId="0" fontId="270" fillId="23" borderId="54" xfId="10" applyFont="1" applyFill="1" applyBorder="1" applyAlignment="1">
      <alignment horizontal="center" vertical="center" wrapText="1"/>
    </xf>
    <xf numFmtId="196" fontId="270" fillId="24" borderId="5" xfId="10" applyNumberFormat="1" applyFont="1" applyFill="1" applyBorder="1" applyAlignment="1">
      <alignment horizontal="center" vertical="center" wrapText="1"/>
    </xf>
    <xf numFmtId="196" fontId="270" fillId="24" borderId="54" xfId="10" applyNumberFormat="1" applyFont="1" applyFill="1" applyBorder="1" applyAlignment="1">
      <alignment horizontal="center" vertical="center" wrapText="1"/>
    </xf>
    <xf numFmtId="0" fontId="270" fillId="24" borderId="54" xfId="10" applyFont="1" applyFill="1" applyBorder="1" applyAlignment="1">
      <alignment horizontal="center" vertical="center" wrapText="1"/>
    </xf>
    <xf numFmtId="0" fontId="270" fillId="24" borderId="5" xfId="10" applyFont="1" applyFill="1" applyBorder="1" applyAlignment="1">
      <alignment horizontal="center" vertical="center" wrapText="1"/>
    </xf>
    <xf numFmtId="0" fontId="270" fillId="24" borderId="54" xfId="10" applyFont="1" applyFill="1" applyBorder="1" applyAlignment="1">
      <alignment horizontal="center" vertical="center" wrapText="1"/>
    </xf>
    <xf numFmtId="196" fontId="270" fillId="24" borderId="54" xfId="10" applyNumberFormat="1" applyFont="1" applyFill="1" applyBorder="1" applyAlignment="1">
      <alignment horizontal="center" vertical="center" wrapText="1"/>
    </xf>
    <xf numFmtId="0" fontId="270" fillId="24" borderId="5" xfId="10" applyFont="1" applyFill="1" applyBorder="1" applyAlignment="1">
      <alignment horizontal="left" vertical="center" wrapText="1"/>
    </xf>
    <xf numFmtId="0" fontId="270" fillId="24" borderId="54" xfId="10" applyFont="1" applyFill="1" applyBorder="1" applyAlignment="1">
      <alignment horizontal="left" vertical="center" wrapText="1"/>
    </xf>
    <xf numFmtId="0" fontId="270" fillId="24" borderId="54" xfId="10" applyFont="1" applyFill="1" applyBorder="1" applyAlignment="1">
      <alignment horizontal="left" vertical="center" wrapText="1"/>
    </xf>
    <xf numFmtId="49" fontId="270" fillId="23" borderId="15" xfId="10" applyNumberFormat="1" applyFont="1" applyFill="1" applyBorder="1" applyAlignment="1">
      <alignment horizontal="center" vertical="center" wrapText="1"/>
    </xf>
    <xf numFmtId="196" fontId="270" fillId="23" borderId="15" xfId="10" applyNumberFormat="1" applyFont="1" applyFill="1" applyBorder="1" applyAlignment="1">
      <alignment horizontal="center" vertical="center" wrapText="1"/>
    </xf>
    <xf numFmtId="196" fontId="270" fillId="5" borderId="15" xfId="10" applyNumberFormat="1" applyFont="1" applyFill="1" applyBorder="1" applyAlignment="1">
      <alignment horizontal="center" vertical="center" wrapText="1"/>
    </xf>
    <xf numFmtId="0" fontId="270" fillId="5" borderId="15" xfId="10" applyFont="1" applyFill="1" applyBorder="1" applyAlignment="1">
      <alignment horizontal="center" vertical="center" wrapText="1"/>
    </xf>
    <xf numFmtId="0" fontId="270" fillId="8" borderId="15" xfId="10" applyFont="1" applyFill="1" applyBorder="1" applyAlignment="1">
      <alignment horizontal="center" vertical="center" wrapText="1"/>
    </xf>
    <xf numFmtId="0" fontId="270" fillId="23" borderId="15" xfId="10" applyFont="1" applyFill="1" applyBorder="1" applyAlignment="1">
      <alignment horizontal="center" vertical="center" wrapText="1"/>
    </xf>
    <xf numFmtId="179" fontId="270" fillId="23" borderId="3" xfId="10" applyNumberFormat="1" applyFont="1" applyFill="1" applyBorder="1" applyAlignment="1">
      <alignment horizontal="center" vertical="center" wrapText="1"/>
    </xf>
    <xf numFmtId="0" fontId="270" fillId="23" borderId="3" xfId="10" applyFont="1" applyFill="1" applyBorder="1" applyAlignment="1">
      <alignment horizontal="center" vertical="center" wrapText="1"/>
    </xf>
    <xf numFmtId="189" fontId="270" fillId="24" borderId="5" xfId="10" applyNumberFormat="1" applyFont="1" applyFill="1" applyBorder="1" applyAlignment="1">
      <alignment horizontal="center" vertical="center" wrapText="1"/>
    </xf>
    <xf numFmtId="189" fontId="270" fillId="24" borderId="54" xfId="10" applyNumberFormat="1" applyFont="1" applyFill="1" applyBorder="1" applyAlignment="1">
      <alignment horizontal="center" vertical="center" wrapText="1"/>
    </xf>
    <xf numFmtId="189" fontId="270" fillId="24" borderId="3" xfId="10" applyNumberFormat="1" applyFont="1" applyFill="1" applyBorder="1" applyAlignment="1">
      <alignment horizontal="center" vertical="center" wrapText="1"/>
    </xf>
    <xf numFmtId="189" fontId="270" fillId="25" borderId="5" xfId="10" applyNumberFormat="1" applyFont="1" applyFill="1" applyBorder="1" applyAlignment="1">
      <alignment horizontal="center" vertical="center" wrapText="1"/>
    </xf>
    <xf numFmtId="189" fontId="270" fillId="25" borderId="54" xfId="10" applyNumberFormat="1" applyFont="1" applyFill="1" applyBorder="1" applyAlignment="1">
      <alignment horizontal="center" vertical="center" wrapText="1"/>
    </xf>
    <xf numFmtId="189" fontId="270" fillId="25" borderId="3" xfId="10" applyNumberFormat="1" applyFont="1" applyFill="1" applyBorder="1" applyAlignment="1">
      <alignment horizontal="center" vertical="center" wrapText="1"/>
    </xf>
    <xf numFmtId="189" fontId="270" fillId="5" borderId="5" xfId="10" applyNumberFormat="1" applyFont="1" applyFill="1" applyBorder="1" applyAlignment="1">
      <alignment horizontal="center" vertical="center" wrapText="1"/>
    </xf>
    <xf numFmtId="189" fontId="270" fillId="5" borderId="54" xfId="10" applyNumberFormat="1" applyFont="1" applyFill="1" applyBorder="1" applyAlignment="1">
      <alignment horizontal="center" vertical="center" wrapText="1"/>
    </xf>
    <xf numFmtId="189" fontId="270" fillId="5" borderId="3" xfId="10" applyNumberFormat="1" applyFont="1" applyFill="1" applyBorder="1" applyAlignment="1">
      <alignment horizontal="center" vertical="center" wrapText="1"/>
    </xf>
    <xf numFmtId="189" fontId="270" fillId="26" borderId="5" xfId="10" applyNumberFormat="1" applyFont="1" applyFill="1" applyBorder="1" applyAlignment="1">
      <alignment horizontal="center" vertical="center" wrapText="1"/>
    </xf>
    <xf numFmtId="189" fontId="270" fillId="26" borderId="54" xfId="10" applyNumberFormat="1" applyFont="1" applyFill="1" applyBorder="1" applyAlignment="1">
      <alignment horizontal="center" vertical="center" wrapText="1"/>
    </xf>
    <xf numFmtId="189" fontId="270" fillId="26" borderId="3" xfId="10" applyNumberFormat="1" applyFont="1" applyFill="1" applyBorder="1" applyAlignment="1">
      <alignment horizontal="center" vertical="center" wrapText="1"/>
    </xf>
    <xf numFmtId="189" fontId="270" fillId="23" borderId="5" xfId="10" applyNumberFormat="1" applyFont="1" applyFill="1" applyBorder="1" applyAlignment="1">
      <alignment horizontal="center" vertical="center" wrapText="1"/>
    </xf>
    <xf numFmtId="189" fontId="270" fillId="23" borderId="54" xfId="10" applyNumberFormat="1" applyFont="1" applyFill="1" applyBorder="1" applyAlignment="1">
      <alignment horizontal="center" vertical="center" wrapText="1"/>
    </xf>
    <xf numFmtId="189" fontId="270" fillId="23" borderId="3" xfId="10" applyNumberFormat="1" applyFont="1" applyFill="1" applyBorder="1" applyAlignment="1">
      <alignment horizontal="center" vertical="center" wrapText="1"/>
    </xf>
    <xf numFmtId="49" fontId="270" fillId="23" borderId="2" xfId="10" applyNumberFormat="1" applyFont="1" applyFill="1" applyBorder="1" applyAlignment="1">
      <alignment horizontal="center" vertical="center" wrapText="1"/>
    </xf>
    <xf numFmtId="196" fontId="270" fillId="23" borderId="2" xfId="10" applyNumberFormat="1" applyFont="1" applyFill="1" applyBorder="1" applyAlignment="1">
      <alignment horizontal="center" vertical="center" wrapText="1"/>
    </xf>
    <xf numFmtId="196" fontId="270" fillId="5" borderId="2" xfId="10" applyNumberFormat="1" applyFont="1" applyFill="1" applyBorder="1" applyAlignment="1">
      <alignment horizontal="center" vertical="center" wrapText="1"/>
    </xf>
    <xf numFmtId="0" fontId="270" fillId="5" borderId="2" xfId="10" applyFont="1" applyFill="1" applyBorder="1" applyAlignment="1">
      <alignment horizontal="center" vertical="center" wrapText="1"/>
    </xf>
    <xf numFmtId="0" fontId="270" fillId="8" borderId="2" xfId="10" applyFont="1" applyFill="1" applyBorder="1" applyAlignment="1">
      <alignment horizontal="center" vertical="center" wrapText="1"/>
    </xf>
    <xf numFmtId="0" fontId="270" fillId="23" borderId="2" xfId="10" applyFont="1" applyFill="1" applyBorder="1" applyAlignment="1">
      <alignment horizontal="center" vertical="center" wrapText="1"/>
    </xf>
    <xf numFmtId="0" fontId="270" fillId="23" borderId="1" xfId="10" applyFont="1" applyFill="1" applyBorder="1" applyAlignment="1">
      <alignment horizontal="center" vertical="center" wrapText="1"/>
    </xf>
    <xf numFmtId="179" fontId="270" fillId="23" borderId="1" xfId="10" applyNumberFormat="1" applyFont="1" applyFill="1" applyBorder="1" applyAlignment="1">
      <alignment horizontal="center" vertical="center" wrapText="1"/>
    </xf>
    <xf numFmtId="196" fontId="270" fillId="5" borderId="1" xfId="10" applyNumberFormat="1" applyFont="1" applyFill="1" applyBorder="1" applyAlignment="1">
      <alignment horizontal="center" vertical="center" wrapText="1"/>
    </xf>
    <xf numFmtId="196" fontId="270" fillId="8" borderId="1" xfId="10" applyNumberFormat="1" applyFont="1" applyFill="1" applyBorder="1" applyAlignment="1">
      <alignment horizontal="center" vertical="center" wrapText="1"/>
    </xf>
    <xf numFmtId="196" fontId="270" fillId="9" borderId="1" xfId="10" applyNumberFormat="1" applyFont="1" applyFill="1" applyBorder="1" applyAlignment="1">
      <alignment horizontal="center" vertical="center" wrapText="1"/>
    </xf>
    <xf numFmtId="49" fontId="270" fillId="9" borderId="1" xfId="10" applyNumberFormat="1" applyFont="1" applyFill="1" applyBorder="1" applyAlignment="1">
      <alignment horizontal="center" vertical="center" wrapText="1"/>
    </xf>
    <xf numFmtId="49" fontId="270" fillId="27" borderId="1" xfId="10" applyNumberFormat="1" applyFont="1" applyFill="1" applyBorder="1" applyAlignment="1">
      <alignment horizontal="center" vertical="center" wrapText="1"/>
    </xf>
    <xf numFmtId="49" fontId="270" fillId="5" borderId="1" xfId="10" applyNumberFormat="1" applyFont="1" applyFill="1" applyBorder="1" applyAlignment="1">
      <alignment horizontal="center" vertical="center" wrapText="1"/>
    </xf>
    <xf numFmtId="196" fontId="270" fillId="28" borderId="1" xfId="10" applyNumberFormat="1" applyFont="1" applyFill="1" applyBorder="1" applyAlignment="1">
      <alignment horizontal="center" vertical="center" wrapText="1"/>
    </xf>
    <xf numFmtId="49" fontId="270" fillId="22" borderId="1" xfId="10" applyNumberFormat="1" applyFont="1" applyFill="1" applyBorder="1" applyAlignment="1">
      <alignment horizontal="center" vertical="center" wrapText="1"/>
    </xf>
    <xf numFmtId="49" fontId="270" fillId="26" borderId="1" xfId="10" applyNumberFormat="1" applyFont="1" applyFill="1" applyBorder="1" applyAlignment="1">
      <alignment horizontal="center" vertical="center" wrapText="1"/>
    </xf>
    <xf numFmtId="49" fontId="270" fillId="23" borderId="1" xfId="10" applyNumberFormat="1" applyFont="1" applyFill="1" applyBorder="1" applyAlignment="1">
      <alignment horizontal="center" vertical="center" wrapText="1"/>
    </xf>
    <xf numFmtId="0" fontId="269"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49" fontId="269" fillId="0" borderId="1" xfId="10" applyNumberFormat="1" applyFont="1" applyFill="1" applyBorder="1" applyAlignment="1">
      <alignment horizontal="center" vertical="center" wrapText="1"/>
    </xf>
    <xf numFmtId="179" fontId="269" fillId="0" borderId="1" xfId="10" applyNumberFormat="1" applyFont="1" applyFill="1" applyBorder="1" applyAlignment="1">
      <alignment horizontal="center" vertical="center" wrapText="1"/>
    </xf>
    <xf numFmtId="196" fontId="269" fillId="5" borderId="1" xfId="10" applyNumberFormat="1" applyFont="1" applyFill="1" applyBorder="1" applyAlignment="1">
      <alignment horizontal="center" vertical="center" wrapText="1"/>
    </xf>
    <xf numFmtId="196" fontId="269" fillId="0" borderId="1" xfId="10" applyNumberFormat="1" applyFont="1" applyFill="1" applyBorder="1" applyAlignment="1">
      <alignment horizontal="center" vertical="center" wrapText="1"/>
    </xf>
    <xf numFmtId="197" fontId="269" fillId="0" borderId="1" xfId="10" applyNumberFormat="1" applyFont="1" applyFill="1" applyBorder="1" applyAlignment="1">
      <alignment horizontal="center" vertical="center" wrapText="1"/>
    </xf>
    <xf numFmtId="0" fontId="269" fillId="7" borderId="1" xfId="10" applyFont="1" applyFill="1" applyBorder="1" applyAlignment="1">
      <alignment horizontal="center" vertical="center" wrapText="1"/>
    </xf>
    <xf numFmtId="179" fontId="269" fillId="7" borderId="1" xfId="10" applyNumberFormat="1" applyFont="1" applyFill="1" applyBorder="1" applyAlignment="1">
      <alignment horizontal="center" vertical="center" wrapText="1"/>
    </xf>
    <xf numFmtId="196" fontId="269" fillId="7" borderId="1" xfId="10" applyNumberFormat="1" applyFont="1" applyFill="1" applyBorder="1" applyAlignment="1">
      <alignment horizontal="center" vertical="center" wrapText="1"/>
    </xf>
    <xf numFmtId="196" fontId="270" fillId="7" borderId="1" xfId="10" applyNumberFormat="1" applyFont="1" applyFill="1" applyBorder="1" applyAlignment="1">
      <alignment horizontal="center" vertical="center" wrapText="1"/>
    </xf>
    <xf numFmtId="196" fontId="270" fillId="22" borderId="1" xfId="10" applyNumberFormat="1" applyFont="1" applyFill="1" applyBorder="1" applyAlignment="1">
      <alignment horizontal="center" vertical="center" wrapText="1"/>
    </xf>
    <xf numFmtId="196" fontId="269" fillId="0" borderId="1" xfId="10" applyNumberFormat="1" applyFont="1" applyFill="1" applyBorder="1" applyAlignment="1">
      <alignment vertical="center" wrapText="1"/>
    </xf>
    <xf numFmtId="196" fontId="270" fillId="5" borderId="1" xfId="10" applyNumberFormat="1" applyFont="1" applyFill="1" applyBorder="1" applyAlignment="1">
      <alignment vertical="center" wrapText="1"/>
    </xf>
    <xf numFmtId="196" fontId="269" fillId="26" borderId="1" xfId="10" applyNumberFormat="1" applyFont="1" applyFill="1" applyBorder="1" applyAlignment="1">
      <alignment vertical="center" wrapText="1"/>
    </xf>
    <xf numFmtId="196" fontId="270" fillId="23" borderId="1" xfId="10" applyNumberFormat="1" applyFont="1" applyFill="1" applyBorder="1" applyAlignment="1">
      <alignment vertical="center" wrapText="1"/>
    </xf>
    <xf numFmtId="196" fontId="270" fillId="23" borderId="1" xfId="10" applyNumberFormat="1" applyFont="1" applyFill="1" applyBorder="1" applyAlignment="1">
      <alignment horizontal="center" vertical="center" wrapText="1"/>
    </xf>
    <xf numFmtId="0" fontId="271" fillId="28" borderId="1" xfId="10" applyFont="1" applyFill="1" applyBorder="1" applyAlignment="1">
      <alignment horizontal="center" vertical="center" wrapText="1"/>
    </xf>
    <xf numFmtId="14" fontId="269" fillId="0" borderId="1" xfId="10" applyNumberFormat="1" applyFont="1" applyFill="1" applyBorder="1" applyAlignment="1">
      <alignment horizontal="center" vertical="center" wrapText="1"/>
    </xf>
    <xf numFmtId="0" fontId="271" fillId="7" borderId="1" xfId="10" applyFont="1" applyFill="1" applyBorder="1" applyAlignment="1">
      <alignment horizontal="center" vertical="center" wrapText="1"/>
    </xf>
    <xf numFmtId="0" fontId="269" fillId="5" borderId="1" xfId="10" applyFont="1" applyFill="1" applyBorder="1" applyAlignment="1">
      <alignment horizontal="center" vertical="center" wrapText="1"/>
    </xf>
    <xf numFmtId="179" fontId="269" fillId="0" borderId="0" xfId="10" applyNumberFormat="1" applyFont="1" applyFill="1" applyAlignment="1">
      <alignment vertical="center" wrapText="1"/>
    </xf>
    <xf numFmtId="49" fontId="270" fillId="8" borderId="0" xfId="10" applyNumberFormat="1" applyFont="1" applyFill="1" applyAlignment="1">
      <alignment horizontal="right" vertical="center" wrapText="1"/>
    </xf>
    <xf numFmtId="49" fontId="269" fillId="0" borderId="0" xfId="10" applyNumberFormat="1" applyFont="1" applyFill="1" applyAlignment="1">
      <alignment horizontal="right" vertical="center" wrapText="1"/>
    </xf>
    <xf numFmtId="0" fontId="270" fillId="0" borderId="1" xfId="10" applyFont="1" applyFill="1" applyBorder="1" applyAlignment="1">
      <alignment horizontal="center" vertical="center" wrapText="1"/>
    </xf>
    <xf numFmtId="179" fontId="270" fillId="27" borderId="1" xfId="10" applyNumberFormat="1" applyFont="1" applyFill="1" applyBorder="1" applyAlignment="1">
      <alignment horizontal="center" vertical="center" wrapText="1"/>
    </xf>
    <xf numFmtId="179" fontId="269" fillId="0" borderId="1" xfId="10" applyNumberFormat="1" applyFont="1" applyFill="1" applyBorder="1" applyAlignment="1">
      <alignment vertical="center" wrapText="1"/>
    </xf>
    <xf numFmtId="0" fontId="270" fillId="0" borderId="1" xfId="10" applyFont="1" applyFill="1" applyBorder="1" applyAlignment="1">
      <alignment vertical="center" wrapText="1"/>
    </xf>
    <xf numFmtId="196" fontId="270" fillId="0" borderId="1" xfId="10" applyNumberFormat="1" applyFont="1" applyFill="1" applyBorder="1" applyAlignment="1">
      <alignment vertical="center" wrapText="1"/>
    </xf>
    <xf numFmtId="179" fontId="270" fillId="0" borderId="1" xfId="10" applyNumberFormat="1" applyFont="1" applyFill="1" applyBorder="1" applyAlignment="1">
      <alignment vertical="center" wrapText="1"/>
    </xf>
    <xf numFmtId="49" fontId="270" fillId="0" borderId="0" xfId="10" applyNumberFormat="1" applyFont="1" applyFill="1" applyAlignment="1">
      <alignment horizontal="right" vertical="center" wrapText="1"/>
    </xf>
    <xf numFmtId="196" fontId="270" fillId="0" borderId="0" xfId="10" applyNumberFormat="1" applyFont="1" applyFill="1" applyAlignment="1">
      <alignment vertical="center" wrapText="1"/>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8</xdr:col>
      <xdr:colOff>732629</xdr:colOff>
      <xdr:row>48</xdr:row>
      <xdr:rowOff>218944</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6238875"/>
          <a:ext cx="6371429" cy="1047619"/>
        </a:xfrm>
        <a:prstGeom prst="rect">
          <a:avLst/>
        </a:prstGeom>
      </xdr:spPr>
    </xdr:pic>
    <xdr:clientData/>
  </xdr:twoCellAnchor>
  <xdr:twoCellAnchor editAs="oneCell">
    <xdr:from>
      <xdr:col>2</xdr:col>
      <xdr:colOff>0</xdr:colOff>
      <xdr:row>48</xdr:row>
      <xdr:rowOff>200025</xdr:rowOff>
    </xdr:from>
    <xdr:to>
      <xdr:col>8</xdr:col>
      <xdr:colOff>675486</xdr:colOff>
      <xdr:row>71</xdr:row>
      <xdr:rowOff>256374</xdr:rowOff>
    </xdr:to>
    <xdr:pic>
      <xdr:nvPicPr>
        <xdr:cNvPr id="3" name="图片 2"/>
        <xdr:cNvPicPr>
          <a:picLocks noChangeAspect="1"/>
        </xdr:cNvPicPr>
      </xdr:nvPicPr>
      <xdr:blipFill>
        <a:blip xmlns:r="http://schemas.openxmlformats.org/officeDocument/2006/relationships" r:embed="rId2"/>
        <a:stretch>
          <a:fillRect/>
        </a:stretch>
      </xdr:blipFill>
      <xdr:spPr>
        <a:xfrm>
          <a:off x="942975" y="7267575"/>
          <a:ext cx="6314286" cy="6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436896</xdr:colOff>
      <xdr:row>6</xdr:row>
      <xdr:rowOff>57014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38096" cy="1085714"/>
        </a:xfrm>
        <a:prstGeom prst="rect">
          <a:avLst/>
        </a:prstGeom>
      </xdr:spPr>
    </xdr:pic>
    <xdr:clientData/>
  </xdr:twoCellAnchor>
  <xdr:twoCellAnchor editAs="oneCell">
    <xdr:from>
      <xdr:col>0</xdr:col>
      <xdr:colOff>28575</xdr:colOff>
      <xdr:row>6</xdr:row>
      <xdr:rowOff>38100</xdr:rowOff>
    </xdr:from>
    <xdr:to>
      <xdr:col>14</xdr:col>
      <xdr:colOff>484519</xdr:colOff>
      <xdr:row>16</xdr:row>
      <xdr:rowOff>85505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066800"/>
          <a:ext cx="10057144" cy="1761905"/>
        </a:xfrm>
        <a:prstGeom prst="rect">
          <a:avLst/>
        </a:prstGeom>
      </xdr:spPr>
    </xdr:pic>
    <xdr:clientData/>
  </xdr:twoCellAnchor>
  <xdr:twoCellAnchor editAs="oneCell">
    <xdr:from>
      <xdr:col>0</xdr:col>
      <xdr:colOff>0</xdr:colOff>
      <xdr:row>23</xdr:row>
      <xdr:rowOff>0</xdr:rowOff>
    </xdr:from>
    <xdr:to>
      <xdr:col>14</xdr:col>
      <xdr:colOff>294039</xdr:colOff>
      <xdr:row>29</xdr:row>
      <xdr:rowOff>85586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9895239" cy="1114286"/>
        </a:xfrm>
        <a:prstGeom prst="rect">
          <a:avLst/>
        </a:prstGeom>
      </xdr:spPr>
    </xdr:pic>
    <xdr:clientData/>
  </xdr:twoCellAnchor>
  <xdr:twoCellAnchor editAs="oneCell">
    <xdr:from>
      <xdr:col>0</xdr:col>
      <xdr:colOff>0</xdr:colOff>
      <xdr:row>20</xdr:row>
      <xdr:rowOff>95250</xdr:rowOff>
    </xdr:from>
    <xdr:to>
      <xdr:col>3</xdr:col>
      <xdr:colOff>218791</xdr:colOff>
      <xdr:row>23</xdr:row>
      <xdr:rowOff>114233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24250"/>
          <a:ext cx="2276191" cy="533333"/>
        </a:xfrm>
        <a:prstGeom prst="rect">
          <a:avLst/>
        </a:prstGeom>
      </xdr:spPr>
    </xdr:pic>
    <xdr:clientData/>
  </xdr:twoCellAnchor>
  <xdr:twoCellAnchor editAs="oneCell">
    <xdr:from>
      <xdr:col>0</xdr:col>
      <xdr:colOff>0</xdr:colOff>
      <xdr:row>28</xdr:row>
      <xdr:rowOff>152400</xdr:rowOff>
    </xdr:from>
    <xdr:to>
      <xdr:col>1</xdr:col>
      <xdr:colOff>323724</xdr:colOff>
      <xdr:row>31</xdr:row>
      <xdr:rowOff>123764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53000"/>
          <a:ext cx="1009524" cy="485714"/>
        </a:xfrm>
        <a:prstGeom prst="rect">
          <a:avLst/>
        </a:prstGeom>
      </xdr:spPr>
    </xdr:pic>
    <xdr:clientData/>
  </xdr:twoCellAnchor>
  <xdr:twoCellAnchor editAs="oneCell">
    <xdr:from>
      <xdr:col>0</xdr:col>
      <xdr:colOff>0</xdr:colOff>
      <xdr:row>32</xdr:row>
      <xdr:rowOff>0</xdr:rowOff>
    </xdr:from>
    <xdr:to>
      <xdr:col>14</xdr:col>
      <xdr:colOff>313086</xdr:colOff>
      <xdr:row>37</xdr:row>
      <xdr:rowOff>66560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0"/>
          <a:ext cx="9914286" cy="923810"/>
        </a:xfrm>
        <a:prstGeom prst="rect">
          <a:avLst/>
        </a:prstGeom>
      </xdr:spPr>
    </xdr:pic>
    <xdr:clientData/>
  </xdr:twoCellAnchor>
  <xdr:twoCellAnchor editAs="oneCell">
    <xdr:from>
      <xdr:col>0</xdr:col>
      <xdr:colOff>0</xdr:colOff>
      <xdr:row>38</xdr:row>
      <xdr:rowOff>0</xdr:rowOff>
    </xdr:from>
    <xdr:to>
      <xdr:col>3</xdr:col>
      <xdr:colOff>552124</xdr:colOff>
      <xdr:row>41</xdr:row>
      <xdr:rowOff>18983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2609524" cy="533333"/>
        </a:xfrm>
        <a:prstGeom prst="rect">
          <a:avLst/>
        </a:prstGeom>
      </xdr:spPr>
    </xdr:pic>
    <xdr:clientData/>
  </xdr:twoCellAnchor>
  <xdr:twoCellAnchor editAs="oneCell">
    <xdr:from>
      <xdr:col>0</xdr:col>
      <xdr:colOff>0</xdr:colOff>
      <xdr:row>42</xdr:row>
      <xdr:rowOff>0</xdr:rowOff>
    </xdr:from>
    <xdr:to>
      <xdr:col>14</xdr:col>
      <xdr:colOff>341658</xdr:colOff>
      <xdr:row>55</xdr:row>
      <xdr:rowOff>104483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200900"/>
          <a:ext cx="9942858" cy="2333333"/>
        </a:xfrm>
        <a:prstGeom prst="rect">
          <a:avLst/>
        </a:prstGeom>
      </xdr:spPr>
    </xdr:pic>
    <xdr:clientData/>
  </xdr:twoCellAnchor>
  <xdr:twoCellAnchor editAs="oneCell">
    <xdr:from>
      <xdr:col>0</xdr:col>
      <xdr:colOff>0</xdr:colOff>
      <xdr:row>56</xdr:row>
      <xdr:rowOff>0</xdr:rowOff>
    </xdr:from>
    <xdr:to>
      <xdr:col>2</xdr:col>
      <xdr:colOff>666495</xdr:colOff>
      <xdr:row>59</xdr:row>
      <xdr:rowOff>104698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601200"/>
          <a:ext cx="2038095" cy="619048"/>
        </a:xfrm>
        <a:prstGeom prst="rect">
          <a:avLst/>
        </a:prstGeom>
      </xdr:spPr>
    </xdr:pic>
    <xdr:clientData/>
  </xdr:twoCellAnchor>
  <xdr:twoCellAnchor editAs="oneCell">
    <xdr:from>
      <xdr:col>0</xdr:col>
      <xdr:colOff>0</xdr:colOff>
      <xdr:row>60</xdr:row>
      <xdr:rowOff>0</xdr:rowOff>
    </xdr:from>
    <xdr:to>
      <xdr:col>14</xdr:col>
      <xdr:colOff>427372</xdr:colOff>
      <xdr:row>65</xdr:row>
      <xdr:rowOff>142750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287000"/>
          <a:ext cx="10028572" cy="1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28517</xdr:rowOff>
    </xdr:from>
    <xdr:to>
      <xdr:col>8</xdr:col>
      <xdr:colOff>342900</xdr:colOff>
      <xdr:row>33</xdr:row>
      <xdr:rowOff>56220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667"/>
          <a:ext cx="5829300" cy="4485403"/>
        </a:xfrm>
        <a:prstGeom prst="rect">
          <a:avLst/>
        </a:prstGeom>
      </xdr:spPr>
    </xdr:pic>
    <xdr:clientData/>
  </xdr:twoCellAnchor>
  <xdr:twoCellAnchor editAs="oneCell">
    <xdr:from>
      <xdr:col>8</xdr:col>
      <xdr:colOff>266700</xdr:colOff>
      <xdr:row>7</xdr:row>
      <xdr:rowOff>0</xdr:rowOff>
    </xdr:from>
    <xdr:to>
      <xdr:col>17</xdr:col>
      <xdr:colOff>491691</xdr:colOff>
      <xdr:row>35</xdr:row>
      <xdr:rowOff>75308</xdr:rowOff>
    </xdr:to>
    <xdr:pic>
      <xdr:nvPicPr>
        <xdr:cNvPr id="4" name="图片 3"/>
        <xdr:cNvPicPr>
          <a:picLocks noChangeAspect="1"/>
        </xdr:cNvPicPr>
      </xdr:nvPicPr>
      <xdr:blipFill>
        <a:blip xmlns:r="http://schemas.openxmlformats.org/officeDocument/2006/relationships" r:embed="rId2"/>
        <a:stretch>
          <a:fillRect/>
        </a:stretch>
      </xdr:blipFill>
      <xdr:spPr>
        <a:xfrm>
          <a:off x="5753100" y="1200150"/>
          <a:ext cx="6397191" cy="4875908"/>
        </a:xfrm>
        <a:prstGeom prst="rect">
          <a:avLst/>
        </a:prstGeom>
      </xdr:spPr>
    </xdr:pic>
    <xdr:clientData/>
  </xdr:twoCellAnchor>
  <xdr:twoCellAnchor editAs="oneCell">
    <xdr:from>
      <xdr:col>17</xdr:col>
      <xdr:colOff>466724</xdr:colOff>
      <xdr:row>5</xdr:row>
      <xdr:rowOff>166077</xdr:rowOff>
    </xdr:from>
    <xdr:to>
      <xdr:col>25</xdr:col>
      <xdr:colOff>265659</xdr:colOff>
      <xdr:row>33</xdr:row>
      <xdr:rowOff>160981</xdr:rowOff>
    </xdr:to>
    <xdr:pic>
      <xdr:nvPicPr>
        <xdr:cNvPr id="5" name="图片 4"/>
        <xdr:cNvPicPr>
          <a:picLocks noChangeAspect="1"/>
        </xdr:cNvPicPr>
      </xdr:nvPicPr>
      <xdr:blipFill>
        <a:blip xmlns:r="http://schemas.openxmlformats.org/officeDocument/2006/relationships" r:embed="rId3"/>
        <a:stretch>
          <a:fillRect/>
        </a:stretch>
      </xdr:blipFill>
      <xdr:spPr>
        <a:xfrm>
          <a:off x="12125324" y="1023327"/>
          <a:ext cx="5285335" cy="4795504"/>
        </a:xfrm>
        <a:prstGeom prst="rect">
          <a:avLst/>
        </a:prstGeom>
      </xdr:spPr>
    </xdr:pic>
    <xdr:clientData/>
  </xdr:twoCellAnchor>
  <xdr:twoCellAnchor editAs="oneCell">
    <xdr:from>
      <xdr:col>0</xdr:col>
      <xdr:colOff>0</xdr:colOff>
      <xdr:row>36</xdr:row>
      <xdr:rowOff>123825</xdr:rowOff>
    </xdr:from>
    <xdr:to>
      <xdr:col>15</xdr:col>
      <xdr:colOff>265382</xdr:colOff>
      <xdr:row>73</xdr:row>
      <xdr:rowOff>46842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6296025"/>
          <a:ext cx="10552382" cy="6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北京市门头沟区城子大街90号院17号楼1层17-2房地产抵押价值预评估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受贵公司委托，我公司对北京市门头沟区城子大街90号院17号楼1层17-2房地产抵押价值进行了预评估。</v>
      </c>
    </row>
    <row r="7" spans="1:2" s="1202" customFormat="1">
      <c r="A7" s="1200" t="s">
        <v>566</v>
      </c>
      <c r="B7" s="1201" t="str">
        <f>'预评函-1'!A7</f>
        <v>估价对象为北京市门头沟区城子大街90号院17号楼1层17-2房地产，为所有。根据《国有土地使用证》[]，估价对象（分摊）出让国有建设用地使用权面积为0平方米，建筑面积为499.53平方米。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门头沟区城子大街90号院17号楼1层17-2房地产,属开发建设的，该项目尚在开发建设中。根据《国有土地使用证》[]，估价对象（分摊）出让国有建设用地使用权面积为0平方米，规划建筑面积为499.53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2023年5月12日（评估专业人员实地查勘之日）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1349</v>
      </c>
    </row>
    <row r="21" spans="1:2" s="1202" customFormat="1">
      <c r="A21" s="1200" t="s">
        <v>537</v>
      </c>
      <c r="B21" s="1201">
        <f ca="1">'预评函-2'!D7</f>
        <v>27008</v>
      </c>
    </row>
    <row r="22" spans="1:2" s="1202" customFormat="1">
      <c r="A22" s="1200" t="s">
        <v>538</v>
      </c>
      <c r="B22" s="1201" t="str">
        <f ca="1">'预评函-2'!D6</f>
        <v>壹仟叁佰肆拾玖万元整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1349</v>
      </c>
    </row>
    <row r="31" spans="1:2" s="1202" customFormat="1">
      <c r="A31" s="1200" t="s">
        <v>576</v>
      </c>
      <c r="B31" s="1201">
        <f ca="1">'预评函-2'!D15</f>
        <v>27008</v>
      </c>
    </row>
    <row r="32" spans="1:2" s="1202" customFormat="1">
      <c r="A32" s="1200" t="s">
        <v>543</v>
      </c>
      <c r="B32" s="1201" t="str">
        <f ca="1">'预评函-2'!D14</f>
        <v>壹仟叁佰肆拾玖万元整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1285</v>
      </c>
    </row>
    <row r="39" spans="1:2" s="1202" customFormat="1">
      <c r="A39" s="1200" t="s">
        <v>545</v>
      </c>
      <c r="B39" s="1201">
        <f ca="1">'预评函-2'!D21</f>
        <v>25724</v>
      </c>
    </row>
    <row r="40" spans="1:2" s="1202" customFormat="1">
      <c r="A40" s="1200" t="s">
        <v>546</v>
      </c>
      <c r="B40" s="1201" t="str">
        <f ca="1">'预评函-2'!D20</f>
        <v>壹仟贰佰捌拾伍万元整</v>
      </c>
    </row>
    <row r="41" spans="1:2" s="1202" customFormat="1">
      <c r="A41" s="1200" t="s">
        <v>592</v>
      </c>
      <c r="B41" s="1201" t="str">
        <f>'预评函-3'!A4</f>
        <v>北京市门头沟区城子大街90号院17号楼1层17-2房地产</v>
      </c>
    </row>
    <row r="42" spans="1:2" s="1202" customFormat="1">
      <c r="A42" s="1200" t="s">
        <v>590</v>
      </c>
      <c r="B42" s="1201" t="str">
        <f>'预评函-3'!B2</f>
        <v>建筑面积</v>
      </c>
    </row>
    <row r="43" spans="1:2" s="1202" customFormat="1">
      <c r="A43" s="1200" t="s">
        <v>591</v>
      </c>
      <c r="B43" s="1201">
        <f>'预评函-3'!B4</f>
        <v>499.53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973</v>
      </c>
    </row>
    <row r="48" spans="1:2" s="1202" customFormat="1">
      <c r="A48" s="1200" t="s">
        <v>549</v>
      </c>
      <c r="B48" s="1201">
        <f ca="1">'预评函-3'!E4</f>
        <v>19473</v>
      </c>
    </row>
    <row r="49" spans="1:2" s="1202" customFormat="1">
      <c r="A49" s="1200" t="s">
        <v>550</v>
      </c>
      <c r="B49" s="1201" t="str">
        <f ca="1">'预评函-3'!D5</f>
        <v>玖佰柒拾叁万元整</v>
      </c>
    </row>
    <row r="50" spans="1:2" s="1202" customFormat="1">
      <c r="A50" s="1200" t="s">
        <v>574</v>
      </c>
      <c r="B50" s="1201" t="str">
        <f>'预评函-3'!F2</f>
        <v>在建建筑物价值</v>
      </c>
    </row>
    <row r="51" spans="1:2" s="1202" customFormat="1">
      <c r="A51" s="1200" t="s">
        <v>551</v>
      </c>
      <c r="B51" s="1201">
        <f ca="1">'预评函-3'!F4</f>
        <v>376</v>
      </c>
    </row>
    <row r="52" spans="1:2" s="1202" customFormat="1">
      <c r="A52" s="1200" t="s">
        <v>552</v>
      </c>
      <c r="B52" s="1201">
        <f ca="1">'预评函-3'!G4</f>
        <v>7535</v>
      </c>
    </row>
    <row r="53" spans="1:2" s="1202" customFormat="1">
      <c r="A53" s="1200" t="s">
        <v>580</v>
      </c>
      <c r="B53" s="1201" t="str">
        <f ca="1">'预评函-3'!F5</f>
        <v>叁佰柒拾陆万元整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2571</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2572</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0" t="s">
        <v>2587</v>
      </c>
      <c r="J1" s="3219"/>
      <c r="K1" s="3219"/>
      <c r="L1" s="3219"/>
      <c r="M1" s="3219"/>
      <c r="N1" s="3431"/>
      <c r="O1" s="3431"/>
      <c r="P1" s="3431"/>
      <c r="Q1" s="3431"/>
      <c r="R1" s="3431"/>
    </row>
    <row r="2" spans="1:18">
      <c r="A2" s="3010"/>
      <c r="B2" s="3011"/>
      <c r="C2" s="3011"/>
      <c r="D2" s="3011"/>
      <c r="E2" s="3011"/>
      <c r="F2" s="3012"/>
      <c r="I2" s="3502" t="s">
        <v>2574</v>
      </c>
      <c r="J2" s="3502"/>
      <c r="K2" s="3502"/>
      <c r="L2" s="3502"/>
      <c r="M2" s="3502"/>
      <c r="N2" s="3502"/>
      <c r="O2" s="3502"/>
      <c r="P2" s="3502"/>
      <c r="Q2" s="3502"/>
      <c r="R2" s="3502"/>
    </row>
    <row r="3" spans="1:18">
      <c r="A3" s="3013" t="s">
        <v>2495</v>
      </c>
      <c r="B3" s="3014">
        <f>项目基本情况!D3</f>
        <v>45058</v>
      </c>
      <c r="C3" s="3016"/>
      <c r="D3" s="3016"/>
      <c r="E3" s="3016"/>
      <c r="F3" s="3012"/>
      <c r="I3" s="3432"/>
      <c r="J3" s="3432" t="s">
        <v>2578</v>
      </c>
      <c r="K3" s="3432" t="s">
        <v>2579</v>
      </c>
      <c r="L3" s="3432" t="s">
        <v>2580</v>
      </c>
      <c r="M3" s="3432" t="s">
        <v>2581</v>
      </c>
      <c r="N3" s="3433" t="s">
        <v>2582</v>
      </c>
      <c r="O3" s="3433" t="s">
        <v>2583</v>
      </c>
      <c r="P3" s="3433" t="s">
        <v>2584</v>
      </c>
      <c r="Q3" s="3433" t="s">
        <v>2585</v>
      </c>
      <c r="R3" s="3433" t="s">
        <v>2586</v>
      </c>
    </row>
    <row r="4" spans="1:18">
      <c r="A4" s="3013" t="s">
        <v>2496</v>
      </c>
      <c r="B4" s="3016" t="s">
        <v>2497</v>
      </c>
      <c r="C4" s="3016" t="s">
        <v>2498</v>
      </c>
      <c r="D4" s="3016" t="s">
        <v>2499</v>
      </c>
      <c r="E4" s="3016" t="s">
        <v>2500</v>
      </c>
      <c r="F4" s="3012"/>
      <c r="I4" s="3432" t="s">
        <v>2575</v>
      </c>
      <c r="J4" s="3432">
        <v>80</v>
      </c>
      <c r="K4" s="3432">
        <v>70</v>
      </c>
      <c r="L4" s="3432">
        <v>20</v>
      </c>
      <c r="M4" s="3432">
        <v>30</v>
      </c>
      <c r="N4" s="3016">
        <v>45</v>
      </c>
      <c r="O4" s="3016">
        <v>60</v>
      </c>
      <c r="P4" s="3016">
        <v>50</v>
      </c>
      <c r="Q4" s="3016">
        <v>20</v>
      </c>
      <c r="R4" s="3016">
        <v>375</v>
      </c>
    </row>
    <row r="5" spans="1:18">
      <c r="A5" s="3017">
        <v>40</v>
      </c>
      <c r="B5" s="3014">
        <v>46375</v>
      </c>
      <c r="C5" s="3016">
        <f>ROUNDDOWN(MIN((B5-B3)/365,A5),2)</f>
        <v>3.6</v>
      </c>
      <c r="D5" s="3018">
        <f>IF(ISERROR(ROUND(POWER(1+E5,A5-C5)*(POWER(1+E5,C5)-1)/(POWER(1+E5,A5)-1),3)),0,ROUND(POWER(1+E5,A5-C5)*(POWER(1+E5,C5)-1)/(POWER(1+E5,A5)-1),4))</f>
        <v>0.1663</v>
      </c>
      <c r="E5" s="3019">
        <v>0.04</v>
      </c>
      <c r="F5" s="3012"/>
      <c r="I5" s="3432" t="s">
        <v>2576</v>
      </c>
      <c r="J5" s="3432">
        <v>70</v>
      </c>
      <c r="K5" s="3432">
        <v>60</v>
      </c>
      <c r="L5" s="3432">
        <v>15</v>
      </c>
      <c r="M5" s="3432">
        <v>25</v>
      </c>
      <c r="N5" s="3016">
        <v>40</v>
      </c>
      <c r="O5" s="3016">
        <v>50</v>
      </c>
      <c r="P5" s="3016">
        <v>40</v>
      </c>
      <c r="Q5" s="3016">
        <v>15</v>
      </c>
      <c r="R5" s="3016">
        <v>315</v>
      </c>
    </row>
    <row r="6" spans="1:18">
      <c r="A6" s="3017">
        <v>50</v>
      </c>
      <c r="B6" s="3014">
        <v>50028</v>
      </c>
      <c r="C6" s="3016">
        <f>ROUNDDOWN(MIN((B6-B3)/365,A6),2)</f>
        <v>13.61</v>
      </c>
      <c r="D6" s="3018">
        <f>IF(ISERROR(ROUND(POWER(1+E6,A6-C6)*(POWER(1+E6,C6)-1)/(POWER(1+E6,A6)-1),3)),0,ROUND(POWER(1+E6,A6-C6)*(POWER(1+E6,C6)-1)/(POWER(1+E6,A6)-1),4))</f>
        <v>0.48139999999999999</v>
      </c>
      <c r="E6" s="3019">
        <v>0.04</v>
      </c>
      <c r="F6" s="3012"/>
      <c r="I6" s="3432" t="s">
        <v>2577</v>
      </c>
      <c r="J6" s="3432">
        <v>60</v>
      </c>
      <c r="K6" s="3432">
        <v>50</v>
      </c>
      <c r="L6" s="3432">
        <v>10</v>
      </c>
      <c r="M6" s="3432">
        <v>20</v>
      </c>
      <c r="N6" s="3016">
        <v>35</v>
      </c>
      <c r="O6" s="3016">
        <v>40</v>
      </c>
      <c r="P6" s="3016">
        <v>30</v>
      </c>
      <c r="Q6" s="3016">
        <v>10</v>
      </c>
      <c r="R6" s="3016">
        <v>255</v>
      </c>
    </row>
    <row r="7" spans="1:18">
      <c r="A7" s="3017">
        <v>70</v>
      </c>
      <c r="B7" s="3014">
        <v>57333</v>
      </c>
      <c r="C7" s="3016">
        <f>ROUNDDOWN(MIN((B7-B3)/365,A7),2)</f>
        <v>33.630000000000003</v>
      </c>
      <c r="D7" s="3018">
        <f>IF(ISERROR(ROUND(POWER(1+E7,A7-C7)*(POWER(1+E7,C7)-1)/(POWER(1+E7,A7)-1),3)),0,ROUND(POWER(1+E7,A7-C7)*(POWER(1+E7,C7)-1)/(POWER(1+E7,A7)-1),4))</f>
        <v>0.78290000000000004</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1" customWidth="1"/>
    <col min="12" max="13" width="10" style="2622"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1" t="str">
        <f>IF(B10="北京市","北京市",C10)&amp;F10&amp;IF(结果表!G1="在建","出让国有建设用地使用权及在建建筑物",IF(结果表!G1="土地","出让国有建设用地使用权",))&amp;B9&amp;"预评估"</f>
        <v>北京市门头沟区城子大街90号院17号楼1层17-2房地产抵押价值预评估</v>
      </c>
      <c r="C1" s="3512"/>
      <c r="D1" s="3512"/>
      <c r="E1" s="3512"/>
      <c r="F1" s="3512"/>
      <c r="G1" s="3512"/>
      <c r="H1" s="3512"/>
      <c r="I1" s="3513"/>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北京市门头沟区城子大街90号院17号楼1层17-2房地产抵押价值</v>
      </c>
      <c r="T1" s="1744"/>
      <c r="U1" s="1744"/>
      <c r="V1" s="1744"/>
      <c r="W1" s="1744"/>
      <c r="X1" s="1744"/>
      <c r="Y1" s="1744"/>
      <c r="Z1" s="1744"/>
      <c r="AA1" s="1744"/>
      <c r="AB1" s="1744"/>
    </row>
    <row r="2" spans="1:30">
      <c r="A2" s="2366" t="s">
        <v>2167</v>
      </c>
      <c r="B2" s="2370"/>
      <c r="C2" s="2371"/>
      <c r="D2" s="2663"/>
      <c r="E2" s="2655"/>
      <c r="F2" s="2655"/>
      <c r="G2" s="2656"/>
      <c r="H2" s="2656"/>
      <c r="I2" s="2656"/>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北京市门头沟区城子大街90号院17号楼1层17-2房地产</v>
      </c>
      <c r="T2" s="1744"/>
      <c r="U2" s="1744"/>
      <c r="V2" s="1744"/>
      <c r="W2" s="1744"/>
      <c r="X2" s="1744"/>
      <c r="Y2" s="1744"/>
      <c r="Z2" s="1744"/>
      <c r="AA2" s="1744"/>
      <c r="AB2" s="1744"/>
    </row>
    <row r="3" spans="1:30">
      <c r="A3" s="302" t="s">
        <v>2168</v>
      </c>
      <c r="B3" s="2372">
        <v>45058</v>
      </c>
      <c r="C3" s="2373" t="s">
        <v>2169</v>
      </c>
      <c r="D3" s="2372">
        <f>B3</f>
        <v>45058</v>
      </c>
      <c r="E3" s="2656"/>
      <c r="F3" s="2656"/>
      <c r="G3" s="2656"/>
      <c r="H3" s="2656"/>
      <c r="I3" s="2656"/>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3369</v>
      </c>
      <c r="C4" s="2375">
        <f ca="1">SUMIF(注册房地产估价师,B4,估价师及机构信息!B3:B24)</f>
        <v>1120070131</v>
      </c>
      <c r="D4" s="2374" t="s">
        <v>3370</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57"/>
      <c r="F5" s="2657"/>
      <c r="G5" s="2657"/>
      <c r="H5" s="2657"/>
      <c r="I5" s="2657"/>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55"/>
      <c r="F6" s="2657"/>
      <c r="G6" s="2657"/>
      <c r="H6" s="2657"/>
      <c r="I6" s="2657"/>
      <c r="J6" s="2438"/>
      <c r="K6" s="2608" t="str">
        <f>IF(COUNTIF(B6,"*上海银行*"),"上海银行","")</f>
        <v/>
      </c>
      <c r="L6" s="2606"/>
      <c r="M6" s="2606"/>
      <c r="N6" s="2438"/>
      <c r="O6" s="2449"/>
      <c r="P6" s="2438"/>
      <c r="Q6" s="2438"/>
      <c r="R6" s="2438"/>
    </row>
    <row r="7" spans="1:30">
      <c r="A7" s="2382" t="s">
        <v>2173</v>
      </c>
      <c r="B7" s="2386"/>
      <c r="C7" s="2384"/>
      <c r="D7" s="2385"/>
      <c r="E7" s="2655"/>
      <c r="F7" s="2657"/>
      <c r="G7" s="2657"/>
      <c r="H7" s="2657"/>
      <c r="I7" s="2657"/>
      <c r="J7" s="2438"/>
      <c r="K7" s="2609"/>
      <c r="L7" s="2606"/>
      <c r="M7" s="2606"/>
      <c r="N7" s="2438"/>
      <c r="O7" s="2449"/>
      <c r="P7" s="2438"/>
      <c r="Q7" s="2438"/>
      <c r="R7" s="2438"/>
    </row>
    <row r="8" spans="1:30">
      <c r="A8" s="2387" t="s">
        <v>2174</v>
      </c>
      <c r="B8" s="2388" t="s">
        <v>3371</v>
      </c>
      <c r="C8" s="2389"/>
      <c r="D8" s="3514" t="s">
        <v>2175</v>
      </c>
      <c r="E8" s="2390" t="s">
        <v>3372</v>
      </c>
      <c r="F8" s="2391"/>
      <c r="G8" s="2656"/>
      <c r="H8" s="2656"/>
      <c r="I8" s="2656"/>
      <c r="J8" s="2438"/>
      <c r="K8" s="2607"/>
      <c r="L8" s="2606"/>
      <c r="M8" s="2606"/>
      <c r="N8" s="2438"/>
      <c r="O8" s="2449"/>
      <c r="P8" s="2438"/>
      <c r="Q8" s="2438"/>
      <c r="R8" s="2438"/>
    </row>
    <row r="9" spans="1:30" ht="13.5" thickBot="1">
      <c r="A9" s="2392" t="s">
        <v>2176</v>
      </c>
      <c r="B9" s="2393" t="s">
        <v>3372</v>
      </c>
      <c r="C9" s="2394"/>
      <c r="D9" s="3515"/>
      <c r="E9" s="2393" t="s">
        <v>587</v>
      </c>
      <c r="F9" s="2395"/>
      <c r="G9" s="2658"/>
      <c r="H9" s="2658"/>
      <c r="I9" s="2658"/>
      <c r="J9" s="2438"/>
      <c r="K9" s="2609"/>
      <c r="L9" s="2606"/>
      <c r="M9" s="2606"/>
      <c r="N9" s="2438"/>
      <c r="O9" s="2449"/>
      <c r="P9" s="2438"/>
      <c r="Q9" s="2438"/>
      <c r="R9" s="2438"/>
    </row>
    <row r="10" spans="1:30" ht="13.5" thickTop="1">
      <c r="A10" s="2396" t="s">
        <v>2177</v>
      </c>
      <c r="B10" s="2397" t="s">
        <v>3373</v>
      </c>
      <c r="C10" s="2398"/>
      <c r="D10" s="2381"/>
      <c r="E10" s="2399" t="s">
        <v>2178</v>
      </c>
      <c r="F10" s="2659" t="s">
        <v>3374</v>
      </c>
      <c r="G10" s="2660"/>
      <c r="H10" s="2661"/>
      <c r="I10" s="2662"/>
      <c r="J10" s="2438"/>
      <c r="K10" s="2609"/>
      <c r="L10" s="2606"/>
      <c r="M10" s="2606"/>
      <c r="N10" s="2438"/>
      <c r="O10" s="2449"/>
      <c r="P10" s="2438"/>
      <c r="Q10" s="2438"/>
      <c r="R10" s="2438"/>
    </row>
    <row r="11" spans="1:30">
      <c r="A11" s="2400" t="s">
        <v>2179</v>
      </c>
      <c r="B11" s="2401" t="s">
        <v>3375</v>
      </c>
      <c r="C11" s="2402"/>
      <c r="D11" s="2403"/>
      <c r="E11" s="2369"/>
      <c r="F11" s="2369"/>
      <c r="G11" s="2369"/>
      <c r="H11" s="2369"/>
      <c r="I11" s="2369"/>
      <c r="J11" s="3054"/>
      <c r="K11" s="3053"/>
      <c r="L11" s="2606"/>
      <c r="M11" s="2606"/>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2" t="s">
        <v>2570</v>
      </c>
      <c r="J12" s="3055"/>
      <c r="K12" s="2606"/>
      <c r="L12" s="2606"/>
      <c r="M12" s="2438"/>
      <c r="N12" s="2449"/>
      <c r="O12" s="2438"/>
      <c r="P12" s="2438"/>
      <c r="Q12" s="2438"/>
      <c r="AD12" s="1744"/>
    </row>
    <row r="13" spans="1:30">
      <c r="A13" s="3416" t="s">
        <v>3328</v>
      </c>
      <c r="B13" s="2406" t="s">
        <v>2188</v>
      </c>
      <c r="C13" s="855"/>
      <c r="D13" s="855">
        <v>57056</v>
      </c>
      <c r="E13" s="855"/>
      <c r="F13" s="855"/>
      <c r="G13" s="855"/>
      <c r="H13" s="855"/>
      <c r="I13" s="855">
        <v>47238</v>
      </c>
      <c r="J13" s="3055"/>
      <c r="K13" s="2606"/>
      <c r="L13" s="2606"/>
      <c r="M13" s="2438"/>
      <c r="N13" s="2449"/>
      <c r="O13" s="2438"/>
      <c r="P13" s="2438"/>
      <c r="Q13" s="2438"/>
      <c r="AD13" s="1744"/>
    </row>
    <row r="14" spans="1:30">
      <c r="A14" s="1080"/>
      <c r="B14" s="2406" t="s">
        <v>2189</v>
      </c>
      <c r="C14" s="2407"/>
      <c r="D14" s="2407">
        <v>40</v>
      </c>
      <c r="E14" s="2407"/>
      <c r="F14" s="2407"/>
      <c r="G14" s="2407"/>
      <c r="H14" s="2407"/>
      <c r="I14" s="2407"/>
      <c r="J14" s="3056"/>
      <c r="K14" s="2606"/>
      <c r="L14" s="2606"/>
      <c r="M14" s="2438"/>
      <c r="N14" s="2449"/>
      <c r="O14" s="2438"/>
      <c r="P14" s="2438"/>
      <c r="Q14" s="2438"/>
      <c r="AD14" s="1744"/>
    </row>
    <row r="15" spans="1:30">
      <c r="A15" s="320"/>
      <c r="B15" s="2408" t="s">
        <v>2190</v>
      </c>
      <c r="C15" s="2409" t="str">
        <f>IF(A13="出让",IF(C13="","",ROUNDDOWN(MIN((C13-$D$3)/365,C14),2)),C14)</f>
        <v/>
      </c>
      <c r="D15" s="2409">
        <f>IF(A13="出让",IF(D13="","",ROUNDDOWN(MIN((D13-$D$3)/365,D14),2)),D14)</f>
        <v>32.869999999999997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5.97</v>
      </c>
      <c r="J15" s="3057"/>
      <c r="K15" s="2450"/>
      <c r="L15" s="2450"/>
      <c r="M15" s="2506"/>
      <c r="N15" s="2450"/>
      <c r="O15" s="2506"/>
      <c r="P15" s="2438"/>
      <c r="Q15" s="2438"/>
      <c r="AD15" s="1744"/>
    </row>
    <row r="16" spans="1:30">
      <c r="A16" s="2399" t="s">
        <v>2191</v>
      </c>
      <c r="B16" s="3521"/>
      <c r="C16" s="3522"/>
      <c r="D16" s="3523"/>
      <c r="E16" s="2412" t="s">
        <v>2192</v>
      </c>
      <c r="F16" s="3524"/>
      <c r="G16" s="3525"/>
      <c r="H16" s="3525"/>
      <c r="I16" s="3526"/>
      <c r="J16" s="2438"/>
      <c r="K16" s="2610"/>
      <c r="L16" s="2450"/>
      <c r="M16" s="2450"/>
      <c r="N16" s="2506"/>
      <c r="O16" s="2450"/>
      <c r="P16" s="2506"/>
      <c r="Q16" s="2438"/>
      <c r="R16" s="2438"/>
    </row>
    <row r="17" spans="1:28">
      <c r="A17" s="313" t="s">
        <v>2193</v>
      </c>
      <c r="B17" s="302" t="s">
        <v>2194</v>
      </c>
      <c r="C17" s="8">
        <f>'数据-汇总表'!E3</f>
        <v>499.53</v>
      </c>
      <c r="D17" s="2321" t="s">
        <v>2195</v>
      </c>
      <c r="E17" s="3527" t="s">
        <v>2196</v>
      </c>
      <c r="F17" s="3528"/>
      <c r="G17" s="3528"/>
      <c r="H17" s="3528"/>
      <c r="I17" s="3529"/>
      <c r="J17" s="2438"/>
      <c r="K17" s="2611"/>
      <c r="L17" s="2450"/>
      <c r="M17" s="2450"/>
      <c r="N17" s="2506"/>
      <c r="O17" s="2450"/>
      <c r="P17" s="2506"/>
      <c r="Q17" s="2438"/>
      <c r="R17" s="2438"/>
      <c r="S17" s="2438"/>
      <c r="T17" s="2438"/>
      <c r="U17" s="2438"/>
      <c r="V17" s="2438"/>
    </row>
    <row r="18" spans="1:28" ht="24.75" thickBot="1">
      <c r="A18" s="2413" t="s">
        <v>2197</v>
      </c>
      <c r="B18" s="1089" t="s">
        <v>2198</v>
      </c>
      <c r="C18" s="2414">
        <f>'数据-汇总表'!D3</f>
        <v>0</v>
      </c>
      <c r="D18" s="1091" t="s">
        <v>2199</v>
      </c>
      <c r="E18" s="3530" t="s">
        <v>2200</v>
      </c>
      <c r="F18" s="3531"/>
      <c r="G18" s="3531"/>
      <c r="H18" s="3531"/>
      <c r="I18" s="3532"/>
      <c r="J18" s="2438"/>
      <c r="K18" s="2611"/>
      <c r="L18" s="2450"/>
      <c r="M18" s="2450"/>
      <c r="N18" s="2506"/>
      <c r="O18" s="2450"/>
      <c r="P18" s="2506"/>
      <c r="Q18" s="2438"/>
      <c r="R18" s="2438"/>
      <c r="S18" s="2438"/>
      <c r="T18" s="2438"/>
      <c r="U18" s="2438"/>
      <c r="V18" s="2438"/>
    </row>
    <row r="19" spans="1:28" ht="37.5" thickTop="1" thickBot="1">
      <c r="A19" s="327" t="s">
        <v>1055</v>
      </c>
      <c r="B19" s="307" t="s">
        <v>2201</v>
      </c>
      <c r="C19" s="1562"/>
      <c r="D19" s="1563" t="s">
        <v>2202</v>
      </c>
      <c r="E19" s="1564"/>
      <c r="F19" s="1565" t="str">
        <f>IF(AND(C19="是",E19="否"),"是否提供他项权证或相关说明","")</f>
        <v/>
      </c>
      <c r="G19" s="1566"/>
      <c r="H19" s="2657"/>
      <c r="I19" s="2657"/>
      <c r="J19" s="2438"/>
      <c r="K19" s="2609"/>
      <c r="L19" s="2606"/>
      <c r="M19" s="2606"/>
      <c r="N19" s="2506"/>
      <c r="O19" s="2450"/>
      <c r="P19" s="2506"/>
      <c r="Q19" s="2438"/>
      <c r="R19" s="2438"/>
      <c r="S19" s="2438"/>
      <c r="T19" s="2438"/>
      <c r="U19" s="2438"/>
      <c r="V19" s="2438"/>
    </row>
    <row r="20" spans="1:28">
      <c r="A20" s="2625" t="s">
        <v>2203</v>
      </c>
      <c r="B20" s="3517" t="s">
        <v>2204</v>
      </c>
      <c r="C20" s="3518"/>
      <c r="D20" s="3519" t="s">
        <v>2205</v>
      </c>
      <c r="E20" s="3520"/>
      <c r="F20" s="2640" t="s">
        <v>1056</v>
      </c>
      <c r="G20" s="2657"/>
      <c r="H20" s="2657"/>
      <c r="I20" s="2657"/>
      <c r="J20" s="2438"/>
      <c r="K20" s="3516"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5"/>
      <c r="B21" s="2626" t="s">
        <v>3376</v>
      </c>
      <c r="C21" s="2627" t="s">
        <v>3377</v>
      </c>
      <c r="D21" s="1567"/>
      <c r="E21" s="2628"/>
      <c r="F21" s="2641"/>
      <c r="G21" s="2657"/>
      <c r="H21" s="2657"/>
      <c r="I21" s="2657"/>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5"/>
      <c r="B22" s="2629"/>
      <c r="C22" s="2627"/>
      <c r="D22" s="2656"/>
      <c r="E22" s="2656"/>
      <c r="F22" s="2656"/>
      <c r="G22" s="2657"/>
      <c r="H22" s="2657"/>
      <c r="I22" s="2657"/>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0" t="s">
        <v>2207</v>
      </c>
      <c r="B23" s="2499" t="s">
        <v>2208</v>
      </c>
      <c r="C23" s="2631"/>
      <c r="D23" s="2632" t="s">
        <v>2208</v>
      </c>
      <c r="E23" s="2633"/>
      <c r="F23" s="2656"/>
      <c r="G23" s="2657"/>
      <c r="H23" s="2657"/>
      <c r="I23" s="2657"/>
      <c r="J23" s="2438"/>
      <c r="K23" s="2612"/>
      <c r="L23" s="2472"/>
      <c r="M23" s="2606"/>
      <c r="N23" s="2506"/>
      <c r="O23" s="2450"/>
      <c r="P23" s="2506"/>
      <c r="Q23" s="2438"/>
      <c r="R23" s="2438"/>
      <c r="S23" s="2438"/>
      <c r="T23" s="2438"/>
      <c r="U23" s="2438"/>
      <c r="V23" s="2438"/>
    </row>
    <row r="24" spans="1:28">
      <c r="A24" s="2630"/>
      <c r="B24" s="2499" t="s">
        <v>1057</v>
      </c>
      <c r="C24" s="2634"/>
      <c r="D24" s="2630" t="s">
        <v>1057</v>
      </c>
      <c r="E24" s="2635"/>
      <c r="F24" s="2656"/>
      <c r="G24" s="2657"/>
      <c r="H24" s="2657"/>
      <c r="I24" s="2657"/>
      <c r="J24" s="2438"/>
      <c r="K24" s="2612"/>
      <c r="L24" s="2472"/>
      <c r="M24" s="2606"/>
      <c r="N24" s="2506"/>
      <c r="O24" s="2450"/>
      <c r="P24" s="2506"/>
      <c r="Q24" s="2438"/>
      <c r="R24" s="2438"/>
      <c r="S24" s="2438"/>
      <c r="T24" s="2438"/>
      <c r="U24" s="2438"/>
      <c r="V24" s="2438"/>
    </row>
    <row r="25" spans="1:28">
      <c r="A25" s="2630"/>
      <c r="B25" s="2499" t="s">
        <v>1058</v>
      </c>
      <c r="C25" s="2634"/>
      <c r="D25" s="2630" t="s">
        <v>1058</v>
      </c>
      <c r="E25" s="2635"/>
      <c r="F25" s="2656"/>
      <c r="G25" s="2657"/>
      <c r="H25" s="2657"/>
      <c r="I25" s="2657"/>
      <c r="J25" s="2438"/>
      <c r="K25" s="2609"/>
      <c r="L25" s="2606"/>
      <c r="M25" s="2606"/>
      <c r="N25" s="2506"/>
      <c r="O25" s="2450"/>
      <c r="P25" s="2506"/>
      <c r="Q25" s="2438"/>
      <c r="R25" s="2438"/>
      <c r="S25" s="2438"/>
      <c r="T25" s="2438"/>
      <c r="U25" s="2438"/>
      <c r="V25" s="2438"/>
    </row>
    <row r="26" spans="1:28" ht="13.5" thickBot="1">
      <c r="A26" s="2636"/>
      <c r="B26" s="2637" t="s">
        <v>1059</v>
      </c>
      <c r="C26" s="2638"/>
      <c r="D26" s="2636" t="s">
        <v>1059</v>
      </c>
      <c r="E26" s="2639"/>
      <c r="F26" s="2658"/>
      <c r="G26" s="2658"/>
      <c r="H26" s="2658"/>
      <c r="I26" s="2658"/>
      <c r="J26" s="2438"/>
      <c r="K26" s="2609"/>
      <c r="L26" s="2606"/>
      <c r="M26" s="2606"/>
      <c r="N26" s="2506"/>
      <c r="O26" s="2450"/>
      <c r="P26" s="2506"/>
      <c r="Q26" s="2438"/>
      <c r="R26" s="2438"/>
      <c r="S26" s="2438"/>
      <c r="T26" s="2438"/>
      <c r="U26" s="2438"/>
      <c r="V26" s="2438"/>
    </row>
    <row r="27" spans="1:28" ht="13.5" thickTop="1">
      <c r="A27" s="3504" t="s">
        <v>2209</v>
      </c>
      <c r="B27" s="320" t="s">
        <v>2210</v>
      </c>
      <c r="C27" s="2415"/>
      <c r="D27" s="2416"/>
      <c r="E27" s="2657"/>
      <c r="F27" s="2657"/>
      <c r="G27" s="2657"/>
      <c r="H27" s="2657"/>
      <c r="I27" s="2657"/>
      <c r="J27" s="2438"/>
      <c r="K27" s="2610"/>
      <c r="L27" s="2450"/>
      <c r="M27" s="2450"/>
      <c r="N27" s="2506"/>
      <c r="O27" s="2450"/>
      <c r="P27" s="2506"/>
      <c r="Q27" s="2438"/>
      <c r="R27" s="2438"/>
      <c r="S27" s="2438"/>
      <c r="T27" s="2438"/>
      <c r="U27" s="2438"/>
      <c r="V27" s="2438"/>
    </row>
    <row r="28" spans="1:28">
      <c r="A28" s="3504"/>
      <c r="B28" s="302" t="s">
        <v>2211</v>
      </c>
      <c r="C28" s="2417"/>
      <c r="D28" s="2418"/>
      <c r="E28" s="2657"/>
      <c r="F28" s="2657"/>
      <c r="G28" s="2657"/>
      <c r="H28" s="2657"/>
      <c r="I28" s="2657"/>
      <c r="J28" s="2438"/>
      <c r="K28" s="2609"/>
      <c r="L28" s="2606"/>
      <c r="M28" s="2606"/>
      <c r="N28" s="2438"/>
      <c r="O28" s="2449"/>
      <c r="P28" s="2438"/>
      <c r="Q28" s="2438"/>
      <c r="R28" s="2438"/>
      <c r="S28" s="2438"/>
      <c r="T28" s="2438"/>
      <c r="U28" s="2438"/>
      <c r="V28" s="2438"/>
    </row>
    <row r="29" spans="1:28">
      <c r="A29" s="3504"/>
      <c r="B29" s="302" t="s">
        <v>2212</v>
      </c>
      <c r="C29" s="2419"/>
      <c r="D29" s="2420"/>
      <c r="E29" s="2657"/>
      <c r="F29" s="2657"/>
      <c r="G29" s="2657"/>
      <c r="H29" s="2657"/>
      <c r="I29" s="2657"/>
      <c r="J29" s="2438"/>
      <c r="K29" s="2609"/>
      <c r="L29" s="2606"/>
      <c r="M29" s="2606"/>
      <c r="N29" s="2438"/>
      <c r="O29" s="2449"/>
      <c r="P29" s="2438"/>
      <c r="Q29" s="2438"/>
      <c r="R29" s="2438"/>
      <c r="S29" s="2438"/>
      <c r="T29" s="2438"/>
      <c r="U29" s="2438"/>
      <c r="V29" s="2438"/>
    </row>
    <row r="30" spans="1:28">
      <c r="A30" s="3505"/>
      <c r="B30" s="302" t="s">
        <v>2213</v>
      </c>
      <c r="C30" s="3506"/>
      <c r="D30" s="3507"/>
      <c r="E30" s="2657"/>
      <c r="F30" s="2657"/>
      <c r="G30" s="2657"/>
      <c r="H30" s="2657"/>
      <c r="I30" s="2657"/>
      <c r="J30" s="2438"/>
      <c r="K30" s="2609"/>
      <c r="L30" s="2606"/>
      <c r="M30" s="2606"/>
      <c r="N30" s="2438"/>
      <c r="O30" s="2449"/>
      <c r="P30" s="2438"/>
      <c r="Q30" s="2438"/>
      <c r="R30" s="2438"/>
      <c r="S30" s="2438"/>
      <c r="T30" s="2438"/>
      <c r="U30" s="2438"/>
      <c r="V30" s="2438"/>
    </row>
    <row r="31" spans="1:28">
      <c r="A31" s="3508" t="s">
        <v>2214</v>
      </c>
      <c r="B31" s="2421"/>
      <c r="C31" s="2322" t="str">
        <f>IF(B31="现房","成新及维护状况正常否",IF(B31="在建","工程状态是否正常",IF(B31="土地","是否闲置","-")))</f>
        <v>-</v>
      </c>
      <c r="D31" s="1372"/>
      <c r="E31" s="2422"/>
      <c r="F31" s="2657"/>
      <c r="G31" s="2657"/>
      <c r="H31" s="2657"/>
      <c r="I31" s="2657"/>
      <c r="J31" s="2438"/>
      <c r="K31" s="2608"/>
      <c r="L31" s="2606"/>
      <c r="M31" s="2606"/>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57"/>
      <c r="G32" s="2657"/>
      <c r="H32" s="2657"/>
      <c r="I32" s="2657"/>
      <c r="J32" s="2438"/>
      <c r="K32" s="2609"/>
      <c r="L32" s="2606"/>
      <c r="M32" s="2606"/>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57"/>
      <c r="G33" s="2657"/>
      <c r="H33" s="2657"/>
      <c r="I33" s="2657"/>
      <c r="J33" s="2438"/>
      <c r="K33" s="2609"/>
      <c r="L33" s="2606"/>
      <c r="M33" s="2606"/>
      <c r="N33" s="2438"/>
      <c r="O33" s="2449"/>
      <c r="P33" s="2438"/>
      <c r="Q33" s="2438"/>
      <c r="R33" s="2438"/>
      <c r="S33" s="2438"/>
      <c r="T33" s="2438"/>
      <c r="U33" s="2438"/>
      <c r="V33" s="2438"/>
    </row>
    <row r="34" spans="1:30">
      <c r="A34" s="302" t="s">
        <v>2215</v>
      </c>
      <c r="B34" s="2025"/>
      <c r="C34" s="2025"/>
      <c r="D34" s="2025"/>
      <c r="E34" s="2025"/>
      <c r="F34" s="2025"/>
      <c r="G34" s="2025"/>
      <c r="H34" s="2025"/>
      <c r="I34" s="2657"/>
      <c r="J34" s="2438"/>
      <c r="K34" s="2426">
        <f>COUNTIF(B34:H34,"——")</f>
        <v>0</v>
      </c>
      <c r="L34" s="323" t="s">
        <v>2216</v>
      </c>
      <c r="M34" s="323" t="s">
        <v>2217</v>
      </c>
      <c r="N34" s="323" t="s">
        <v>2218</v>
      </c>
      <c r="O34" s="323" t="s">
        <v>2219</v>
      </c>
      <c r="P34" s="323" t="s">
        <v>2220</v>
      </c>
      <c r="Q34" s="323" t="s">
        <v>2221</v>
      </c>
      <c r="R34" s="323" t="s">
        <v>2222</v>
      </c>
      <c r="S34" s="3503" t="s">
        <v>2223</v>
      </c>
      <c r="T34" s="2427" t="str">
        <f>NUMBERSTRING(7-K34,1)&amp;"通"</f>
        <v>七通</v>
      </c>
      <c r="U34" s="2438"/>
      <c r="V34" s="2438"/>
    </row>
    <row r="35" spans="1:30">
      <c r="A35" s="2428"/>
      <c r="B35" s="3510" t="s">
        <v>2224</v>
      </c>
      <c r="C35" s="3510"/>
      <c r="D35" s="3510"/>
      <c r="E35" s="3510"/>
      <c r="F35" s="663">
        <f>C10</f>
        <v>0</v>
      </c>
      <c r="G35" s="2657"/>
      <c r="H35" s="2657"/>
      <c r="I35" s="2657"/>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3" t="s">
        <v>2183</v>
      </c>
      <c r="C36" s="663" t="s">
        <v>2184</v>
      </c>
      <c r="D36" s="663" t="s">
        <v>2182</v>
      </c>
      <c r="E36" s="663" t="s">
        <v>2187</v>
      </c>
      <c r="F36" s="3058" t="s">
        <v>2573</v>
      </c>
      <c r="G36" s="2657"/>
      <c r="H36" s="2657"/>
      <c r="I36" s="2657"/>
      <c r="J36" s="2438"/>
      <c r="K36" s="2609"/>
      <c r="L36" s="2606"/>
      <c r="M36" s="2606"/>
      <c r="N36" s="2438"/>
      <c r="O36" s="2449"/>
      <c r="P36" s="2438"/>
      <c r="Q36" s="2438"/>
      <c r="R36" s="2438"/>
      <c r="S36" s="2438"/>
      <c r="T36" s="2438"/>
      <c r="U36" s="2438"/>
      <c r="V36" s="2438"/>
    </row>
    <row r="37" spans="1:30">
      <c r="A37" s="2623" t="s">
        <v>2225</v>
      </c>
      <c r="B37" s="2430"/>
      <c r="C37" s="2430"/>
      <c r="D37" s="2430"/>
      <c r="E37" s="2430"/>
      <c r="F37" s="2430"/>
      <c r="G37" s="2657"/>
      <c r="H37" s="2657"/>
      <c r="I37" s="2657"/>
      <c r="J37" s="2438"/>
      <c r="K37" s="2609"/>
      <c r="L37" s="2606"/>
      <c r="M37" s="2606"/>
      <c r="N37" s="2438"/>
      <c r="O37" s="2449"/>
      <c r="P37" s="2438"/>
      <c r="Q37" s="2438"/>
      <c r="R37" s="2438"/>
      <c r="S37" s="2438"/>
      <c r="T37" s="2438"/>
      <c r="U37" s="2438"/>
      <c r="V37" s="2438"/>
    </row>
    <row r="38" spans="1:30" ht="13.5" thickBot="1">
      <c r="A38" s="2624" t="s">
        <v>2226</v>
      </c>
      <c r="B38" s="2431"/>
      <c r="C38" s="2431"/>
      <c r="D38" s="2431"/>
      <c r="E38" s="2431"/>
      <c r="F38" s="2431"/>
      <c r="G38" s="2658"/>
      <c r="H38" s="2658"/>
      <c r="I38" s="2658"/>
      <c r="J38" s="2438"/>
      <c r="K38" s="2609"/>
      <c r="L38" s="2606"/>
      <c r="M38" s="2606"/>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9"/>
      <c r="B40" s="2369"/>
      <c r="C40" s="2369"/>
      <c r="D40" s="2369"/>
      <c r="E40" s="2369"/>
      <c r="F40" s="2369"/>
      <c r="G40" s="2369"/>
      <c r="H40" s="2369"/>
      <c r="I40" s="1577"/>
      <c r="J40" s="2506"/>
      <c r="K40" s="2608"/>
      <c r="L40" s="2450"/>
      <c r="M40" s="2450"/>
      <c r="N40" s="2506"/>
      <c r="O40" s="2450"/>
      <c r="P40" s="2438"/>
      <c r="Q40" s="2438"/>
      <c r="R40" s="2438"/>
      <c r="S40" s="2438"/>
      <c r="T40" s="2438"/>
      <c r="U40" s="2438"/>
      <c r="V40" s="2438"/>
    </row>
    <row r="41" spans="1:30">
      <c r="A41" s="2435" t="s">
        <v>2228</v>
      </c>
      <c r="B41" s="1756"/>
      <c r="C41" s="1372"/>
      <c r="D41" s="2369"/>
      <c r="E41" s="2369"/>
      <c r="F41" s="2369"/>
      <c r="G41" s="2369"/>
      <c r="H41" s="2369"/>
      <c r="I41" s="1575"/>
      <c r="J41" s="2438"/>
      <c r="K41" s="2609"/>
      <c r="L41" s="2606"/>
      <c r="M41" s="2606"/>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T51" sqref="T51"/>
      <selection pane="topRight" activeCell="T51" sqref="T51"/>
      <selection pane="bottomLeft" activeCell="T51" sqref="T51"/>
      <selection pane="bottomRight" activeCell="M35" sqref="M3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499.53</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499.53</v>
      </c>
      <c r="H5" s="13">
        <f t="shared" ref="H5:AT5" si="0">SUM(H13:H656)</f>
        <v>499.53</v>
      </c>
      <c r="I5" s="13">
        <f t="shared" si="0"/>
        <v>499.53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499.53</v>
      </c>
      <c r="BA5" s="15">
        <f t="shared" si="1"/>
        <v>499.53</v>
      </c>
      <c r="BB5" s="15">
        <f t="shared" si="1"/>
        <v>499.53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3379</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499.53</v>
      </c>
      <c r="H13" s="17">
        <f>SUMIF(I$12:AB$12,"总值",I13:AB13)</f>
        <v>499.53</v>
      </c>
      <c r="I13" s="1625">
        <v>499.53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499.53</v>
      </c>
      <c r="BA13" s="13">
        <f>SUM(BB13:BK13)</f>
        <v>499.53</v>
      </c>
      <c r="BB13" s="13">
        <f>IF($D13="是",I13-J13,0)</f>
        <v>499.53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2"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42" t="s">
        <v>1129</v>
      </c>
      <c r="B2" s="3542"/>
      <c r="C2" s="3542"/>
      <c r="D2" s="795" t="s">
        <v>1105</v>
      </c>
      <c r="E2" s="1638" t="s">
        <v>1106</v>
      </c>
      <c r="F2" s="2652"/>
      <c r="G2" s="2643"/>
      <c r="H2" s="2644"/>
      <c r="I2" s="2324" t="s">
        <v>1130</v>
      </c>
      <c r="J2" s="2652"/>
      <c r="K2" s="2652"/>
      <c r="L2" s="2652"/>
      <c r="M2" s="2652"/>
      <c r="N2" s="2654"/>
      <c r="O2" s="2652"/>
      <c r="P2" s="2652"/>
    </row>
    <row r="3" spans="1:16" ht="15.75" thickBot="1">
      <c r="A3" s="3543" t="s">
        <v>1103</v>
      </c>
      <c r="B3" s="3543"/>
      <c r="C3" s="3543"/>
      <c r="D3" s="43">
        <f>'数据-基础表'!AY6</f>
        <v>0</v>
      </c>
      <c r="E3" s="43">
        <f>'数据-基础表'!AZ5</f>
        <v>499.53</v>
      </c>
      <c r="F3" s="2652"/>
      <c r="G3" s="1144"/>
      <c r="H3" s="1025" t="s">
        <v>1104</v>
      </c>
      <c r="I3" s="854" t="e">
        <f>ROUND('数据-基础表'!B3/'数据-基础表'!A3,2)</f>
        <v>#DIV/0!</v>
      </c>
      <c r="J3" s="2652"/>
      <c r="K3" s="2652"/>
      <c r="L3" s="2652"/>
      <c r="M3" s="2652"/>
      <c r="N3" s="2654"/>
      <c r="O3" s="2652"/>
      <c r="P3" s="2652"/>
    </row>
    <row r="4" spans="1:16" ht="15">
      <c r="A4" s="3544"/>
      <c r="B4" s="3545"/>
      <c r="C4" s="3546"/>
      <c r="D4" s="1640" t="s">
        <v>1105</v>
      </c>
      <c r="E4" s="1641" t="s">
        <v>1106</v>
      </c>
      <c r="F4" s="2652"/>
      <c r="G4" s="2645" t="s">
        <v>1131</v>
      </c>
      <c r="H4" s="1025" t="s">
        <v>1111</v>
      </c>
      <c r="I4" s="854" t="e">
        <f>ROUND(SUMIF('数据-基础表'!I9:AS9,"地上",'数据-基础表'!I5:AS5)/'数据-基础表'!A3,2)</f>
        <v>#DIV/0!</v>
      </c>
      <c r="J4" s="2652"/>
      <c r="K4" s="2652"/>
      <c r="L4" s="2652"/>
      <c r="M4" s="2652"/>
      <c r="N4" s="2654"/>
      <c r="O4" s="2652"/>
      <c r="P4" s="2652"/>
    </row>
    <row r="5" spans="1:16">
      <c r="A5" s="44" t="s">
        <v>1107</v>
      </c>
      <c r="B5" s="3547" t="s">
        <v>1108</v>
      </c>
      <c r="C5" s="3547"/>
      <c r="D5" s="45">
        <f>ROUND($D$3*E5/$E$3,2)</f>
        <v>0</v>
      </c>
      <c r="E5" s="46">
        <f>SUMIF('数据-基础表'!$11:$11,"住宅",'数据-基础表'!$5:$5)</f>
        <v>0</v>
      </c>
      <c r="F5" s="2652"/>
      <c r="G5" s="1144"/>
      <c r="H5" s="1025" t="s">
        <v>1104</v>
      </c>
      <c r="I5" s="854" t="e">
        <f>ROUND(E31/D31,2)</f>
        <v>#DIV/0!</v>
      </c>
      <c r="J5" s="2652"/>
      <c r="K5" s="2652"/>
      <c r="L5" s="2652"/>
      <c r="M5" s="2652"/>
      <c r="N5" s="2652"/>
      <c r="O5" s="2652"/>
      <c r="P5" s="2652"/>
    </row>
    <row r="6" spans="1:16" ht="15" thickBot="1">
      <c r="A6" s="1643"/>
      <c r="B6" s="3547" t="s">
        <v>1109</v>
      </c>
      <c r="C6" s="3547"/>
      <c r="D6" s="45">
        <f>ROUND($D$3*E6/$E$3,2)</f>
        <v>0</v>
      </c>
      <c r="E6" s="46">
        <f>E3-E5</f>
        <v>499.53</v>
      </c>
      <c r="F6" s="2652"/>
      <c r="G6" s="2646" t="s">
        <v>1110</v>
      </c>
      <c r="H6" s="1145" t="s">
        <v>1111</v>
      </c>
      <c r="I6" s="2647" t="e">
        <f>ROUND(F31/D31,2)</f>
        <v>#DIV/0!</v>
      </c>
      <c r="J6" s="2652"/>
      <c r="K6" s="2652"/>
      <c r="L6" s="2652"/>
      <c r="M6" s="2652"/>
      <c r="N6" s="2652"/>
      <c r="O6" s="2652"/>
      <c r="P6" s="2652"/>
    </row>
    <row r="7" spans="1:16" ht="15.75" thickBot="1">
      <c r="A7" s="3539"/>
      <c r="B7" s="3540"/>
      <c r="C7" s="3541"/>
      <c r="D7" s="1640" t="s">
        <v>1105</v>
      </c>
      <c r="E7" s="1644"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499.53</v>
      </c>
      <c r="F8" s="2652"/>
      <c r="G8" s="2653"/>
      <c r="H8" s="2653"/>
      <c r="I8" s="2652"/>
      <c r="J8" s="2652"/>
      <c r="K8" s="2652"/>
      <c r="L8" s="2652"/>
      <c r="M8" s="2652"/>
      <c r="N8" s="2652"/>
      <c r="O8" s="2652"/>
      <c r="P8" s="2652"/>
    </row>
    <row r="9" spans="1:16">
      <c r="A9" s="1645"/>
      <c r="B9" s="1646"/>
      <c r="C9" s="45" t="s">
        <v>1117</v>
      </c>
      <c r="D9" s="45">
        <f t="shared" si="0"/>
        <v>0</v>
      </c>
      <c r="E9" s="49">
        <v>0</v>
      </c>
      <c r="F9" s="2652"/>
      <c r="G9" s="2653"/>
      <c r="H9" s="2653"/>
      <c r="I9" s="2652"/>
      <c r="J9" s="2652"/>
      <c r="K9" s="2652"/>
      <c r="L9" s="2652"/>
      <c r="M9" s="2652"/>
      <c r="N9" s="2652"/>
      <c r="O9" s="2652"/>
      <c r="P9" s="2652"/>
    </row>
    <row r="10" spans="1:16">
      <c r="A10" s="1645"/>
      <c r="B10" s="1646"/>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5"/>
      <c r="B11" s="1646"/>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5"/>
      <c r="B12" s="1646"/>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5"/>
      <c r="B13" s="1646"/>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5"/>
      <c r="B14" s="1646"/>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5"/>
      <c r="B15" s="1646"/>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3"/>
      <c r="B16" s="1646"/>
      <c r="C16" s="47" t="s">
        <v>1121</v>
      </c>
      <c r="D16" s="47">
        <f>SUM(D8:D15)</f>
        <v>0</v>
      </c>
      <c r="E16" s="50">
        <f>SUM(E8:E15)</f>
        <v>499.53</v>
      </c>
      <c r="F16" s="2652"/>
      <c r="G16" s="2653"/>
      <c r="H16" s="1647" t="s">
        <v>1133</v>
      </c>
      <c r="I16" s="1648"/>
      <c r="J16" s="1138"/>
      <c r="K16" s="3536" t="s">
        <v>1133</v>
      </c>
      <c r="L16" s="3537"/>
      <c r="M16" s="3537"/>
      <c r="N16" s="3537"/>
      <c r="O16" s="3537"/>
      <c r="P16" s="3538"/>
    </row>
    <row r="17" spans="1:19" ht="15">
      <c r="A17" s="1649" t="s">
        <v>1134</v>
      </c>
      <c r="B17" s="1650" t="s">
        <v>1135</v>
      </c>
      <c r="C17" s="1651" t="s">
        <v>1136</v>
      </c>
      <c r="D17" s="1652" t="s">
        <v>1124</v>
      </c>
      <c r="E17" s="1653" t="s">
        <v>1125</v>
      </c>
      <c r="F17" s="1654"/>
      <c r="G17" s="1655"/>
      <c r="H17" s="1656" t="s">
        <v>1137</v>
      </c>
      <c r="I17" s="1657" t="s">
        <v>1122</v>
      </c>
      <c r="J17" s="1138"/>
      <c r="K17" s="3533" t="s">
        <v>1138</v>
      </c>
      <c r="L17" s="3534"/>
      <c r="M17" s="3535"/>
      <c r="N17" s="3533" t="s">
        <v>1139</v>
      </c>
      <c r="O17" s="3534"/>
      <c r="P17" s="3535"/>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0" t="s">
        <v>3546</v>
      </c>
      <c r="D19" s="45">
        <f>ROUND($D$3*E19/$E$3,2)</f>
        <v>0</v>
      </c>
      <c r="E19" s="53">
        <f t="shared" ref="E19:E26" si="1">SUM(F19:G19)</f>
        <v>499.53</v>
      </c>
      <c r="F19" s="2788">
        <f>'数据-基础表'!I5</f>
        <v>499.53</v>
      </c>
      <c r="G19" s="2789"/>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499.53</v>
      </c>
    </row>
    <row r="20" spans="1:19">
      <c r="A20" s="1669"/>
      <c r="B20" s="47" t="s">
        <v>1151</v>
      </c>
      <c r="C20" s="3411"/>
      <c r="D20" s="45">
        <f t="shared" ref="D20:D26" si="6">ROUND($D$3*E20/$E$3,2)</f>
        <v>0</v>
      </c>
      <c r="E20" s="53">
        <f t="shared" si="1"/>
        <v>0</v>
      </c>
      <c r="F20" s="2788"/>
      <c r="G20" s="2789"/>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0"/>
      <c r="D21" s="45">
        <f t="shared" si="6"/>
        <v>0</v>
      </c>
      <c r="E21" s="53">
        <f t="shared" si="1"/>
        <v>0</v>
      </c>
      <c r="F21" s="2788"/>
      <c r="G21" s="2789"/>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1"/>
      <c r="D22" s="45">
        <f t="shared" si="6"/>
        <v>0</v>
      </c>
      <c r="E22" s="53">
        <f t="shared" si="1"/>
        <v>0</v>
      </c>
      <c r="F22" s="2790"/>
      <c r="G22" s="2791"/>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1"/>
      <c r="D23" s="45">
        <f>ROUND($D$3*E23/$E$3,2)</f>
        <v>0</v>
      </c>
      <c r="E23" s="53">
        <f>SUM(F23:G23)</f>
        <v>0</v>
      </c>
      <c r="F23" s="2790"/>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1"/>
      <c r="D24" s="45">
        <f>ROUND($D$3*E24/$E$3,2)</f>
        <v>0</v>
      </c>
      <c r="E24" s="53">
        <f>SUM(F24:G24)</f>
        <v>0</v>
      </c>
      <c r="F24" s="2790"/>
      <c r="G24" s="2791"/>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1"/>
      <c r="D25" s="45">
        <f t="shared" si="6"/>
        <v>0</v>
      </c>
      <c r="E25" s="53">
        <f t="shared" si="1"/>
        <v>0</v>
      </c>
      <c r="F25" s="2790"/>
      <c r="G25" s="2791"/>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0"/>
      <c r="G26" s="2791"/>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499.53</v>
      </c>
      <c r="F27" s="1139">
        <f>IF(SUM(F19:F26)=E8,SUM(F19:F26),"地上面积有误")</f>
        <v>499.53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499.53</v>
      </c>
    </row>
    <row r="28" spans="1:19">
      <c r="A28" s="1669"/>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9"/>
      <c r="B29" s="47" t="s">
        <v>1153</v>
      </c>
      <c r="C29" s="1673"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9"/>
      <c r="B30" s="47"/>
      <c r="C30" s="1674"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5"/>
      <c r="B31" s="1676"/>
      <c r="C31" s="834" t="s">
        <v>1156</v>
      </c>
      <c r="D31" s="675">
        <f>D27+D30</f>
        <v>0</v>
      </c>
      <c r="E31" s="675">
        <f>E27+E30</f>
        <v>499.53</v>
      </c>
      <c r="F31" s="676">
        <f>F27+F30</f>
        <v>499.53</v>
      </c>
      <c r="G31" s="677">
        <f>G27+G30</f>
        <v>0</v>
      </c>
      <c r="H31" s="2652"/>
      <c r="I31" s="2652"/>
      <c r="J31" s="2652"/>
      <c r="K31" s="2652"/>
      <c r="L31" s="2652"/>
      <c r="M31" s="2652"/>
      <c r="N31" s="2652"/>
      <c r="O31" s="2652"/>
      <c r="P31" s="2652"/>
    </row>
    <row r="32" spans="1:19">
      <c r="A32" s="1642"/>
      <c r="B32" s="1642" t="s">
        <v>1157</v>
      </c>
      <c r="C32" s="1642"/>
      <c r="D32" s="1642"/>
      <c r="E32" s="1052">
        <f>SUMIF(C19:C26,"*住宅*",E19:E26)</f>
        <v>0</v>
      </c>
      <c r="F32" s="1642"/>
      <c r="G32" s="1642"/>
      <c r="H32" s="2652"/>
      <c r="I32" s="2652"/>
      <c r="J32" s="2652"/>
      <c r="K32" s="2652"/>
      <c r="L32" s="2652"/>
      <c r="M32" s="2652"/>
      <c r="N32" s="2652"/>
      <c r="O32" s="2652"/>
      <c r="P32" s="2652"/>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T51" sqref="T51"/>
      <selection pane="topRight" activeCell="T51" sqref="T51"/>
      <selection pane="bottomLeft" activeCell="T51" sqref="T51"/>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4"/>
      <c r="AO1" s="2664"/>
      <c r="AP1" s="2664"/>
      <c r="AQ1" s="2664"/>
      <c r="AR1" s="2664"/>
    </row>
    <row r="2" spans="1:67" s="1558" customFormat="1" ht="15.75" thickBot="1">
      <c r="A2" s="1682" t="s">
        <v>1159</v>
      </c>
      <c r="B2" s="1044">
        <f>项目基本情况!D3</f>
        <v>45058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6"/>
      <c r="AO2" s="2666"/>
      <c r="AP2" s="2666"/>
      <c r="AQ2" s="2666"/>
      <c r="AR2" s="2666"/>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6"/>
      <c r="AO3" s="2666"/>
      <c r="AP3" s="2666"/>
      <c r="AQ3" s="2666"/>
      <c r="AR3" s="2666"/>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1"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6"/>
      <c r="AO4" s="2666"/>
      <c r="AP4" s="2666"/>
      <c r="AQ4" s="2666"/>
      <c r="AR4" s="2666"/>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底商</v>
      </c>
      <c r="B6" s="1712" t="str">
        <f>IF(A6=0,"","经营性")</f>
        <v>经营性</v>
      </c>
      <c r="C6" s="1713" t="s">
        <v>673</v>
      </c>
      <c r="D6" s="857">
        <f>SUMIF(项目基本情况!C$12:I$12,C6,项目基本情况!C$14:I$14)</f>
        <v>40</v>
      </c>
      <c r="E6" s="856">
        <f>IF(B6="","",SUMIF(项目基本情况!C$12:I$12,C6,项目基本情况!C$13:I$13))</f>
        <v>57056</v>
      </c>
      <c r="F6" s="64">
        <f>SUMIF(项目基本情况!C$12:I$12,C6,项目基本情况!C$15:I$15)</f>
        <v>32.869999999999997</v>
      </c>
      <c r="G6" s="65">
        <f>IF(ISERROR(ROUND(POWER(1+H6,D6-F6)*(POWER(1+H6,F6)-1)/(POWER(1+H6,D6)-1),3)),0,ROUND(POWER(1+H6,D6-F6)*(POWER(1+H6,F6)-1)/(POWER(1+H6,D6)-1),3))</f>
        <v>0.93799999999999994</v>
      </c>
      <c r="H6" s="731">
        <v>5.5E-2</v>
      </c>
      <c r="I6" s="731">
        <v>0.06</v>
      </c>
      <c r="J6" s="66">
        <v>7.0000000000000007E-2</v>
      </c>
      <c r="K6" s="1029">
        <f>SUMIF('数据-汇总表'!C$19:C$33,A6,'数据-汇总表'!E$19:E$33)</f>
        <v>499.53</v>
      </c>
      <c r="L6" s="732">
        <v>3700</v>
      </c>
      <c r="M6" s="67">
        <f t="shared" ref="M6:M14" si="0">ROUND(K6*L6/10000,0)</f>
        <v>185</v>
      </c>
      <c r="N6" s="730">
        <f>N19</f>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1">
        <v>5</v>
      </c>
      <c r="V6" s="70">
        <v>2.5000000000000001E-2</v>
      </c>
      <c r="W6" s="70">
        <v>0.1</v>
      </c>
      <c r="X6" s="1039"/>
      <c r="Y6" s="71">
        <f>N6</f>
        <v>0.95</v>
      </c>
      <c r="Z6" s="72"/>
      <c r="AA6" s="66"/>
      <c r="AB6" s="66"/>
      <c r="AC6" s="1039"/>
      <c r="AD6" s="73"/>
      <c r="AE6" s="1040">
        <f ca="1">IF(AN6="",0,SUMIF(INDIRECT("'"&amp;AN6&amp;"'"&amp;"!E:E"),$AE$5,INDIRECT("'"&amp;AN6&amp;"'"&amp;"!F:F")))</f>
        <v>32.869999999999997</v>
      </c>
      <c r="AF6" s="3443"/>
      <c r="AG6" s="138">
        <f>IF(AF6="",0,AE6-AF6)</f>
        <v>0</v>
      </c>
      <c r="AH6" s="74"/>
      <c r="AI6" s="76">
        <v>365</v>
      </c>
      <c r="AJ6" s="77"/>
      <c r="AK6" s="78">
        <v>5.0000000000000001E-3</v>
      </c>
      <c r="AL6" s="79">
        <v>1.5E-3</v>
      </c>
      <c r="AM6" s="80">
        <v>5.0000000000000001E-3</v>
      </c>
      <c r="AN6" s="1714" t="s">
        <v>3384</v>
      </c>
      <c r="AO6" s="52">
        <f ca="1">SUMIF(INDIRECT("'"&amp;AN6&amp;"'"&amp;"!A:A"),"总价",INDIRECT("'"&amp;AN6&amp;"'"&amp;"!B:B"))</f>
        <v>1274.5352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34"/>
      <c r="W7" s="734"/>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2"/>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1"/>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1"/>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1"/>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1"/>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3"/>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4"/>
      <c r="AO14" s="2666"/>
      <c r="AP14" s="2666"/>
      <c r="AQ14" s="2666"/>
      <c r="AR14" s="2666"/>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4"/>
      <c r="AO15" s="2666"/>
      <c r="AP15" s="2666"/>
      <c r="AQ15" s="2666"/>
      <c r="AR15" s="2666"/>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0.93799999999999994</v>
      </c>
      <c r="H16" s="90">
        <f>ROUND(SUMPRODUCT(H6:H13,K6:K13)/SUMPRODUCT((H6:H13&gt;0)*(K6:K13)),3)</f>
        <v>5.5E-2</v>
      </c>
      <c r="I16" s="91"/>
      <c r="J16" s="91"/>
      <c r="K16" s="92">
        <f>SUM(K6:K15)</f>
        <v>499.53</v>
      </c>
      <c r="L16" s="93">
        <f>ROUND(M16*10000/SUM(K6:K14),0)</f>
        <v>3703</v>
      </c>
      <c r="M16" s="93">
        <f>SUM(M6:M14)</f>
        <v>185</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4" t="s">
        <v>3382</v>
      </c>
      <c r="N18" s="2664">
        <v>2020</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1" t="s">
        <v>1209</v>
      </c>
      <c r="B19" s="103">
        <v>0</v>
      </c>
      <c r="C19" s="2792" t="s">
        <v>2296</v>
      </c>
      <c r="D19" s="2669"/>
      <c r="E19" s="2666"/>
      <c r="F19" s="2666"/>
      <c r="G19" s="2666"/>
      <c r="H19" s="2666"/>
      <c r="I19" s="2666"/>
      <c r="J19" s="2666"/>
      <c r="K19" s="2665"/>
      <c r="L19" s="2665"/>
      <c r="M19" s="3444" t="s">
        <v>3383</v>
      </c>
      <c r="N19" s="2664">
        <f>ROUND(1-(1-0%)*(2023-N18)/60,3)</f>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2" t="s">
        <v>1210</v>
      </c>
      <c r="B20" s="104">
        <v>2</v>
      </c>
      <c r="C20" s="2793" t="s">
        <v>2294</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3" t="s">
        <v>1211</v>
      </c>
      <c r="B21" s="104">
        <f>B20</f>
        <v>2</v>
      </c>
      <c r="C21" s="2666"/>
      <c r="D21" s="2669"/>
      <c r="E21" s="2666"/>
      <c r="F21" s="2666"/>
      <c r="G21" s="2666"/>
      <c r="H21" s="2666"/>
      <c r="I21" s="2666"/>
      <c r="J21" s="2666"/>
      <c r="K21" s="2665"/>
      <c r="L21" s="3910" t="s">
        <v>3544</v>
      </c>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2" t="s">
        <v>1212</v>
      </c>
      <c r="B22" s="105">
        <f>B19+B20</f>
        <v>2</v>
      </c>
      <c r="C22" s="2666"/>
      <c r="D22" s="2669"/>
      <c r="E22" s="2666"/>
      <c r="F22" s="2666"/>
      <c r="G22" s="2666"/>
      <c r="H22" s="2666"/>
      <c r="I22" s="2666"/>
      <c r="J22" s="2666">
        <f>K22*L22</f>
        <v>1310279.9999999998</v>
      </c>
      <c r="K22" s="3911">
        <f>K16-K24</f>
        <v>327.56999999999994</v>
      </c>
      <c r="L22" s="2665">
        <v>4000</v>
      </c>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3" t="s">
        <v>1213</v>
      </c>
      <c r="B23" s="105">
        <f>B19+B21</f>
        <v>2</v>
      </c>
      <c r="C23" s="2666"/>
      <c r="D23" s="2669"/>
      <c r="E23" s="2666"/>
      <c r="F23" s="2666"/>
      <c r="G23" s="2666"/>
      <c r="H23" s="2666"/>
      <c r="I23" s="2666"/>
      <c r="J23" s="2666"/>
      <c r="K23" s="2665"/>
      <c r="L23" s="3910" t="s">
        <v>3545</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4" t="s">
        <v>1214</v>
      </c>
      <c r="B24" s="106">
        <f>B20-B21</f>
        <v>0</v>
      </c>
      <c r="C24" s="2666"/>
      <c r="D24" s="2669"/>
      <c r="E24" s="2666"/>
      <c r="F24" s="2666"/>
      <c r="G24" s="2666"/>
      <c r="H24" s="2666"/>
      <c r="I24" s="2666"/>
      <c r="J24" s="2666">
        <f>K24*L24</f>
        <v>515880</v>
      </c>
      <c r="K24" s="2665">
        <v>171.96</v>
      </c>
      <c r="L24" s="2665">
        <v>3000</v>
      </c>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6"/>
      <c r="B25" s="1686"/>
      <c r="C25" s="2666"/>
      <c r="D25" s="2669"/>
      <c r="E25" s="2666"/>
      <c r="F25" s="2666"/>
      <c r="G25" s="2666"/>
      <c r="H25" s="2666"/>
      <c r="I25" s="2666"/>
      <c r="J25" s="2666"/>
      <c r="K25" s="2665"/>
      <c r="L25" s="3910" t="s">
        <v>3547</v>
      </c>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2" t="s">
        <v>1215</v>
      </c>
      <c r="B26" s="1725" t="s">
        <v>1216</v>
      </c>
      <c r="C26" s="2670" t="s">
        <v>1217</v>
      </c>
      <c r="D26" s="2669"/>
      <c r="E26" s="2666"/>
      <c r="F26" s="2666"/>
      <c r="G26" s="2666"/>
      <c r="H26" s="2666"/>
      <c r="I26" s="2666"/>
      <c r="J26" s="2666"/>
      <c r="K26" s="2665"/>
      <c r="L26" s="2665">
        <f>ROUND((J24+J22)/K16,0)</f>
        <v>3656</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7" customFormat="1" ht="27.75">
      <c r="A27" s="1726" t="s">
        <v>1218</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ROUND(B28*K16/10000,2)</f>
        <v>9.99</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180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180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180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0" t="s">
        <v>1228</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8" t="s">
        <v>1229</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1"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3385</v>
      </c>
      <c r="B40" s="1077">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6"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2"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2"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3"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3"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3"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4"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5"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1"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6"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9"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6"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8" t="s">
        <v>1243</v>
      </c>
      <c r="B53" s="1737" t="s">
        <v>29</v>
      </c>
      <c r="C53" s="2654"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8"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8"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8"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8"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8"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8" t="s">
        <v>1250</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8"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8"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8"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9"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51" sqref="T51"/>
      <selection pane="topRight" activeCell="T51" sqref="T51"/>
      <selection pane="bottomLeft" activeCell="T51" sqref="T51"/>
      <selection pane="bottomRight" activeCell="K8" sqref="K8"/>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8" t="s">
        <v>2277</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5.5">
      <c r="A3" s="2440" t="s">
        <v>2275</v>
      </c>
      <c r="B3" s="2462" t="s">
        <v>2247</v>
      </c>
      <c r="C3" s="3445" t="s">
        <v>3387</v>
      </c>
      <c r="D3" s="2463"/>
      <c r="E3" s="2441" t="s">
        <v>2275</v>
      </c>
      <c r="F3" s="2464" t="s">
        <v>2248</v>
      </c>
      <c r="G3" s="2465" t="s">
        <v>2276</v>
      </c>
      <c r="H3" s="798"/>
      <c r="I3" s="798"/>
      <c r="J3" s="798"/>
      <c r="K3" s="798"/>
      <c r="L3" s="798"/>
      <c r="M3" s="798"/>
      <c r="N3" s="798"/>
      <c r="O3" s="798"/>
      <c r="P3" s="798"/>
      <c r="Q3" s="798"/>
      <c r="R3" s="798"/>
    </row>
    <row r="4" spans="1:29" ht="36">
      <c r="A4" s="2441"/>
      <c r="B4" s="323" t="s">
        <v>2249</v>
      </c>
      <c r="C4" s="3446" t="s">
        <v>3388</v>
      </c>
      <c r="D4" s="2463"/>
      <c r="E4" s="2466"/>
      <c r="F4" s="1372" t="s">
        <v>2250</v>
      </c>
      <c r="G4" s="2467" t="s">
        <v>2251</v>
      </c>
      <c r="H4" s="798"/>
      <c r="I4" s="798"/>
      <c r="J4" s="798"/>
      <c r="K4" s="798"/>
      <c r="L4" s="798"/>
      <c r="M4" s="798"/>
      <c r="N4" s="798"/>
      <c r="O4" s="798"/>
      <c r="P4" s="798"/>
      <c r="Q4" s="798"/>
      <c r="R4" s="798"/>
    </row>
    <row r="5" spans="1:29" ht="24">
      <c r="A5" s="2441"/>
      <c r="B5" s="323" t="s">
        <v>2252</v>
      </c>
      <c r="C5" s="3446" t="s">
        <v>3390</v>
      </c>
      <c r="D5" s="2463"/>
      <c r="E5" s="2466"/>
      <c r="F5" s="323" t="s">
        <v>2253</v>
      </c>
      <c r="G5" s="2467" t="s">
        <v>2254</v>
      </c>
      <c r="H5" s="798"/>
      <c r="I5" s="798"/>
      <c r="J5" s="798"/>
      <c r="K5" s="798"/>
      <c r="L5" s="798"/>
      <c r="M5" s="798"/>
      <c r="N5" s="798"/>
      <c r="O5" s="798"/>
      <c r="P5" s="798"/>
      <c r="Q5" s="798"/>
      <c r="R5" s="798"/>
    </row>
    <row r="6" spans="1:29">
      <c r="A6" s="2441"/>
      <c r="B6" s="323" t="s">
        <v>2255</v>
      </c>
      <c r="C6" s="3447" t="s">
        <v>3391</v>
      </c>
      <c r="D6" s="2463"/>
      <c r="E6" s="2466"/>
      <c r="F6" s="323" t="s">
        <v>2256</v>
      </c>
      <c r="G6" s="2467" t="s">
        <v>2257</v>
      </c>
      <c r="H6" s="798"/>
      <c r="I6" s="798"/>
      <c r="J6" s="798"/>
      <c r="K6" s="798"/>
      <c r="L6" s="798"/>
      <c r="M6" s="798"/>
      <c r="N6" s="798"/>
      <c r="O6" s="798"/>
      <c r="P6" s="798"/>
      <c r="Q6" s="798"/>
      <c r="R6" s="798"/>
    </row>
    <row r="7" spans="1:29" ht="24.75" thickBot="1">
      <c r="A7" s="2441"/>
      <c r="B7" s="323" t="s">
        <v>2253</v>
      </c>
      <c r="C7" s="3447" t="s">
        <v>3392</v>
      </c>
      <c r="D7" s="2468"/>
      <c r="E7" s="2469"/>
      <c r="F7" s="2470" t="s">
        <v>2258</v>
      </c>
      <c r="G7" s="2471" t="s">
        <v>2259</v>
      </c>
      <c r="H7" s="798"/>
      <c r="I7" s="798"/>
      <c r="J7" s="798"/>
      <c r="K7" s="798"/>
      <c r="L7" s="798"/>
      <c r="M7" s="798"/>
      <c r="N7" s="798"/>
      <c r="O7" s="798"/>
      <c r="P7" s="798"/>
      <c r="Q7" s="798"/>
      <c r="R7" s="798"/>
    </row>
    <row r="8" spans="1:29">
      <c r="A8" s="2441"/>
      <c r="B8" s="323" t="s">
        <v>2256</v>
      </c>
      <c r="C8" s="3447" t="s">
        <v>3394</v>
      </c>
      <c r="D8" s="2468"/>
      <c r="E8" s="2468"/>
      <c r="F8" s="2472"/>
      <c r="G8" s="2472"/>
      <c r="H8" s="798"/>
      <c r="I8" s="798"/>
      <c r="J8" s="798"/>
      <c r="K8" s="798"/>
      <c r="L8" s="798"/>
      <c r="M8" s="798"/>
      <c r="N8" s="798"/>
      <c r="O8" s="798"/>
      <c r="P8" s="798"/>
      <c r="Q8" s="798"/>
      <c r="R8" s="798"/>
    </row>
    <row r="9" spans="1:29">
      <c r="A9" s="2441"/>
      <c r="B9" s="323" t="s">
        <v>2260</v>
      </c>
      <c r="C9" s="3446" t="s">
        <v>3391</v>
      </c>
      <c r="D9" s="2463"/>
      <c r="E9" s="2468"/>
      <c r="F9" s="2472"/>
      <c r="G9" s="2472"/>
      <c r="H9" s="798"/>
      <c r="I9" s="798"/>
      <c r="J9" s="798"/>
      <c r="K9" s="798"/>
      <c r="L9" s="798"/>
      <c r="M9" s="798"/>
      <c r="N9" s="798"/>
      <c r="O9" s="798"/>
      <c r="P9" s="798"/>
      <c r="Q9" s="798"/>
      <c r="R9" s="798"/>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较好</v>
      </c>
      <c r="D15" s="2463"/>
      <c r="E15" s="2444" t="s">
        <v>2265</v>
      </c>
      <c r="F15" s="2494" t="s">
        <v>2266</v>
      </c>
      <c r="G15" s="2496" t="str">
        <f>G3</f>
        <v>估价对象位于XX开发区，园区建设成熟度XX，产业集聚程度XX</v>
      </c>
    </row>
    <row r="16" spans="1:29" ht="38.25">
      <c r="A16" s="2445"/>
      <c r="B16" s="2497" t="s">
        <v>2249</v>
      </c>
      <c r="C16" s="2498" t="str">
        <f>C4</f>
        <v>较好</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一般</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一般</v>
      </c>
      <c r="D20" s="2468"/>
      <c r="E20" s="2446"/>
      <c r="F20" s="323" t="s">
        <v>2256</v>
      </c>
      <c r="G20" s="2500" t="str">
        <f>G6</f>
        <v>估价对象所在区域基础设施水平</v>
      </c>
    </row>
    <row r="21" spans="1:18">
      <c r="A21" s="2445"/>
      <c r="B21" s="323" t="s">
        <v>2253</v>
      </c>
      <c r="C21" s="2500" t="str">
        <f>C7</f>
        <v>较好</v>
      </c>
      <c r="D21" s="2463"/>
      <c r="E21" s="2446"/>
      <c r="F21" s="2499" t="s">
        <v>2270</v>
      </c>
      <c r="G21" s="2502"/>
    </row>
    <row r="22" spans="1:18" ht="13.5" customHeight="1">
      <c r="A22" s="2445"/>
      <c r="B22" s="323" t="s">
        <v>2256</v>
      </c>
      <c r="C22" s="2500" t="str">
        <f>C8</f>
        <v>七通</v>
      </c>
      <c r="D22" s="2463"/>
      <c r="E22" s="2446"/>
      <c r="F22" s="2499" t="s">
        <v>2261</v>
      </c>
      <c r="G22" s="2501"/>
    </row>
    <row r="23" spans="1:18" s="798" customFormat="1" ht="15" thickBot="1">
      <c r="A23" s="2445"/>
      <c r="B23" s="2499" t="s">
        <v>2270</v>
      </c>
      <c r="C23" s="2502"/>
      <c r="D23" s="1740"/>
      <c r="E23" s="2447"/>
      <c r="F23" s="2503" t="s">
        <v>2271</v>
      </c>
      <c r="G23" s="2504"/>
      <c r="H23" s="2488"/>
      <c r="I23" s="2489"/>
      <c r="J23" s="2488"/>
      <c r="K23" s="2488"/>
      <c r="L23" s="2489"/>
      <c r="M23" s="2488"/>
      <c r="N23" s="2488"/>
      <c r="O23" s="2489"/>
      <c r="P23" s="2488"/>
      <c r="Q23" s="2488"/>
      <c r="R23" s="2490"/>
    </row>
    <row r="24" spans="1:18" s="798" customFormat="1" ht="15" thickBot="1">
      <c r="A24" s="2448"/>
      <c r="B24" s="2503" t="s">
        <v>2272</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I32" sqref="I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499.53</v>
      </c>
      <c r="C1" s="2679"/>
      <c r="D1" s="2679"/>
      <c r="E1" s="2679"/>
      <c r="F1" s="2679"/>
      <c r="G1" s="2680"/>
      <c r="H1" s="2681"/>
      <c r="I1" s="2681"/>
      <c r="J1" s="2681"/>
      <c r="K1" s="2681"/>
    </row>
    <row r="2" spans="1:11" ht="16.5">
      <c r="A2" s="2509" t="s">
        <v>653</v>
      </c>
      <c r="B2" s="2509">
        <f>SUM(C14:C23)</f>
        <v>0</v>
      </c>
      <c r="C2" s="2679"/>
      <c r="D2" s="2679"/>
      <c r="E2" s="2679"/>
      <c r="F2" s="2679"/>
      <c r="G2" s="2680"/>
      <c r="H2" s="2681"/>
      <c r="I2" s="2681"/>
      <c r="J2" s="2681"/>
      <c r="K2" s="2681"/>
    </row>
    <row r="3" spans="1:11" ht="16.5">
      <c r="A3" s="2509" t="s">
        <v>662</v>
      </c>
      <c r="B3" s="2511">
        <f>项目基本情况!D3</f>
        <v>45058</v>
      </c>
      <c r="C3" s="2679"/>
      <c r="D3" s="2679"/>
      <c r="E3" s="2679"/>
      <c r="F3" s="2679"/>
      <c r="G3" s="2680"/>
      <c r="H3" s="2681"/>
      <c r="I3" s="2681"/>
      <c r="J3" s="2681"/>
      <c r="K3" s="2681"/>
    </row>
    <row r="4" spans="1:11" ht="33">
      <c r="A4" s="2509" t="s">
        <v>661</v>
      </c>
      <c r="B4" s="2509" t="s">
        <v>660</v>
      </c>
      <c r="C4" s="2509" t="s">
        <v>659</v>
      </c>
      <c r="D4" s="2509" t="s">
        <v>658</v>
      </c>
      <c r="E4" s="2679"/>
      <c r="F4" s="2680"/>
      <c r="G4" s="2680"/>
      <c r="H4" s="2681"/>
      <c r="I4" s="2681"/>
      <c r="J4" s="2681"/>
      <c r="K4" s="2681"/>
    </row>
    <row r="5" spans="1:11" ht="16.5">
      <c r="A5" s="2509" t="s">
        <v>657</v>
      </c>
      <c r="B5" s="2509">
        <f ca="1">SUM(D14:D23)</f>
        <v>1349</v>
      </c>
      <c r="C5" s="2509">
        <f ca="1">IF(B5=D14,结果表!H102,ROUND(B5*10000/$B$1,0))</f>
        <v>27008</v>
      </c>
      <c r="D5" s="2509" t="e">
        <f ca="1">ROUND(B5*10000/$B$2,0)</f>
        <v>#DIV/0!</v>
      </c>
      <c r="E5" s="2679"/>
      <c r="F5" s="2680"/>
      <c r="G5" s="2680"/>
      <c r="H5" s="2681"/>
      <c r="I5" s="2681"/>
      <c r="J5" s="2681"/>
      <c r="K5" s="2681"/>
    </row>
    <row r="6" spans="1:11" ht="16.5">
      <c r="A6" s="2509" t="s">
        <v>656</v>
      </c>
      <c r="B6" s="2509">
        <f ca="1">SUM(G14:G23)</f>
        <v>1349</v>
      </c>
      <c r="C6" s="2509">
        <f ca="1">IF(B6=G14,结果表!H108,ROUND(B6*10000/$B$1,0))</f>
        <v>27008</v>
      </c>
      <c r="D6" s="2509" t="e">
        <f ca="1">ROUND(B6*10000/$B$2,0)</f>
        <v>#DIV/0!</v>
      </c>
      <c r="E6" s="2679"/>
      <c r="F6" s="2680"/>
      <c r="G6" s="2680"/>
      <c r="H6" s="2681"/>
      <c r="I6" s="2681"/>
      <c r="J6" s="2681"/>
      <c r="K6" s="2681"/>
    </row>
    <row r="7" spans="1:11" ht="16.5">
      <c r="A7" s="2509" t="s">
        <v>664</v>
      </c>
      <c r="B7" s="2509">
        <f>SUM(H14:H23)</f>
        <v>0</v>
      </c>
      <c r="C7" s="2509" t="str">
        <f>IF(B7=H14,结果表!H110,ROUND(B7*10000/$B$1,0))</f>
        <v>——</v>
      </c>
      <c r="D7" s="2509" t="e">
        <f>ROUND(B7*10000/$B$2,0)</f>
        <v>#DIV/0!</v>
      </c>
      <c r="E7" s="2679"/>
      <c r="F7" s="2680"/>
      <c r="G7" s="2680"/>
      <c r="H7" s="2681"/>
      <c r="I7" s="2681"/>
      <c r="J7" s="2681"/>
      <c r="K7" s="2681"/>
    </row>
    <row r="8" spans="1:11" ht="16.5">
      <c r="A8" s="2509" t="s">
        <v>587</v>
      </c>
      <c r="B8" s="2509">
        <f ca="1">SUM(I14:I23)</f>
        <v>1285</v>
      </c>
      <c r="C8" s="2509">
        <f ca="1">IF(B8=I14,结果表!H112,ROUND(B8*10000/$B$1,0))</f>
        <v>25724</v>
      </c>
      <c r="D8" s="2509" t="e">
        <f ca="1">ROUND(B8*10000/$B$2,0)</f>
        <v>#DIV/0!</v>
      </c>
      <c r="E8" s="2679"/>
      <c r="F8" s="2680"/>
      <c r="G8" s="2680"/>
      <c r="H8" s="2681"/>
      <c r="I8" s="2681"/>
      <c r="J8" s="2681"/>
      <c r="K8" s="2681"/>
    </row>
    <row r="9" spans="1:11" ht="16.5">
      <c r="A9" s="2509" t="s">
        <v>655</v>
      </c>
      <c r="B9" s="2517"/>
      <c r="C9" s="2679"/>
      <c r="D9" s="2679"/>
      <c r="E9" s="2679"/>
      <c r="F9" s="2680"/>
      <c r="G9" s="2680"/>
      <c r="H9" s="2681"/>
      <c r="I9" s="2681"/>
      <c r="J9" s="2681"/>
      <c r="K9" s="2681"/>
    </row>
    <row r="10" spans="1:11" ht="16.5">
      <c r="A10" s="2509" t="s">
        <v>654</v>
      </c>
      <c r="B10" s="2509">
        <f>IF(E10="",0,ROUND(B1*(E10*365/G10)/10000,0))</f>
        <v>0</v>
      </c>
      <c r="C10" s="2509" t="s">
        <v>3352</v>
      </c>
      <c r="D10" s="2509" t="s">
        <v>3353</v>
      </c>
      <c r="E10" s="3434"/>
      <c r="F10" s="3438" t="s">
        <v>3354</v>
      </c>
      <c r="G10" s="3435"/>
      <c r="H10" s="2681"/>
      <c r="I10" s="2681"/>
      <c r="J10" s="2681"/>
      <c r="K10" s="2681"/>
    </row>
    <row r="11" spans="1:11" ht="16.5">
      <c r="A11" s="2509" t="s">
        <v>670</v>
      </c>
      <c r="B11" s="2517"/>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2" t="s">
        <v>669</v>
      </c>
      <c r="B13" s="2513" t="s">
        <v>666</v>
      </c>
      <c r="C13" s="2513" t="s">
        <v>668</v>
      </c>
      <c r="D13" s="2513" t="s">
        <v>667</v>
      </c>
      <c r="E13" s="2509" t="s">
        <v>659</v>
      </c>
      <c r="F13" s="2509" t="s">
        <v>658</v>
      </c>
      <c r="G13" s="2513" t="s">
        <v>652</v>
      </c>
      <c r="H13" s="2513" t="s">
        <v>663</v>
      </c>
      <c r="I13" s="2513" t="s">
        <v>651</v>
      </c>
      <c r="J13" s="2680"/>
      <c r="K13" s="2681"/>
    </row>
    <row r="14" spans="1:11" ht="16.5">
      <c r="A14" s="2514" t="s">
        <v>650</v>
      </c>
      <c r="B14" s="2515">
        <f>结果表!B118</f>
        <v>499.53</v>
      </c>
      <c r="C14" s="2515"/>
      <c r="D14" s="2515">
        <f ca="1">结果表!H118</f>
        <v>1349</v>
      </c>
      <c r="E14" s="2515">
        <f ca="1">ROUND(D14*10000/B14,0)</f>
        <v>27005</v>
      </c>
      <c r="F14" s="2515" t="e">
        <f ca="1">ROUND(D14*10000/C14,0)</f>
        <v>#DIV/0!</v>
      </c>
      <c r="G14" s="2515">
        <f ca="1">D14</f>
        <v>1349</v>
      </c>
      <c r="H14" s="2515"/>
      <c r="I14" s="2515">
        <f ca="1">结果表!D126</f>
        <v>1285</v>
      </c>
      <c r="J14" s="2680"/>
      <c r="K14" s="2681"/>
    </row>
    <row r="15" spans="1:11" ht="16.5">
      <c r="A15" s="2514" t="s">
        <v>649</v>
      </c>
      <c r="B15" s="2516"/>
      <c r="C15" s="2516"/>
      <c r="D15" s="2516"/>
      <c r="E15" s="2515" t="e">
        <f t="shared" ref="E15:E23" si="0">ROUND(D15*10000/B15,0)</f>
        <v>#DIV/0!</v>
      </c>
      <c r="F15" s="2515" t="e">
        <f t="shared" ref="F15:F23" si="1">ROUND(D15*10000/C15,0)</f>
        <v>#DIV/0!</v>
      </c>
      <c r="G15" s="1330"/>
      <c r="H15" s="1330"/>
      <c r="I15" s="2516"/>
      <c r="J15" s="2680"/>
      <c r="K15" s="2681"/>
    </row>
    <row r="16" spans="1:11" ht="16.5">
      <c r="A16" s="2514" t="s">
        <v>648</v>
      </c>
      <c r="B16" s="2516"/>
      <c r="C16" s="2516"/>
      <c r="D16" s="2516"/>
      <c r="E16" s="2515" t="e">
        <f t="shared" si="0"/>
        <v>#DIV/0!</v>
      </c>
      <c r="F16" s="2515" t="e">
        <f t="shared" si="1"/>
        <v>#DIV/0!</v>
      </c>
      <c r="G16" s="1330"/>
      <c r="H16" s="1330"/>
      <c r="I16" s="2516"/>
      <c r="J16" s="2681"/>
      <c r="K16" s="2681"/>
    </row>
    <row r="17" spans="1:11" ht="16.5">
      <c r="A17" s="2514" t="s">
        <v>647</v>
      </c>
      <c r="B17" s="2516"/>
      <c r="C17" s="2516"/>
      <c r="D17" s="2516"/>
      <c r="E17" s="2515" t="e">
        <f t="shared" si="0"/>
        <v>#DIV/0!</v>
      </c>
      <c r="F17" s="2515" t="e">
        <f t="shared" si="1"/>
        <v>#DIV/0!</v>
      </c>
      <c r="G17" s="1330"/>
      <c r="H17" s="1330"/>
      <c r="I17" s="2516"/>
      <c r="J17" s="2681"/>
      <c r="K17" s="2681"/>
    </row>
    <row r="18" spans="1:11" ht="16.5">
      <c r="A18" s="2514" t="s">
        <v>646</v>
      </c>
      <c r="B18" s="2516"/>
      <c r="C18" s="2516"/>
      <c r="D18" s="2516"/>
      <c r="E18" s="2515" t="e">
        <f t="shared" si="0"/>
        <v>#DIV/0!</v>
      </c>
      <c r="F18" s="2515" t="e">
        <f t="shared" si="1"/>
        <v>#DIV/0!</v>
      </c>
      <c r="G18" s="2516"/>
      <c r="H18" s="2516"/>
      <c r="I18" s="2516"/>
      <c r="J18" s="2681"/>
      <c r="K18" s="2681"/>
    </row>
    <row r="19" spans="1:11" ht="16.5">
      <c r="A19" s="2514" t="s">
        <v>645</v>
      </c>
      <c r="B19" s="2516"/>
      <c r="C19" s="2516"/>
      <c r="D19" s="2516"/>
      <c r="E19" s="2515" t="e">
        <f t="shared" si="0"/>
        <v>#DIV/0!</v>
      </c>
      <c r="F19" s="2515" t="e">
        <f t="shared" si="1"/>
        <v>#DIV/0!</v>
      </c>
      <c r="G19" s="2516"/>
      <c r="H19" s="2516"/>
      <c r="I19" s="2516"/>
      <c r="J19" s="2681"/>
      <c r="K19" s="2681"/>
    </row>
    <row r="20" spans="1:11" ht="16.5">
      <c r="A20" s="2514" t="s">
        <v>644</v>
      </c>
      <c r="B20" s="2516"/>
      <c r="C20" s="2516"/>
      <c r="D20" s="2516"/>
      <c r="E20" s="2515" t="e">
        <f t="shared" si="0"/>
        <v>#DIV/0!</v>
      </c>
      <c r="F20" s="2515" t="e">
        <f t="shared" si="1"/>
        <v>#DIV/0!</v>
      </c>
      <c r="G20" s="2516"/>
      <c r="H20" s="2516"/>
      <c r="I20" s="2516"/>
      <c r="J20" s="2681"/>
      <c r="K20" s="2681"/>
    </row>
    <row r="21" spans="1:11" ht="16.5">
      <c r="A21" s="2514" t="s">
        <v>643</v>
      </c>
      <c r="B21" s="2516"/>
      <c r="C21" s="2516"/>
      <c r="D21" s="2516"/>
      <c r="E21" s="2515" t="e">
        <f t="shared" si="0"/>
        <v>#DIV/0!</v>
      </c>
      <c r="F21" s="2515" t="e">
        <f t="shared" si="1"/>
        <v>#DIV/0!</v>
      </c>
      <c r="G21" s="2516"/>
      <c r="H21" s="2516"/>
      <c r="I21" s="2516"/>
      <c r="J21" s="2681"/>
      <c r="K21" s="2681"/>
    </row>
    <row r="22" spans="1:11" ht="16.5">
      <c r="A22" s="2514" t="s">
        <v>642</v>
      </c>
      <c r="B22" s="2516"/>
      <c r="C22" s="2516"/>
      <c r="D22" s="2516"/>
      <c r="E22" s="2515" t="e">
        <f t="shared" si="0"/>
        <v>#DIV/0!</v>
      </c>
      <c r="F22" s="2515" t="e">
        <f t="shared" si="1"/>
        <v>#DIV/0!</v>
      </c>
      <c r="G22" s="2516"/>
      <c r="H22" s="2516"/>
      <c r="I22" s="2516"/>
      <c r="J22" s="2681"/>
      <c r="K22" s="2681"/>
    </row>
    <row r="23" spans="1:11" ht="16.5">
      <c r="A23" s="2514" t="s">
        <v>641</v>
      </c>
      <c r="B23" s="2516"/>
      <c r="C23" s="2516"/>
      <c r="D23" s="2516"/>
      <c r="E23" s="2517" t="e">
        <f t="shared" si="0"/>
        <v>#DIV/0!</v>
      </c>
      <c r="F23" s="2517" t="e">
        <f t="shared" si="1"/>
        <v>#DIV/0!</v>
      </c>
      <c r="G23" s="2516"/>
      <c r="H23" s="2516"/>
      <c r="I23" s="2516"/>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1" sqref="J2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3380</v>
      </c>
      <c r="D1" s="1746"/>
      <c r="E1" s="1746"/>
      <c r="F1" s="1748" t="s">
        <v>1261</v>
      </c>
      <c r="G1" s="1560" t="s">
        <v>3453</v>
      </c>
      <c r="H1" s="1749" t="str">
        <f>IF(G1="现房","——","估价对象范围")</f>
        <v>——</v>
      </c>
      <c r="I1" s="1750" t="s">
        <v>3454</v>
      </c>
    </row>
    <row r="2" spans="1:12" ht="21.75" customHeight="1" thickBot="1">
      <c r="A2" s="3584" t="str">
        <f>项目基本情况!S2</f>
        <v>北京市门头沟区城子大街90号院17号楼1层17-2房地产</v>
      </c>
      <c r="B2" s="3585"/>
      <c r="C2" s="3585"/>
      <c r="D2" s="3585"/>
      <c r="E2" s="3585"/>
      <c r="F2" s="3585"/>
      <c r="G2" s="3585"/>
      <c r="H2" s="3585"/>
      <c r="I2" s="3586"/>
    </row>
    <row r="3" spans="1:12" ht="12.75">
      <c r="A3" s="3588" t="s">
        <v>1262</v>
      </c>
      <c r="B3" s="3589"/>
      <c r="C3" s="3589"/>
      <c r="D3" s="3589"/>
      <c r="E3" s="3589"/>
      <c r="F3" s="3589"/>
      <c r="G3" s="3589"/>
      <c r="H3" s="3589"/>
      <c r="I3" s="3589"/>
    </row>
    <row r="4" spans="1:12" ht="14.25">
      <c r="A4" s="1753" t="s">
        <v>1263</v>
      </c>
      <c r="B4" s="1754" t="s">
        <v>1264</v>
      </c>
      <c r="C4" s="1755" t="s">
        <v>3455</v>
      </c>
      <c r="D4" s="1755" t="s">
        <v>3384</v>
      </c>
      <c r="E4" s="3590" t="s">
        <v>1265</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1266</v>
      </c>
      <c r="B5" s="3551">
        <v>25</v>
      </c>
      <c r="C5" s="3567"/>
      <c r="D5" s="3587"/>
      <c r="E5" s="131" t="s">
        <v>1267</v>
      </c>
      <c r="F5" s="1756"/>
      <c r="G5" s="1756"/>
      <c r="H5" s="1756"/>
      <c r="I5" s="1372"/>
    </row>
    <row r="6" spans="1:12" ht="12.75">
      <c r="A6" s="3564"/>
      <c r="B6" s="3551"/>
      <c r="C6" s="3568"/>
      <c r="D6" s="3587"/>
      <c r="E6" s="131" t="s">
        <v>1268</v>
      </c>
      <c r="F6" s="1756"/>
      <c r="G6" s="1756"/>
      <c r="H6" s="1756"/>
      <c r="I6" s="1372"/>
    </row>
    <row r="7" spans="1:12" ht="12.75">
      <c r="A7" s="3564"/>
      <c r="B7" s="3551"/>
      <c r="C7" s="3569"/>
      <c r="D7" s="3587"/>
      <c r="E7" s="131" t="s">
        <v>1269</v>
      </c>
      <c r="F7" s="1756"/>
      <c r="G7" s="1756"/>
      <c r="H7" s="1756"/>
      <c r="I7" s="1372"/>
    </row>
    <row r="8" spans="1:12" ht="12.75">
      <c r="A8" s="3564" t="s">
        <v>1270</v>
      </c>
      <c r="B8" s="3551">
        <v>15</v>
      </c>
      <c r="C8" s="3567"/>
      <c r="D8" s="3587"/>
      <c r="E8" s="131" t="s">
        <v>1271</v>
      </c>
      <c r="F8" s="1756"/>
      <c r="G8" s="1756"/>
      <c r="H8" s="1756"/>
      <c r="I8" s="1372"/>
    </row>
    <row r="9" spans="1:12" ht="12.75">
      <c r="A9" s="3564"/>
      <c r="B9" s="3551"/>
      <c r="C9" s="3569"/>
      <c r="D9" s="3587"/>
      <c r="E9" s="131" t="s">
        <v>1272</v>
      </c>
      <c r="F9" s="1756"/>
      <c r="G9" s="1756"/>
      <c r="H9" s="1756"/>
      <c r="I9" s="1372"/>
    </row>
    <row r="10" spans="1:12" ht="12.75">
      <c r="A10" s="3564" t="s">
        <v>1273</v>
      </c>
      <c r="B10" s="3551">
        <v>15</v>
      </c>
      <c r="C10" s="3567"/>
      <c r="D10" s="3587"/>
      <c r="E10" s="131" t="s">
        <v>1274</v>
      </c>
      <c r="F10" s="1756"/>
      <c r="G10" s="1756"/>
      <c r="H10" s="1756"/>
      <c r="I10" s="1372"/>
    </row>
    <row r="11" spans="1:12" ht="12.75">
      <c r="A11" s="3564"/>
      <c r="B11" s="3551"/>
      <c r="C11" s="3569"/>
      <c r="D11" s="3587"/>
      <c r="E11" s="131" t="s">
        <v>1275</v>
      </c>
      <c r="F11" s="1756"/>
      <c r="G11" s="1756"/>
      <c r="H11" s="1756"/>
      <c r="I11" s="1372"/>
    </row>
    <row r="12" spans="1:12" ht="12.75">
      <c r="A12" s="3564" t="s">
        <v>1276</v>
      </c>
      <c r="B12" s="3551">
        <v>15</v>
      </c>
      <c r="C12" s="3567"/>
      <c r="D12" s="3587"/>
      <c r="E12" s="131" t="s">
        <v>1277</v>
      </c>
      <c r="F12" s="1756"/>
      <c r="G12" s="1756"/>
      <c r="H12" s="1756"/>
      <c r="I12" s="1372"/>
    </row>
    <row r="13" spans="1:12" ht="12.75">
      <c r="A13" s="3564"/>
      <c r="B13" s="3551"/>
      <c r="C13" s="3569"/>
      <c r="D13" s="3587"/>
      <c r="E13" s="131" t="s">
        <v>1278</v>
      </c>
      <c r="F13" s="1756"/>
      <c r="G13" s="1756"/>
      <c r="H13" s="1756"/>
      <c r="I13" s="1372"/>
    </row>
    <row r="14" spans="1:12" ht="12.75">
      <c r="A14" s="3564" t="s">
        <v>1279</v>
      </c>
      <c r="B14" s="3551">
        <v>30</v>
      </c>
      <c r="C14" s="3567">
        <v>5</v>
      </c>
      <c r="D14" s="3587">
        <v>5</v>
      </c>
      <c r="E14" s="131" t="s">
        <v>1280</v>
      </c>
      <c r="F14" s="1756"/>
      <c r="G14" s="1756"/>
      <c r="H14" s="1756"/>
      <c r="I14" s="1372"/>
    </row>
    <row r="15" spans="1:12" ht="12.75">
      <c r="A15" s="3564"/>
      <c r="B15" s="3551"/>
      <c r="C15" s="3568"/>
      <c r="D15" s="3587"/>
      <c r="E15" s="131" t="s">
        <v>1281</v>
      </c>
      <c r="F15" s="1756"/>
      <c r="G15" s="1756"/>
      <c r="H15" s="1756"/>
      <c r="I15" s="1372"/>
    </row>
    <row r="16" spans="1:12" ht="12.75">
      <c r="A16" s="3564"/>
      <c r="B16" s="3551"/>
      <c r="C16" s="3569"/>
      <c r="D16" s="3587"/>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574" t="s">
        <v>2129</v>
      </c>
      <c r="F18" s="3575"/>
      <c r="G18" s="3575"/>
      <c r="H18" s="3575"/>
      <c r="I18" s="3575"/>
      <c r="K18" s="302" t="s">
        <v>1287</v>
      </c>
      <c r="L18" s="302">
        <f>IF(C1="",'数据-汇总表'!E3,SUMIF(项目类型,C1,'数据-汇总表'!E17:E26)+SUMIF(项目类型,C1,'数据-汇总表'!I17:I26))</f>
        <v>499.53</v>
      </c>
      <c r="M18" s="302">
        <f>IF(C1="",'数据-汇总表'!E3,SUMIF(项目类型,C1,'数据-汇总表'!E17:E26))</f>
        <v>499.53</v>
      </c>
    </row>
    <row r="19" spans="1:36" ht="15">
      <c r="A19" s="1760" t="s">
        <v>1288</v>
      </c>
      <c r="B19" s="1761" t="s">
        <v>1289</v>
      </c>
      <c r="C19" s="134">
        <f ca="1">SUMIF(INDIRECT("'"&amp;C4&amp;"'"&amp;"!A:A"),结果表!B19,INDIRECT("'"&amp;C4&amp;"'"&amp;"!B:B"))</f>
        <v>1423.6605</v>
      </c>
      <c r="D19" s="135">
        <f ca="1">SUMIF(INDIRECT("'"&amp;D4&amp;"'"&amp;"!A:A"),结果表!B19,INDIRECT("'"&amp;D4&amp;"'"&amp;"!B:B"))</f>
        <v>1274.5352</v>
      </c>
      <c r="E19" s="1760" t="s">
        <v>1290</v>
      </c>
      <c r="F19" s="1761" t="s">
        <v>1289</v>
      </c>
      <c r="G19" s="136">
        <f ca="1">ROUND(C19*$C$18+D19*$D$18,0)</f>
        <v>1349</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28500</v>
      </c>
      <c r="D20" s="138">
        <f ca="1">SUMIF(INDIRECT("'"&amp;D4&amp;"'"&amp;"!A:A"),结果表!B20,INDIRECT("'"&amp;D4&amp;"'"&amp;"!B:B"))</f>
        <v>25515</v>
      </c>
      <c r="E20" s="1763"/>
      <c r="F20" s="1025" t="s">
        <v>1293</v>
      </c>
      <c r="G20" s="139">
        <f ca="1">ROUND(C20*$C$18+D20*$D$18,0)</f>
        <v>27008</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0.11700367318219218</v>
      </c>
      <c r="E22" s="129"/>
      <c r="F22" s="129"/>
      <c r="G22" s="129"/>
      <c r="H22" s="129"/>
      <c r="I22" s="129"/>
    </row>
    <row r="23" spans="1:36" ht="13.5" thickBot="1">
      <c r="A23" s="1746"/>
      <c r="B23" s="1746"/>
      <c r="C23" s="1746"/>
      <c r="D23" s="1746"/>
      <c r="E23" s="129"/>
      <c r="F23" s="129"/>
      <c r="G23" s="129"/>
      <c r="H23" s="129"/>
      <c r="I23" s="129"/>
    </row>
    <row r="24" spans="1:36" ht="14.25">
      <c r="A24" s="3558" t="s">
        <v>1297</v>
      </c>
      <c r="B24" s="1761" t="s">
        <v>1289</v>
      </c>
      <c r="C24" s="136">
        <f>IF(B30=0,0,D30)</f>
        <v>0</v>
      </c>
      <c r="D24" s="1768"/>
      <c r="E24" s="129"/>
      <c r="F24" s="129"/>
      <c r="G24" s="129"/>
      <c r="H24" s="129"/>
      <c r="I24" s="129"/>
    </row>
    <row r="25" spans="1:36" ht="14.25">
      <c r="A25" s="3559"/>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2"/>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27008</v>
      </c>
      <c r="D32" s="1774" t="s">
        <v>3456</v>
      </c>
      <c r="E32" s="129"/>
      <c r="F32" s="129"/>
      <c r="G32" s="129"/>
      <c r="H32" s="129"/>
      <c r="I32" s="129"/>
    </row>
    <row r="33" spans="1:15" ht="15">
      <c r="A33" s="785" t="s">
        <v>1304</v>
      </c>
      <c r="B33" s="1775"/>
      <c r="C33" s="1776" t="s">
        <v>3550</v>
      </c>
      <c r="D33" s="1777" t="s">
        <v>3384</v>
      </c>
      <c r="E33" s="1778" t="s">
        <v>1305</v>
      </c>
      <c r="F33" s="1779" t="str">
        <f>IF(D32="楼面单价","取值（单价）","取值（总价）")</f>
        <v>取值（单价）</v>
      </c>
      <c r="G33" s="129"/>
      <c r="H33" s="129"/>
      <c r="I33" s="129"/>
    </row>
    <row r="34" spans="1:15" ht="15">
      <c r="A34" s="1780"/>
      <c r="B34" s="1781" t="s">
        <v>1306</v>
      </c>
      <c r="C34" s="148">
        <f ca="1">IF(C33="自定义",F34,C32-C35)</f>
        <v>19473</v>
      </c>
      <c r="D34" s="860">
        <f ca="1">IF(C33="自定义",ROUND(C34/C32,3),IF(C33="收益比率",SUMIF(INDIRECT("'"&amp;D33&amp;"'"&amp;"!b:b"),"土地收益比率",INDIRECT("'"&amp;D33&amp;"'"&amp;"!c:c")),SUMIF(INDIRECT("'"&amp;D33&amp;"'"&amp;"!b:b"),"土地成本比率",INDIRECT("'"&amp;D33&amp;"'"&amp;"!c:c"))))</f>
        <v>0.72099999999999997</v>
      </c>
      <c r="E34" s="1782" t="s">
        <v>1307</v>
      </c>
      <c r="F34" s="1329"/>
      <c r="G34" s="129"/>
      <c r="H34" s="129"/>
      <c r="I34" s="129"/>
    </row>
    <row r="35" spans="1:15" ht="15.75" thickBot="1">
      <c r="A35" s="1783"/>
      <c r="B35" s="1784" t="s">
        <v>1308</v>
      </c>
      <c r="C35" s="1169">
        <f ca="1">IF(C33="自定义",F35,ROUND(C32*D35,0))</f>
        <v>7535</v>
      </c>
      <c r="D35" s="1170">
        <f ca="1">IF(C33="自定义",ROUND(C35/C32,3),IF(C33="收益比率",SUMIF(INDIRECT("'"&amp;D33&amp;"'"&amp;"!b:b"),"建筑物收益比率",INDIRECT("'"&amp;D33&amp;"'"&amp;"!c:c")),SUMIF(INDIRECT("'"&amp;D33&amp;"'"&amp;"!b:b"),"建筑物成本比率",INDIRECT("'"&amp;D33&amp;"'"&amp;"!c:c"))))</f>
        <v>0.27900000000000003</v>
      </c>
      <c r="E35" s="1785" t="s">
        <v>1309</v>
      </c>
      <c r="F35" s="154"/>
      <c r="G35" s="129"/>
      <c r="H35" s="129"/>
      <c r="I35" s="129"/>
    </row>
    <row r="36" spans="1:15" ht="15.75" thickBot="1">
      <c r="A36" s="3578" t="s">
        <v>1310</v>
      </c>
      <c r="B36" s="1786" t="s">
        <v>1311</v>
      </c>
      <c r="C36" s="145"/>
      <c r="D36" s="1787"/>
      <c r="E36" s="1788"/>
      <c r="F36" s="1789"/>
      <c r="G36" s="129"/>
      <c r="H36" s="129"/>
      <c r="I36" s="129"/>
    </row>
    <row r="37" spans="1:15" ht="15.75" thickBot="1">
      <c r="A37" s="3579"/>
      <c r="B37" s="1673" t="s">
        <v>1312</v>
      </c>
      <c r="C37" s="147"/>
      <c r="D37" s="1138"/>
      <c r="E37" s="1138"/>
      <c r="F37" s="1789"/>
      <c r="G37" s="129"/>
      <c r="H37" s="129"/>
      <c r="I37" s="129"/>
    </row>
    <row r="38" spans="1:15" ht="15.75" thickBot="1">
      <c r="A38" s="3580"/>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55" t="s">
        <v>1324</v>
      </c>
      <c r="B45" s="3556"/>
      <c r="C45" s="3557"/>
      <c r="D45" s="155">
        <f ca="1">ROUND(H101*F45,0)</f>
        <v>1349</v>
      </c>
      <c r="E45" s="156" t="s">
        <v>1325</v>
      </c>
      <c r="F45" s="157">
        <v>1</v>
      </c>
      <c r="G45" s="158" t="s">
        <v>1326</v>
      </c>
      <c r="H45" s="129"/>
      <c r="I45" s="129"/>
      <c r="J45" s="3633" t="s">
        <v>1327</v>
      </c>
      <c r="K45" s="3633"/>
      <c r="L45" s="3633"/>
      <c r="M45" s="3633"/>
      <c r="N45" s="3633"/>
      <c r="O45" s="3633"/>
    </row>
    <row r="46" spans="1:15" ht="14.25" customHeight="1">
      <c r="A46" s="3552" t="s">
        <v>1328</v>
      </c>
      <c r="B46" s="3553"/>
      <c r="C46" s="3553"/>
      <c r="D46" s="3553"/>
      <c r="E46" s="3553"/>
      <c r="F46" s="3553"/>
      <c r="G46" s="3554"/>
      <c r="H46" s="1805"/>
      <c r="I46" s="159"/>
      <c r="J46" s="2520">
        <v>1</v>
      </c>
      <c r="K46" s="3614" t="s">
        <v>1329</v>
      </c>
      <c r="L46" s="3614"/>
      <c r="M46" s="3634"/>
      <c r="N46" s="3634"/>
      <c r="O46" s="3634"/>
    </row>
    <row r="47" spans="1:15" ht="12" customHeight="1">
      <c r="A47" s="160" t="s">
        <v>1330</v>
      </c>
      <c r="B47" s="161"/>
      <c r="C47" s="162"/>
      <c r="D47" s="1086" t="s">
        <v>1331</v>
      </c>
      <c r="E47" s="302" t="s">
        <v>1332</v>
      </c>
      <c r="F47" s="163" t="s">
        <v>1333</v>
      </c>
      <c r="G47" s="2539" t="s">
        <v>1334</v>
      </c>
      <c r="H47" s="2540"/>
      <c r="I47" s="159"/>
      <c r="J47" s="2520">
        <v>2</v>
      </c>
      <c r="K47" s="3614" t="s">
        <v>1335</v>
      </c>
      <c r="L47" s="3614"/>
      <c r="M47" s="3635">
        <f>'数据-取费表'!B2</f>
        <v>45058</v>
      </c>
      <c r="N47" s="3635"/>
      <c r="O47" s="3635"/>
    </row>
    <row r="48" spans="1:15" ht="25.5">
      <c r="A48" s="3583" t="s">
        <v>1336</v>
      </c>
      <c r="B48" s="3566"/>
      <c r="C48" s="3566"/>
      <c r="D48" s="2323">
        <f ca="1">IF(H48="情况1",0,IF(H48="情况2",D52,IF(H48="情况3",D53,IF(H48="情况4",D54))))</f>
        <v>14</v>
      </c>
      <c r="E48" s="2333" t="str">
        <f>IF(H48="情况4","(销售额-原购置价)×税（费）率","销售额×税（费）率")</f>
        <v>(销售额-原购置价)×税（费）率</v>
      </c>
      <c r="F48" s="2541">
        <f>IF(H48="情况1","免征",'数据-取费表'!B41)</f>
        <v>5.6000000000000001E-2</v>
      </c>
      <c r="G48" s="2542" t="s">
        <v>1337</v>
      </c>
      <c r="H48" s="2543" t="s">
        <v>3457</v>
      </c>
      <c r="I48" s="1805"/>
      <c r="J48" s="2520">
        <v>3</v>
      </c>
      <c r="K48" s="3614" t="s">
        <v>1338</v>
      </c>
      <c r="L48" s="3614"/>
      <c r="M48" s="3636">
        <f ca="1">H101</f>
        <v>1349</v>
      </c>
      <c r="N48" s="3636"/>
      <c r="O48" s="3636"/>
    </row>
    <row r="49" spans="1:35" ht="25.5" customHeight="1">
      <c r="A49" s="2332" t="s">
        <v>1339</v>
      </c>
      <c r="B49" s="3550" t="s">
        <v>1340</v>
      </c>
      <c r="C49" s="3550"/>
      <c r="D49" s="1589">
        <v>0</v>
      </c>
      <c r="E49" s="324" t="s">
        <v>1341</v>
      </c>
      <c r="F49" s="2423" t="s">
        <v>28</v>
      </c>
      <c r="G49" s="3620"/>
      <c r="H49" s="2309" t="s">
        <v>2132</v>
      </c>
      <c r="I49" s="2310"/>
      <c r="J49" s="2520">
        <v>4</v>
      </c>
      <c r="K49" s="3614" t="str">
        <f>IF(项目基本情况!E8="房地产抵押价值","房地产抵押价值","抵押担保权已注销时的房地产抵押价值")</f>
        <v>房地产抵押价值</v>
      </c>
      <c r="L49" s="3614"/>
      <c r="M49" s="3636">
        <f ca="1">IF(项目基本情况!E8="房地产抵押价值",H107,H109)</f>
        <v>1349</v>
      </c>
      <c r="N49" s="3636"/>
      <c r="O49" s="3636"/>
    </row>
    <row r="50" spans="1:35" ht="25.5" customHeight="1">
      <c r="A50" s="2544"/>
      <c r="B50" s="3550" t="s">
        <v>1342</v>
      </c>
      <c r="C50" s="3550"/>
      <c r="D50" s="2545"/>
      <c r="E50" s="332"/>
      <c r="F50" s="2423"/>
      <c r="G50" s="3621"/>
      <c r="H50" s="2311" t="s">
        <v>2133</v>
      </c>
      <c r="I50" s="2310"/>
      <c r="J50" s="3633" t="s">
        <v>1343</v>
      </c>
      <c r="K50" s="3633"/>
      <c r="L50" s="3633"/>
      <c r="M50" s="3633"/>
      <c r="N50" s="3633"/>
      <c r="O50" s="3633"/>
    </row>
    <row r="51" spans="1:35" ht="20.45" customHeight="1">
      <c r="A51" s="2546"/>
      <c r="B51" s="3550" t="s">
        <v>1344</v>
      </c>
      <c r="C51" s="3550"/>
      <c r="D51" s="1086"/>
      <c r="E51" s="327"/>
      <c r="F51" s="2423"/>
      <c r="G51" s="3622"/>
      <c r="H51" s="2311" t="s">
        <v>2134</v>
      </c>
      <c r="I51" s="2310"/>
      <c r="J51" s="2521" t="s">
        <v>1345</v>
      </c>
      <c r="K51" s="3614" t="s">
        <v>1346</v>
      </c>
      <c r="L51" s="3614"/>
      <c r="M51" s="2521" t="s">
        <v>1347</v>
      </c>
      <c r="N51" s="2521" t="s">
        <v>1348</v>
      </c>
      <c r="O51" s="2521" t="s">
        <v>1349</v>
      </c>
    </row>
    <row r="52" spans="1:35" ht="24" customHeight="1">
      <c r="A52" s="2334" t="s">
        <v>1350</v>
      </c>
      <c r="B52" s="3550" t="s">
        <v>1351</v>
      </c>
      <c r="C52" s="3550"/>
      <c r="D52" s="1086">
        <f ca="1">ROUND(D45*'数据-取费表'!B41/(1+'数据-取费表'!C42),0)</f>
        <v>72</v>
      </c>
      <c r="E52" s="2333" t="s">
        <v>1352</v>
      </c>
      <c r="F52" s="2547">
        <f>'数据-取费表'!B41</f>
        <v>5.6000000000000001E-2</v>
      </c>
      <c r="G52" s="2548"/>
      <c r="H52" s="2537"/>
      <c r="I52" s="1806"/>
      <c r="J52" s="2520">
        <v>1</v>
      </c>
      <c r="K52" s="3615" t="s">
        <v>1353</v>
      </c>
      <c r="L52" s="3615"/>
      <c r="M52" s="2522">
        <f ca="1">D48</f>
        <v>14</v>
      </c>
      <c r="N52" s="2520" t="str">
        <f>E48</f>
        <v>(销售额-原购置价)×税（费）率</v>
      </c>
      <c r="O52" s="2523">
        <f>F48</f>
        <v>5.6000000000000001E-2</v>
      </c>
    </row>
    <row r="53" spans="1:35" ht="12" customHeight="1">
      <c r="A53" s="2334" t="s">
        <v>1354</v>
      </c>
      <c r="B53" s="3576" t="s">
        <v>2282</v>
      </c>
      <c r="C53" s="3577"/>
      <c r="D53" s="1086">
        <f ca="1">ROUND(D45*'数据-取费表'!B41/(1+'数据-取费表'!C42),0)</f>
        <v>72</v>
      </c>
      <c r="E53" s="2333" t="s">
        <v>1352</v>
      </c>
      <c r="F53" s="2547">
        <f>'数据-取费表'!B41</f>
        <v>5.6000000000000001E-2</v>
      </c>
      <c r="G53" s="2548"/>
      <c r="H53" s="2537"/>
      <c r="I53" s="1806"/>
      <c r="J53" s="2520">
        <v>2</v>
      </c>
      <c r="K53" s="3615" t="s">
        <v>1355</v>
      </c>
      <c r="L53" s="3615"/>
      <c r="M53" s="2522">
        <f t="shared" ref="M53:O54" ca="1" si="0">D55</f>
        <v>1</v>
      </c>
      <c r="N53" s="2520" t="str">
        <f t="shared" si="0"/>
        <v>销售额×税（费）率</v>
      </c>
      <c r="O53" s="2523">
        <f t="shared" si="0"/>
        <v>5.0000000000000001E-4</v>
      </c>
    </row>
    <row r="54" spans="1:35" ht="12" customHeight="1">
      <c r="A54" s="2334" t="s">
        <v>1356</v>
      </c>
      <c r="B54" s="3576" t="s">
        <v>2283</v>
      </c>
      <c r="C54" s="3577"/>
      <c r="D54" s="1086">
        <f ca="1">C68</f>
        <v>14</v>
      </c>
      <c r="E54" s="327" t="s">
        <v>1357</v>
      </c>
      <c r="F54" s="2547">
        <f>'数据-取费表'!B41</f>
        <v>5.6000000000000001E-2</v>
      </c>
      <c r="G54" s="2548"/>
      <c r="H54" s="2549"/>
      <c r="I54" s="1806"/>
      <c r="J54" s="2520">
        <v>3</v>
      </c>
      <c r="K54" s="3615" t="s">
        <v>1358</v>
      </c>
      <c r="L54" s="3615"/>
      <c r="M54" s="2522">
        <f t="shared" ca="1" si="0"/>
        <v>49</v>
      </c>
      <c r="N54" s="2520" t="str">
        <f t="shared" si="0"/>
        <v>增值额×税（费）率</v>
      </c>
      <c r="O54" s="2524" t="str">
        <f t="shared" si="0"/>
        <v>——</v>
      </c>
    </row>
    <row r="55" spans="1:35" ht="24" customHeight="1">
      <c r="A55" s="3565" t="s">
        <v>1359</v>
      </c>
      <c r="B55" s="3566"/>
      <c r="C55" s="3566"/>
      <c r="D55" s="2323">
        <f ca="1">IF(H55="个人住宅",0,ROUND(D45*I55,0))</f>
        <v>1</v>
      </c>
      <c r="E55" s="2333" t="s">
        <v>1360</v>
      </c>
      <c r="F55" s="2547">
        <f>IF(H55="正常",I55,"免征")</f>
        <v>5.0000000000000001E-4</v>
      </c>
      <c r="G55" s="2548"/>
      <c r="H55" s="2543" t="s">
        <v>3441</v>
      </c>
      <c r="I55" s="165">
        <f>'数据-取费表'!B49</f>
        <v>5.0000000000000001E-4</v>
      </c>
      <c r="J55" s="2520" t="str">
        <f>IF(H59="非个人房产","",4)</f>
        <v/>
      </c>
      <c r="K55" s="3615" t="str">
        <f>IF(H59="非个人房产","——","个人所得税")</f>
        <v>——</v>
      </c>
      <c r="L55" s="3615"/>
      <c r="M55" s="2525" t="str">
        <f>D59</f>
        <v>——</v>
      </c>
      <c r="N55" s="2039" t="str">
        <f>E59</f>
        <v>——</v>
      </c>
      <c r="O55" s="2526" t="str">
        <f>F59</f>
        <v>——</v>
      </c>
    </row>
    <row r="56" spans="1:35" ht="24.75">
      <c r="A56" s="3565" t="s">
        <v>1361</v>
      </c>
      <c r="B56" s="3566"/>
      <c r="C56" s="3566"/>
      <c r="D56" s="2323">
        <f ca="1">IF(H56="个人住宅",D57,D58)</f>
        <v>49</v>
      </c>
      <c r="E56" s="2333" t="s">
        <v>1362</v>
      </c>
      <c r="F56" s="2547" t="str">
        <f>IF(H56="正常",F58,"免征")</f>
        <v>——</v>
      </c>
      <c r="G56" s="2550" t="s">
        <v>1363</v>
      </c>
      <c r="H56" s="2551" t="s">
        <v>3441</v>
      </c>
      <c r="I56" s="1807"/>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2.75">
      <c r="A57" s="2334" t="s">
        <v>1339</v>
      </c>
      <c r="B57" s="3576" t="s">
        <v>1364</v>
      </c>
      <c r="C57" s="3577"/>
      <c r="D57" s="1589">
        <v>0</v>
      </c>
      <c r="E57" s="324" t="s">
        <v>1341</v>
      </c>
      <c r="F57" s="302"/>
      <c r="G57" s="2548"/>
      <c r="H57" s="2552"/>
      <c r="I57" s="1807"/>
      <c r="J57" s="3615">
        <f>IF(AND(J55="",J56=""),4,IF(项目基本情况!K6="上海银行",结果表!J56+1,结果表!J55+1))</f>
        <v>4</v>
      </c>
      <c r="K57" s="3615" t="s">
        <v>1365</v>
      </c>
      <c r="L57" s="2527" t="s">
        <v>1366</v>
      </c>
      <c r="M57" s="2528"/>
      <c r="N57" s="3457">
        <f ca="1">SUMIF(M52:M56,"&lt;9e307")</f>
        <v>64</v>
      </c>
      <c r="O57" s="2529"/>
      <c r="P57" s="2683">
        <f ca="1">N57/M49</f>
        <v>4.744255003706449E-2</v>
      </c>
    </row>
    <row r="58" spans="1:35" ht="24.75">
      <c r="A58" s="2334" t="s">
        <v>1350</v>
      </c>
      <c r="B58" s="3576" t="s">
        <v>1367</v>
      </c>
      <c r="C58" s="3550"/>
      <c r="D58" s="2323">
        <f ca="1">IF(H58="转让取得",C81,C97)</f>
        <v>49</v>
      </c>
      <c r="E58" s="2333" t="s">
        <v>1362</v>
      </c>
      <c r="F58" s="302" t="s">
        <v>28</v>
      </c>
      <c r="G58" s="2548"/>
      <c r="H58" s="2551" t="s">
        <v>3458</v>
      </c>
      <c r="I58" s="1807"/>
      <c r="J58" s="3615"/>
      <c r="K58" s="3615"/>
      <c r="L58" s="2527" t="s">
        <v>1368</v>
      </c>
      <c r="M58" s="2530"/>
      <c r="N58" s="3458" t="str">
        <f ca="1">NUMBERSTRING(INT(N57*10000),2)&amp;"元整"</f>
        <v>陆拾肆万元整</v>
      </c>
      <c r="O58" s="2531"/>
    </row>
    <row r="59" spans="1:35" ht="24.75" thickBot="1">
      <c r="A59" s="3618" t="s">
        <v>1369</v>
      </c>
      <c r="B59" s="3619"/>
      <c r="C59" s="3619"/>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3" t="s">
        <v>3459</v>
      </c>
      <c r="I59" s="2312" t="s">
        <v>2135</v>
      </c>
      <c r="J59" s="3616">
        <f>J57+1</f>
        <v>5</v>
      </c>
      <c r="K59" s="3615" t="s">
        <v>1370</v>
      </c>
      <c r="L59" s="2520" t="s">
        <v>1366</v>
      </c>
      <c r="M59" s="2532"/>
      <c r="N59" s="3459">
        <f ca="1">M49-N57</f>
        <v>1285</v>
      </c>
      <c r="O59" s="2533"/>
    </row>
    <row r="60" spans="1:35" ht="12" customHeight="1">
      <c r="A60" s="1808"/>
      <c r="B60" s="1746"/>
      <c r="C60" s="1746"/>
      <c r="D60" s="1746"/>
      <c r="E60" s="1577"/>
      <c r="F60" s="1807"/>
      <c r="G60" s="1807"/>
      <c r="H60" s="1809"/>
      <c r="I60" s="129"/>
      <c r="J60" s="3617"/>
      <c r="K60" s="3615"/>
      <c r="L60" s="2527" t="s">
        <v>1368</v>
      </c>
      <c r="M60" s="2530"/>
      <c r="N60" s="3458" t="str">
        <f ca="1">NUMBERSTRING(INT(N59*10000),2)&amp;"元整"</f>
        <v>壹仟贰佰捌拾伍万元整</v>
      </c>
      <c r="O60" s="2531"/>
    </row>
    <row r="61" spans="1:35" ht="13.5" thickBot="1">
      <c r="A61" s="3563" t="s">
        <v>1371</v>
      </c>
      <c r="B61" s="3563"/>
      <c r="C61" s="3563"/>
      <c r="D61" s="3563"/>
      <c r="E61" s="3563"/>
      <c r="F61" s="1807"/>
      <c r="G61" s="1807"/>
      <c r="H61" s="1809"/>
      <c r="I61" s="129"/>
      <c r="J61" s="2520">
        <f>J59+1</f>
        <v>6</v>
      </c>
      <c r="K61" s="3615" t="s">
        <v>1372</v>
      </c>
      <c r="L61" s="3615"/>
      <c r="M61" s="2534"/>
      <c r="N61" s="3460">
        <f ca="1">ROUND(N59*10000/'数据-汇总表'!E3,0)</f>
        <v>25724</v>
      </c>
      <c r="O61" s="2535"/>
    </row>
    <row r="62" spans="1:35" ht="12.75">
      <c r="A62" s="3581" t="s">
        <v>1373</v>
      </c>
      <c r="B62" s="3582"/>
      <c r="C62" s="2020"/>
      <c r="D62" s="2020" t="s">
        <v>1374</v>
      </c>
      <c r="E62" s="166" t="s">
        <v>1375</v>
      </c>
      <c r="F62" s="1807"/>
      <c r="G62" s="1807"/>
      <c r="H62" s="1809"/>
      <c r="I62" s="129"/>
    </row>
    <row r="63" spans="1:35" ht="12.75">
      <c r="A63" s="173" t="s">
        <v>330</v>
      </c>
      <c r="B63" s="167" t="s">
        <v>1376</v>
      </c>
      <c r="C63" s="2557">
        <f ca="1">ROUND((C64+C65)/(1+'数据-取费表'!C42),0)</f>
        <v>1285</v>
      </c>
      <c r="D63" s="167"/>
      <c r="E63" s="168"/>
      <c r="F63" s="1807"/>
      <c r="G63" s="1807"/>
      <c r="H63" s="1809"/>
      <c r="I63" s="129"/>
      <c r="J63" s="3640" t="s">
        <v>1377</v>
      </c>
      <c r="K63" s="1331" t="s">
        <v>1378</v>
      </c>
      <c r="L63" s="1331">
        <f ca="1">IF(M49&gt;10000,M49*0.5%,IF(AND(M49&gt;1000,M49&lt;=10000),M49*1%,IF(AND(M49&gt;100,M49&lt;=1000),M49*3%,IF(AND(M49&gt;10,M49&lt;=100),M49*5%,M49*8%))))</f>
        <v>13.49</v>
      </c>
      <c r="M63" s="302">
        <f ca="1">ROUND(L63,1)</f>
        <v>13.5</v>
      </c>
      <c r="N63" s="2536"/>
      <c r="Z63" s="1751"/>
      <c r="AI63" s="1752"/>
    </row>
    <row r="64" spans="1:35" ht="14.25" customHeight="1">
      <c r="A64" s="169" t="s">
        <v>325</v>
      </c>
      <c r="B64" s="170" t="s">
        <v>1379</v>
      </c>
      <c r="C64" s="2558">
        <f ca="1">D45</f>
        <v>1349</v>
      </c>
      <c r="D64" s="170" t="s">
        <v>26</v>
      </c>
      <c r="E64" s="172"/>
      <c r="F64" s="1807"/>
      <c r="G64" s="1807"/>
      <c r="H64" s="1809"/>
      <c r="I64" s="129"/>
      <c r="J64" s="3640"/>
      <c r="K64" s="1331" t="s">
        <v>1380</v>
      </c>
      <c r="L64" s="1331">
        <f ca="1">IF(M49&gt;2000,M49*0.5%,IF(AND(M49&gt;1000,M49&lt;=2000),M49*0.6%,IF(AND(M49&gt;500,M49&lt;=1000),M49*0.7%,IF(AND(M49&gt;200,M49&lt;=500),M49*0.8%,IF(AND(M49&gt;100,M49&lt;=200),M49*0.9%,IF(AND(M49&gt;50,M49&lt;=100),M49*1%,IF(AND(M49&gt;20,M49&lt;=50),M49*1.5%,IF(AND(M49&gt;10,M49&lt;=20),M49*2%,IF(AND(M49&gt;1,M49&lt;=10),M49*2.5%)))))))))</f>
        <v>8.0939999999999994</v>
      </c>
      <c r="M64" s="302">
        <f t="shared" ref="M64:M65" ca="1" si="1">ROUND(L64,1)</f>
        <v>8.1</v>
      </c>
      <c r="N64" s="2537" t="s">
        <v>1381</v>
      </c>
      <c r="Z64" s="1751"/>
      <c r="AI64" s="1752"/>
    </row>
    <row r="65" spans="1:35" ht="14.25" customHeight="1">
      <c r="A65" s="169" t="s">
        <v>326</v>
      </c>
      <c r="B65" s="170" t="s">
        <v>1382</v>
      </c>
      <c r="C65" s="2559"/>
      <c r="D65" s="170"/>
      <c r="E65" s="172"/>
      <c r="F65" s="1807"/>
      <c r="G65" s="1807"/>
      <c r="H65" s="1809"/>
      <c r="I65" s="129"/>
      <c r="J65" s="3640"/>
      <c r="K65" s="1331" t="s">
        <v>1383</v>
      </c>
      <c r="L65" s="1331">
        <f ca="1">IF(M49&gt;1000,M49*0.1%,IF(AND(M49&gt;500,M49&lt;=1000),M49*0.5%,IF(AND(M49&gt;50,M49&lt;=500),M49*1%,IF(AND(M49&gt;1,M49&lt;=50),M49*1.5%))))</f>
        <v>1.349</v>
      </c>
      <c r="M65" s="302">
        <f t="shared" ca="1" si="1"/>
        <v>1.3</v>
      </c>
      <c r="N65" s="2537" t="s">
        <v>1381</v>
      </c>
      <c r="Z65" s="1751"/>
      <c r="AI65" s="1752"/>
    </row>
    <row r="66" spans="1:35" ht="14.25" customHeight="1">
      <c r="A66" s="173" t="s">
        <v>327</v>
      </c>
      <c r="B66" s="174" t="s">
        <v>1384</v>
      </c>
      <c r="C66" s="2560">
        <f>C75/1.05</f>
        <v>1027.6045714285713</v>
      </c>
      <c r="D66" s="174" t="s">
        <v>26</v>
      </c>
      <c r="E66" s="1337" t="s">
        <v>671</v>
      </c>
      <c r="F66" s="1807"/>
      <c r="G66" s="1807"/>
      <c r="H66" s="1809"/>
      <c r="I66" s="129"/>
      <c r="J66" s="3640"/>
      <c r="K66" s="1331" t="s">
        <v>1385</v>
      </c>
      <c r="L66" s="1331">
        <f ca="1">M49*0.5%</f>
        <v>6.7450000000000001</v>
      </c>
      <c r="M66" s="302">
        <f ca="1">IF(L66&gt;0.5,0.5,ROUND(L66,0))</f>
        <v>0.5</v>
      </c>
      <c r="N66" s="2537" t="s">
        <v>1386</v>
      </c>
      <c r="Z66" s="1751"/>
      <c r="AI66" s="1752"/>
    </row>
    <row r="67" spans="1:35" ht="14.25" customHeight="1">
      <c r="A67" s="173" t="s">
        <v>328</v>
      </c>
      <c r="B67" s="174" t="s">
        <v>1387</v>
      </c>
      <c r="C67" s="2561">
        <f ca="1">C63-C66</f>
        <v>257.39542857142874</v>
      </c>
      <c r="D67" s="170" t="s">
        <v>26</v>
      </c>
      <c r="E67" s="172"/>
      <c r="F67" s="1807"/>
      <c r="G67" s="1807"/>
      <c r="H67" s="1809"/>
      <c r="I67" s="129"/>
      <c r="J67" s="3640"/>
      <c r="K67" s="1331" t="s">
        <v>1388</v>
      </c>
      <c r="L67" s="1331">
        <f ca="1">IF(M49&gt;=10000,(8.25+(M49-10000)*0.01%),IF(AND(M49&gt;=8000,M49&lt;10000),(7.85+(M49-8000)*0.02%),IF(AND(M49&gt;=5000,M49&lt;8000),(6.65+(M49-5000)*0.04%),IF(AND(M49&gt;=2000,M49&lt;5000),(4.25+(PM49-2000)*0.08%),IF(AND(M49&gt;=1000,M49&lt;2000),(2.75+(M49-1000)*0.15%),IF(AND(M49&gt;=100,M49&lt;1000),(0.5+(M49-100)*0.25%),IF(AND(M49&gt;0,M49&lt;100),M49*0.5%)))))))</f>
        <v>3.2734999999999999</v>
      </c>
      <c r="M67" s="302">
        <f ca="1">ROUND(L67*0.9,1)</f>
        <v>2.9</v>
      </c>
      <c r="N67" s="2536"/>
      <c r="Z67" s="1751"/>
      <c r="AI67" s="1752"/>
    </row>
    <row r="68" spans="1:35" ht="14.25" customHeight="1" thickBot="1">
      <c r="A68" s="176" t="s">
        <v>329</v>
      </c>
      <c r="B68" s="177" t="s">
        <v>1389</v>
      </c>
      <c r="C68" s="2562">
        <f ca="1">IF(C67&lt;=0,0,ROUND(C67*D68,0))</f>
        <v>14</v>
      </c>
      <c r="D68" s="2563">
        <f>'数据-取费表'!B41</f>
        <v>5.6000000000000001E-2</v>
      </c>
      <c r="E68" s="178"/>
      <c r="F68" s="1807"/>
      <c r="G68" s="1807"/>
      <c r="H68" s="1809"/>
      <c r="I68" s="129"/>
      <c r="J68" s="3640"/>
      <c r="K68" s="1331" t="s">
        <v>1390</v>
      </c>
      <c r="L68" s="1331">
        <f ca="1">IF(M49&gt;10000,M49*0.5%,IF(AND(M49&gt;5000,M49&lt;=10000),M49*1%,IF(AND(M49&gt;1000,M49&lt;=5000),M49*2%,IF(AND(M49&gt;200,M49&lt;=1000),M49*3%,M49*5%))))</f>
        <v>26.98</v>
      </c>
      <c r="M68" s="302">
        <f ca="1">ROUND(L68,1)</f>
        <v>27</v>
      </c>
      <c r="N68" s="2536"/>
      <c r="Z68" s="1751"/>
      <c r="AI68" s="1752"/>
    </row>
    <row r="69" spans="1:35" s="1771" customFormat="1" ht="16.5" customHeight="1">
      <c r="A69" s="1810"/>
      <c r="B69" s="1811"/>
      <c r="C69" s="1812"/>
      <c r="D69" s="1813"/>
      <c r="E69" s="1814"/>
      <c r="F69" s="1577"/>
      <c r="G69" s="1577"/>
      <c r="H69" s="1576"/>
      <c r="I69" s="1746"/>
      <c r="J69" s="3640"/>
      <c r="K69" s="1331" t="s">
        <v>1391</v>
      </c>
      <c r="L69" s="1331"/>
      <c r="M69" s="302">
        <f ca="1">ROUND(SUM(M63:M68),0)</f>
        <v>53</v>
      </c>
      <c r="N69" s="2538">
        <f ca="1">M69/M49</f>
        <v>3.9288361749444035E-2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2" t="s">
        <v>1392</v>
      </c>
      <c r="B70" s="3603"/>
      <c r="C70" s="3603"/>
      <c r="D70" s="3603"/>
      <c r="E70" s="3603"/>
      <c r="F70" s="3603"/>
      <c r="G70" s="3603"/>
      <c r="H70" s="3603"/>
      <c r="I70" s="1815"/>
      <c r="J70" s="2684"/>
      <c r="K70" s="2684"/>
      <c r="L70" s="2684"/>
      <c r="M70" s="2684"/>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1373</v>
      </c>
      <c r="B71" s="3582"/>
      <c r="C71" s="2020"/>
      <c r="D71" s="2020" t="s">
        <v>1374</v>
      </c>
      <c r="E71" s="179" t="s">
        <v>1375</v>
      </c>
      <c r="F71" s="180"/>
      <c r="G71" s="180"/>
      <c r="H71" s="181"/>
      <c r="I71" s="1819"/>
      <c r="J71" s="2684"/>
      <c r="K71" s="2684"/>
      <c r="L71" s="2684"/>
      <c r="M71" s="2684"/>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1">
        <f ca="1">ROUND(D45/(1+'数据-取费表'!C42),0)</f>
        <v>1285</v>
      </c>
      <c r="D72" s="170" t="s">
        <v>26</v>
      </c>
      <c r="E72" s="2330"/>
      <c r="F72" s="2329"/>
      <c r="G72" s="2329"/>
      <c r="H72" s="182"/>
      <c r="I72" s="1819"/>
      <c r="J72" s="2684"/>
      <c r="K72" s="2684"/>
      <c r="L72" s="2684"/>
      <c r="M72" s="2684"/>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1">
        <f ca="1">C74+C78</f>
        <v>1121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1113</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64">
        <v>1078.9848</v>
      </c>
      <c r="D75" s="170" t="s">
        <v>26</v>
      </c>
      <c r="E75" s="184" t="s">
        <v>1397</v>
      </c>
      <c r="F75" s="2565" t="s">
        <v>3460</v>
      </c>
      <c r="G75" s="184" t="s">
        <v>1398</v>
      </c>
      <c r="H75" s="2566">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54</v>
      </c>
      <c r="D76" s="2567">
        <v>0.05</v>
      </c>
      <c r="E76" s="3576" t="s">
        <v>1400</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31</v>
      </c>
      <c r="D77" s="2568">
        <f>'数据-取费表'!B48+'数据-取费表'!B49</f>
        <v>3.0499999999999999E-2</v>
      </c>
      <c r="E77" s="2323" t="s">
        <v>1402</v>
      </c>
      <c r="F77" s="186"/>
      <c r="G77" s="1821" t="s">
        <v>3461</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69">
        <f ca="1">ROUND(D45*D78/(1+'数据-取费表'!C42),0)</f>
        <v>8</v>
      </c>
      <c r="D78" s="2570">
        <f>'数据-取费表'!B43</f>
        <v>6.000000000000001E-3</v>
      </c>
      <c r="E78" s="3560" t="s">
        <v>1404</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1">
        <f ca="1">C72-C73</f>
        <v>164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1">
        <f ca="1">IF(C79&lt;=0,0,C79/C73)</f>
        <v>0.1462979482604817</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2">
        <f ca="1">ROUND(IF(C79&lt;=0,0,IF(C80&gt;=200%,C79*60%-C73*35%,IF(C80&gt;=100%,C79*50%-C73*15%,IF(C80&gt;=50%,C79*40%-C73*5%,IF(C80&lt;50%,C79*30%,0))))),0)</f>
        <v>49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2" t="s">
        <v>1408</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1" t="s">
        <v>1373</v>
      </c>
      <c r="B84" s="3582"/>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1">
        <f ca="1">ROUND(D45/(1+'数据-取费表'!C42),0)</f>
        <v>1285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1">
        <f ca="1">IF(H88="仅含出让金",C87+C90+C91+C92+C93+C94,C87+C91+C92+C93+C94)</f>
        <v>8</v>
      </c>
      <c r="D86" s="2574"/>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69">
        <f>C88+C89</f>
        <v>0</v>
      </c>
      <c r="D87" s="2570"/>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5"/>
      <c r="D88" s="2570"/>
      <c r="E88" s="193" t="s">
        <v>1411</v>
      </c>
      <c r="F88" s="2326"/>
      <c r="G88" s="194" t="s">
        <v>1412</v>
      </c>
      <c r="H88" s="1823"/>
      <c r="I88" s="1820"/>
      <c r="J88" s="2518"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69">
        <f>ROUND(C88*D89,0)</f>
        <v>0</v>
      </c>
      <c r="D89" s="2570">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5"/>
      <c r="D90" s="2570"/>
      <c r="E90" s="193" t="str">
        <f>IF(H88="-","土地取得成本中已包含该笔费用"," ")</f>
        <v xml:space="preserve"> </v>
      </c>
      <c r="F90" s="2326"/>
      <c r="G90" s="3642" t="s">
        <v>2127</v>
      </c>
      <c r="H90" s="3643"/>
      <c r="I90" s="1820"/>
      <c r="J90" s="2518"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69">
        <f>IF(H91="——",成本法!C33,I91)</f>
        <v>0</v>
      </c>
      <c r="D91" s="2570"/>
      <c r="E91" s="3560" t="s">
        <v>1417</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69">
        <f>ROUND((C87+C90+C91)*D92,0)</f>
        <v>0</v>
      </c>
      <c r="D92" s="2576"/>
      <c r="E92" s="3560" t="s">
        <v>1420</v>
      </c>
      <c r="F92" s="3561"/>
      <c r="G92" s="3561"/>
      <c r="H92" s="3570"/>
      <c r="I92" s="1820"/>
      <c r="J92" s="2519"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69">
        <f ca="1">ROUND(D45*D93/(1+'数据-取费表'!C42),0)</f>
        <v>8</v>
      </c>
      <c r="D93" s="2570">
        <f>'数据-取费表'!B43</f>
        <v>6.000000000000001E-3</v>
      </c>
      <c r="E93" s="3560" t="s">
        <v>1404</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5">
        <f>ROUND((C87+C90+C91)*D94,0)</f>
        <v>0</v>
      </c>
      <c r="D94" s="2570">
        <v>0.2</v>
      </c>
      <c r="E94" s="3571" t="s">
        <v>1424</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1">
        <f ca="1">ROUND(C85-C86,0)</f>
        <v>1277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1">
        <f ca="1">IF(C95&lt;=0,0,C95/C86)</f>
        <v>159.625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2">
        <f ca="1">ROUND(IF(C95&lt;=0,0,IF(C96&gt;=200%,C95*60%-C86*35%,IF(C96&gt;=100%,C95*50%-C86*15%,IF(C96&gt;=50%,C95*40%-C86*5%,IF(C96&lt;50%,C95*30%,0))))),0)</f>
        <v>763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44" t="s">
        <v>1426</v>
      </c>
      <c r="B100" s="3545"/>
      <c r="C100" s="3545"/>
      <c r="D100" s="3562"/>
      <c r="E100" s="3545" t="s">
        <v>1427</v>
      </c>
      <c r="F100" s="3545"/>
      <c r="G100" s="3545"/>
      <c r="H100" s="3562"/>
      <c r="I100" s="129"/>
    </row>
    <row r="101" spans="1:35" ht="18.75" customHeight="1">
      <c r="A101" s="3623" t="s">
        <v>1428</v>
      </c>
      <c r="B101" s="3624"/>
      <c r="C101" s="2578" t="str">
        <f>C4</f>
        <v>比较法-商业</v>
      </c>
      <c r="D101" s="2579" t="str">
        <f>D4</f>
        <v>收益法 (元)</v>
      </c>
      <c r="E101" s="3637" t="s">
        <v>1429</v>
      </c>
      <c r="F101" s="3594"/>
      <c r="G101" s="1826" t="s">
        <v>1430</v>
      </c>
      <c r="H101" s="2588">
        <f ca="1">H118</f>
        <v>1349</v>
      </c>
      <c r="I101" s="129"/>
    </row>
    <row r="102" spans="1:35" ht="18.75" customHeight="1">
      <c r="A102" s="3596" t="s">
        <v>1431</v>
      </c>
      <c r="B102" s="2577" t="s">
        <v>1430</v>
      </c>
      <c r="C102" s="2578">
        <f ca="1">IF(D32="楼面单价",ROUND(C19,0),C19)</f>
        <v>1424</v>
      </c>
      <c r="D102" s="2579">
        <f ca="1">IF(D32="楼面单价",ROUND(D19,0),D19)</f>
        <v>1275</v>
      </c>
      <c r="E102" s="3637"/>
      <c r="F102" s="3594"/>
      <c r="G102" s="1826" t="s">
        <v>1432</v>
      </c>
      <c r="H102" s="2548">
        <f ca="1">I118</f>
        <v>27008</v>
      </c>
      <c r="I102" s="129"/>
    </row>
    <row r="103" spans="1:35" ht="42.75" customHeight="1">
      <c r="A103" s="3596"/>
      <c r="B103" s="2577" t="s">
        <v>1432</v>
      </c>
      <c r="C103" s="2580">
        <f ca="1">C20</f>
        <v>28500</v>
      </c>
      <c r="D103" s="2581">
        <f ca="1">D20</f>
        <v>25515</v>
      </c>
      <c r="E103" s="3631" t="s">
        <v>1433</v>
      </c>
      <c r="F103" s="3632"/>
      <c r="G103" s="1827" t="s">
        <v>1434</v>
      </c>
      <c r="H103" s="2588">
        <f>IF(D36="正常操作",H104+H105+H106,H105+H106)</f>
        <v>0</v>
      </c>
      <c r="I103" s="129"/>
    </row>
    <row r="104" spans="1:35" ht="18.75" customHeight="1">
      <c r="A104" s="3596" t="s">
        <v>1435</v>
      </c>
      <c r="B104" s="2582" t="s">
        <v>1430</v>
      </c>
      <c r="C104" s="2583">
        <f ca="1">H118</f>
        <v>1349</v>
      </c>
      <c r="D104" s="2584"/>
      <c r="E104" s="1673" t="s">
        <v>1436</v>
      </c>
      <c r="F104" s="1665"/>
      <c r="G104" s="1827" t="s">
        <v>1434</v>
      </c>
      <c r="H104" s="2589">
        <f>IF(D36="同一抵押权人同一抵押物续贷",C36&amp;"（续贷，未扣减，详见特别提示）",C36)</f>
        <v>0</v>
      </c>
      <c r="I104" s="129"/>
    </row>
    <row r="105" spans="1:35" ht="18.75" customHeight="1" thickBot="1">
      <c r="A105" s="3597"/>
      <c r="B105" s="2585" t="s">
        <v>1432</v>
      </c>
      <c r="C105" s="2586">
        <f ca="1">I118</f>
        <v>27008</v>
      </c>
      <c r="D105" s="2587"/>
      <c r="E105" s="1673" t="s">
        <v>1437</v>
      </c>
      <c r="F105" s="1665"/>
      <c r="G105" s="1827" t="s">
        <v>1434</v>
      </c>
      <c r="H105" s="2590">
        <f>C37</f>
        <v>0</v>
      </c>
      <c r="I105" s="129"/>
    </row>
    <row r="106" spans="1:35" ht="18.75" customHeight="1">
      <c r="A106" s="1746" t="s">
        <v>1438</v>
      </c>
      <c r="B106" s="1746"/>
      <c r="C106" s="1746"/>
      <c r="D106" s="1746"/>
      <c r="E106" s="1828" t="s">
        <v>1439</v>
      </c>
      <c r="F106" s="1665"/>
      <c r="G106" s="1827" t="s">
        <v>1434</v>
      </c>
      <c r="H106" s="2590">
        <f>C38</f>
        <v>0</v>
      </c>
      <c r="I106" s="129"/>
    </row>
    <row r="107" spans="1:35" ht="18.75" customHeight="1">
      <c r="A107" s="129"/>
      <c r="B107" s="129"/>
      <c r="C107" s="129"/>
      <c r="D107" s="129"/>
      <c r="E107" s="3593" t="str">
        <f>IF(项目基本情况!E8="已注销","——","3.房地产抵押价值")</f>
        <v>3.房地产抵押价值</v>
      </c>
      <c r="F107" s="3594"/>
      <c r="G107" s="1826" t="s">
        <v>1430</v>
      </c>
      <c r="H107" s="2588">
        <f ca="1">IF(E107="——","——",H101-H103)</f>
        <v>1349</v>
      </c>
      <c r="I107" s="129"/>
    </row>
    <row r="108" spans="1:35" ht="18.75" customHeight="1">
      <c r="A108" s="129"/>
      <c r="B108" s="129"/>
      <c r="C108" s="129"/>
      <c r="D108" s="129"/>
      <c r="E108" s="3593"/>
      <c r="F108" s="3594"/>
      <c r="G108" s="1826" t="s">
        <v>1432</v>
      </c>
      <c r="H108" s="2548">
        <f ca="1">IF(H107=H101,H102,ROUND(H107*10000/'数据-汇总表'!E3,0))</f>
        <v>27008</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1430</v>
      </c>
      <c r="H109" s="2591" t="str">
        <f>IF(E109="——","——",H101-H105-H106)</f>
        <v>——</v>
      </c>
      <c r="I109" s="129"/>
    </row>
    <row r="110" spans="1:35" ht="18.75" customHeight="1">
      <c r="A110" s="129"/>
      <c r="B110" s="129"/>
      <c r="C110" s="129"/>
      <c r="D110" s="129"/>
      <c r="E110" s="3593"/>
      <c r="F110" s="3594"/>
      <c r="G110" s="1826" t="s">
        <v>1432</v>
      </c>
      <c r="H110" s="2548"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4.抵押净值</v>
      </c>
      <c r="F111" s="3595"/>
      <c r="G111" s="1826" t="s">
        <v>1430</v>
      </c>
      <c r="H111" s="2588">
        <f ca="1">IF(E111="——","——",N59)</f>
        <v>1285</v>
      </c>
      <c r="I111" s="129"/>
    </row>
    <row r="112" spans="1:35" ht="18.75" customHeight="1" thickBot="1">
      <c r="A112" s="129"/>
      <c r="B112" s="129"/>
      <c r="C112" s="129"/>
      <c r="D112" s="129"/>
      <c r="E112" s="3626"/>
      <c r="F112" s="3627"/>
      <c r="G112" s="1829" t="s">
        <v>1432</v>
      </c>
      <c r="H112" s="2592">
        <f ca="1">IF(E111="——","——",N61)</f>
        <v>25724</v>
      </c>
      <c r="I112" s="129"/>
    </row>
    <row r="113" spans="1:27" ht="18.75" customHeight="1">
      <c r="A113" s="129"/>
      <c r="B113" s="129"/>
      <c r="C113" s="129"/>
      <c r="D113" s="129"/>
      <c r="E113" s="3598" t="s">
        <v>1438</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1440</v>
      </c>
      <c r="B115" s="3609"/>
      <c r="C115" s="3609"/>
      <c r="D115" s="3609"/>
      <c r="E115" s="3609"/>
      <c r="F115" s="3609"/>
      <c r="G115" s="3609"/>
      <c r="H115" s="3609"/>
      <c r="I115" s="3610"/>
    </row>
    <row r="116" spans="1:27" ht="27" customHeight="1">
      <c r="A116" s="3564" t="s">
        <v>1441</v>
      </c>
      <c r="B116" s="3599" t="s">
        <v>1442</v>
      </c>
      <c r="C116" s="3599" t="s">
        <v>1443</v>
      </c>
      <c r="D116" s="3612" t="s">
        <v>1444</v>
      </c>
      <c r="E116" s="3613"/>
      <c r="F116" s="3607" t="s">
        <v>1445</v>
      </c>
      <c r="G116" s="3607"/>
      <c r="H116" s="3564" t="s">
        <v>1446</v>
      </c>
      <c r="I116" s="3564"/>
    </row>
    <row r="117" spans="1:27" ht="18.75" customHeight="1">
      <c r="A117" s="3564"/>
      <c r="B117" s="3600"/>
      <c r="C117" s="3600"/>
      <c r="D117" s="2328" t="s">
        <v>1447</v>
      </c>
      <c r="E117" s="2328" t="s">
        <v>1448</v>
      </c>
      <c r="F117" s="2328" t="s">
        <v>1447</v>
      </c>
      <c r="G117" s="2328" t="s">
        <v>1449</v>
      </c>
      <c r="H117" s="2328" t="s">
        <v>1447</v>
      </c>
      <c r="I117" s="2328" t="s">
        <v>1449</v>
      </c>
    </row>
    <row r="118" spans="1:27" ht="24.75" customHeight="1">
      <c r="A118" s="2593" t="str">
        <f>项目基本情况!S2</f>
        <v>北京市门头沟区城子大街90号院17号楼1层17-2房地产</v>
      </c>
      <c r="B118" s="2328">
        <f>M18</f>
        <v>499.53</v>
      </c>
      <c r="C118" s="2328">
        <f>M19</f>
        <v>0</v>
      </c>
      <c r="D118" s="2328">
        <f ca="1">ROUND(IF(D32="总价",C34,E118*B118/10000),0)</f>
        <v>973</v>
      </c>
      <c r="E118" s="2328">
        <f ca="1">ROUND(IF(C33="自定义",IF(D32="楼面单价",C34,D118*10000/B118),I118-G118),0)</f>
        <v>19473</v>
      </c>
      <c r="F118" s="2328">
        <f ca="1">ROUND(IF(D32="总价",C35,G118*B118/10000),0)</f>
        <v>376</v>
      </c>
      <c r="G118" s="2328">
        <f ca="1">ROUND(IF(D32="楼面单价",C35,F118*10000/B118),0)</f>
        <v>7535</v>
      </c>
      <c r="H118" s="2328">
        <f ca="1">ROUND(IF(D32="总价",C32,I118*B118/10000),0)</f>
        <v>1349</v>
      </c>
      <c r="I118" s="2328">
        <f ca="1">ROUND(IF(D32="楼面单价",C32,H118*10000/B118),0)</f>
        <v>27008</v>
      </c>
    </row>
    <row r="119" spans="1:27" ht="18.75" customHeight="1">
      <c r="A119" s="3564" t="s">
        <v>1450</v>
      </c>
      <c r="B119" s="3564"/>
      <c r="C119" s="3564"/>
      <c r="D119" s="3604" t="str">
        <f ca="1">NUMBERSTRING(INT(D118*10000),2)&amp;"元整"</f>
        <v>玖佰柒拾叁万元整</v>
      </c>
      <c r="E119" s="3606"/>
      <c r="F119" s="3604" t="str">
        <f ca="1">NUMBERSTRING(INT(F118*10000),2)&amp;"元整"</f>
        <v>叁佰柒拾陆万元整</v>
      </c>
      <c r="G119" s="3606"/>
      <c r="H119" s="3604" t="str">
        <f ca="1">NUMBERSTRING(INT(H118*10000),2)&amp;"元整"</f>
        <v>壹仟叁佰肆拾玖万元整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1450</v>
      </c>
      <c r="B121" s="3605"/>
      <c r="C121" s="3606"/>
      <c r="D121" s="3604" t="str">
        <f>IF(D120=0,"零元整",NUMBERSTRING(INT(D120*10000),2)&amp;"元整")</f>
        <v>零元整</v>
      </c>
      <c r="E121" s="3605"/>
      <c r="F121" s="3605"/>
      <c r="G121" s="3605"/>
      <c r="H121" s="3605"/>
      <c r="I121" s="3606"/>
      <c r="AA121" s="724"/>
    </row>
    <row r="122" spans="1:27" ht="18.75" customHeight="1">
      <c r="A122" s="3595" t="str">
        <f>IF(项目基本情况!B9="房地产市场价值","",MID(E107,3,LEN(E107)-2))</f>
        <v>房地产抵押价值</v>
      </c>
      <c r="B122" s="3595"/>
      <c r="C122" s="3595"/>
      <c r="D122" s="3628">
        <f ca="1">H107</f>
        <v>1349</v>
      </c>
      <c r="E122" s="3629"/>
      <c r="F122" s="3629"/>
      <c r="G122" s="3629"/>
      <c r="H122" s="3629"/>
      <c r="I122" s="3630"/>
      <c r="AA122" s="724"/>
    </row>
    <row r="123" spans="1:27" ht="18.75" customHeight="1">
      <c r="A123" s="3564" t="s">
        <v>1450</v>
      </c>
      <c r="B123" s="3564"/>
      <c r="C123" s="3564"/>
      <c r="D123" s="3604" t="str">
        <f ca="1">NUMBERSTRING(INT(D122*10000),2)&amp;"元整"</f>
        <v>壹仟叁佰肆拾玖万元整</v>
      </c>
      <c r="E123" s="3605"/>
      <c r="F123" s="3605"/>
      <c r="G123" s="3605"/>
      <c r="H123" s="3605"/>
      <c r="I123" s="3606"/>
      <c r="AA123" s="724"/>
    </row>
    <row r="124" spans="1:27" ht="18.75" customHeight="1">
      <c r="A124" s="3595" t="str">
        <f>IF(项目基本情况!B9="房地产市场价值","",MID(E109,3,LEN(E109)-2))</f>
        <v/>
      </c>
      <c r="B124" s="3595"/>
      <c r="C124" s="3595"/>
      <c r="D124" s="3628" t="str">
        <f>H109</f>
        <v>——</v>
      </c>
      <c r="E124" s="3629"/>
      <c r="F124" s="3629"/>
      <c r="G124" s="3629"/>
      <c r="H124" s="3629"/>
      <c r="I124" s="3630"/>
      <c r="AA124" s="724"/>
    </row>
    <row r="125" spans="1:27" ht="18.75" customHeight="1">
      <c r="A125" s="3564" t="s">
        <v>1450</v>
      </c>
      <c r="B125" s="3564"/>
      <c r="C125" s="3564"/>
      <c r="D125" s="3604" t="e">
        <f>NUMBERSTRING(INT(D124*10000),2)&amp;"元整"</f>
        <v>#VALUE!</v>
      </c>
      <c r="E125" s="3605"/>
      <c r="F125" s="3605"/>
      <c r="G125" s="3605"/>
      <c r="H125" s="3605"/>
      <c r="I125" s="3606"/>
      <c r="AA125" s="724"/>
    </row>
    <row r="126" spans="1:27" ht="18.75" customHeight="1">
      <c r="A126" s="3595" t="str">
        <f>IF(项目基本情况!B9="房地产市场价值","",MID(E111,3,LEN(E111)-2))</f>
        <v>抵押净值</v>
      </c>
      <c r="B126" s="3595"/>
      <c r="C126" s="3595"/>
      <c r="D126" s="3628">
        <f ca="1">H111</f>
        <v>1285</v>
      </c>
      <c r="E126" s="3629"/>
      <c r="F126" s="3629"/>
      <c r="G126" s="3629"/>
      <c r="H126" s="3629"/>
      <c r="I126" s="3630"/>
      <c r="AA126" s="724"/>
    </row>
    <row r="127" spans="1:27" ht="18.75" customHeight="1">
      <c r="A127" s="3564" t="s">
        <v>1450</v>
      </c>
      <c r="B127" s="3564"/>
      <c r="C127" s="3564"/>
      <c r="D127" s="3604" t="str">
        <f ca="1">NUMBERSTRING(INT(D126*10000),2)&amp;"元整"</f>
        <v>壹仟贰佰捌拾伍万元整</v>
      </c>
      <c r="E127" s="3605"/>
      <c r="F127" s="3605"/>
      <c r="G127" s="3605"/>
      <c r="H127" s="3605"/>
      <c r="I127" s="3606"/>
      <c r="AA127" s="724"/>
    </row>
    <row r="128" spans="1:27" ht="21.75" customHeight="1">
      <c r="A128" s="3611" t="s">
        <v>1451</v>
      </c>
      <c r="B128" s="3611"/>
      <c r="C128" s="3611"/>
      <c r="D128" s="3611"/>
      <c r="E128" s="3611"/>
      <c r="F128" s="3611"/>
      <c r="G128" s="3611"/>
      <c r="H128" s="3611"/>
      <c r="I128" s="3611"/>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291</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5825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9.99</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9.99</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10</v>
      </c>
      <c r="D10" s="844">
        <f ca="1">IF(B1="",'数据-汇总表'!E6,IF(INDIRECT("'数据-取费表'!c"&amp;$G$1)="住宅",INDIRECT("'数据-取费表'!s"&amp;$G$1),INDIRECT("'数据-取费表'!k"&amp;$G$1)+INDIRECT("'数据-取费表'!s"&amp;$G$1)))</f>
        <v>499.53</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9</v>
      </c>
      <c r="D19" s="848">
        <f ca="1">D9+D10</f>
        <v>499.53</v>
      </c>
      <c r="E19" s="211">
        <f>'数据-取费表'!B31</f>
        <v>180</v>
      </c>
      <c r="F19" s="231"/>
      <c r="G19" s="1855"/>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4</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4</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203</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185</v>
      </c>
      <c r="D34" s="217"/>
      <c r="E34" s="220"/>
      <c r="F34" s="257">
        <f ca="1">IF('数据-取费表'!B24=0,1,IF(B1="",'数据-取费表'!N16,INDIRECT("'数据-取费表'!n"&amp;$G$1)))</f>
        <v>1</v>
      </c>
      <c r="G34" s="219" t="s">
        <v>1524</v>
      </c>
    </row>
    <row r="35" spans="1:7" ht="13.5" customHeight="1">
      <c r="A35" s="779" t="s">
        <v>351</v>
      </c>
      <c r="B35" s="215" t="s">
        <v>1525</v>
      </c>
      <c r="C35" s="220">
        <f ca="1">ROUND(C34*F35,0)</f>
        <v>6</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v>
      </c>
      <c r="D37" s="217">
        <f ca="1">D19</f>
        <v>499.53</v>
      </c>
      <c r="E37" s="249">
        <f>'数据-取费表'!B35</f>
        <v>180</v>
      </c>
      <c r="F37" s="259"/>
      <c r="G37" s="261" t="s">
        <v>1530</v>
      </c>
    </row>
    <row r="38" spans="1:7" ht="13.5" customHeight="1">
      <c r="A38" s="779"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8</v>
      </c>
      <c r="D42" s="238"/>
      <c r="E42" s="238"/>
      <c r="F42" s="239"/>
      <c r="G42" s="3644" t="s">
        <v>1542</v>
      </c>
    </row>
    <row r="43" spans="1:7" ht="13.5" customHeight="1">
      <c r="A43" s="779" t="s">
        <v>347</v>
      </c>
      <c r="B43" s="215" t="s">
        <v>1543</v>
      </c>
      <c r="C43" s="238">
        <f ca="1">ROUND(IF('数据-取费表'!B22&lt;=1,C39*F22*'数据-取费表'!B21/2,C39*(POWER((1+F22),'数据-取费表'!B21/2)-1)),0)</f>
        <v>0</v>
      </c>
      <c r="D43" s="238"/>
      <c r="E43" s="238"/>
      <c r="F43" s="239"/>
      <c r="G43" s="3645"/>
    </row>
    <row r="44" spans="1:7" ht="13.5" customHeight="1">
      <c r="A44" s="779" t="s">
        <v>348</v>
      </c>
      <c r="B44" s="215" t="s">
        <v>1544</v>
      </c>
      <c r="C44" s="238">
        <f ca="1">ROUND(IF('数据-取费表'!B22&lt;=1,C40*F22*'数据-取费表'!B21/2,C40*(POWER((1+F22),'数据-取费表'!B21/2)-1)),4)</f>
        <v>8.0000000000000004E-4</v>
      </c>
      <c r="D44" s="238"/>
      <c r="E44" s="238"/>
      <c r="F44" s="239"/>
      <c r="G44" s="3646"/>
    </row>
    <row r="45" spans="1:7" s="214" customFormat="1" ht="13.5" customHeight="1">
      <c r="A45" s="255" t="s">
        <v>1545</v>
      </c>
      <c r="B45" s="244" t="s">
        <v>1511</v>
      </c>
      <c r="C45" s="245">
        <f ca="1">C46</f>
        <v>41</v>
      </c>
      <c r="D45" s="235">
        <f ca="1">C47</f>
        <v>4.0000000000000001E-3</v>
      </c>
      <c r="E45" s="236" t="s">
        <v>1537</v>
      </c>
      <c r="F45" s="246">
        <f ca="1">F27</f>
        <v>0.2</v>
      </c>
      <c r="G45" s="247" t="s">
        <v>1546</v>
      </c>
    </row>
    <row r="46" spans="1:7" s="214" customFormat="1" ht="13.5" customHeight="1">
      <c r="A46" s="779" t="s">
        <v>346</v>
      </c>
      <c r="B46" s="248" t="s">
        <v>1547</v>
      </c>
      <c r="C46" s="249">
        <f ca="1">ROUND((C33+C39)*F27,0)</f>
        <v>41</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278</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291</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北京市门头沟区城子大街90号院17号楼1层17-2房地产抵押价值预评估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7">
        <f ca="1">ROUND(IF(D2="——",C52/10000,C52/10000-E2),4)</f>
        <v>290.73540000000003</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5820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99906</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99906</v>
      </c>
      <c r="D8" s="222"/>
      <c r="E8" s="220"/>
      <c r="F8" s="221"/>
      <c r="G8" s="1855"/>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99906</v>
      </c>
      <c r="D10" s="844">
        <f ca="1">IF(B1="",'数据-汇总表'!E6,IF(INDIRECT("'数据-取费表'!c"&amp;$G$1)="住宅",INDIRECT("'数据-取费表'!s"&amp;$G$1),INDIRECT("'数据-取费表'!k"&amp;$G$1)+INDIRECT("'数据-取费表'!s"&amp;$G$1)))</f>
        <v>499.53</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89915</v>
      </c>
      <c r="D19" s="848">
        <f ca="1">D9+D10</f>
        <v>499.53</v>
      </c>
      <c r="E19" s="211">
        <f>'数据-取费表'!B31</f>
        <v>180</v>
      </c>
      <c r="F19" s="231"/>
      <c r="G19" s="1855"/>
    </row>
    <row r="20" spans="1:7" s="214" customFormat="1" ht="13.5" customHeight="1">
      <c r="A20" s="255" t="s">
        <v>1572</v>
      </c>
      <c r="B20" s="210" t="s">
        <v>1573</v>
      </c>
      <c r="C20" s="232">
        <f ca="1">ROUND((C5+C19)*F20,0)</f>
        <v>3796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16240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8464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7618</v>
      </c>
      <c r="D24" s="238"/>
      <c r="E24" s="238"/>
      <c r="F24" s="239"/>
      <c r="G24" s="240" t="s">
        <v>1584</v>
      </c>
    </row>
    <row r="25" spans="1:7" s="214" customFormat="1" ht="24">
      <c r="A25" s="779" t="s">
        <v>1474</v>
      </c>
      <c r="B25" s="215" t="s">
        <v>1585</v>
      </c>
      <c r="C25" s="1127">
        <f ca="1">ROUND(IF('数据-取费表'!B22&lt;=1,C20*F22*'数据-取费表'!B22/2,C20*(POWER((1+F22),'数据-取费表'!B22/2)-1)),0)</f>
        <v>158</v>
      </c>
      <c r="D25" s="238"/>
      <c r="E25" s="241"/>
      <c r="F25" s="239"/>
      <c r="G25" s="242" t="s">
        <v>1586</v>
      </c>
    </row>
    <row r="26" spans="1:7" s="214" customFormat="1">
      <c r="A26" s="779"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38723</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38723</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269639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2021348</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1848261</v>
      </c>
      <c r="D34" s="217"/>
      <c r="E34" s="220"/>
      <c r="F34" s="257"/>
      <c r="G34" s="219"/>
    </row>
    <row r="35" spans="1:7" ht="13.5" customHeight="1">
      <c r="A35" s="779" t="s">
        <v>351</v>
      </c>
      <c r="B35" s="215" t="s">
        <v>1525</v>
      </c>
      <c r="C35" s="220">
        <f ca="1">ROUND(C34*F35,0)</f>
        <v>55448</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89915</v>
      </c>
      <c r="D37" s="217">
        <f ca="1">D19</f>
        <v>499.53</v>
      </c>
      <c r="E37" s="249">
        <f>'数据-取费表'!B35</f>
        <v>180</v>
      </c>
      <c r="F37" s="259"/>
      <c r="G37" s="261"/>
    </row>
    <row r="38" spans="1:7" ht="13.5" customHeight="1">
      <c r="A38" s="779" t="s">
        <v>354</v>
      </c>
      <c r="B38" s="215" t="s">
        <v>1531</v>
      </c>
      <c r="C38" s="220">
        <f ca="1">ROUND(C34*F38,0)</f>
        <v>27724</v>
      </c>
      <c r="D38" s="220"/>
      <c r="E38" s="220"/>
      <c r="F38" s="259">
        <f>'数据-取费表'!B36</f>
        <v>1.4999999999999999E-2</v>
      </c>
      <c r="G38" s="219" t="s">
        <v>1526</v>
      </c>
    </row>
    <row r="39" spans="1:7" s="214" customFormat="1" ht="13.5" customHeight="1">
      <c r="A39" s="255" t="s">
        <v>1532</v>
      </c>
      <c r="B39" s="210" t="s">
        <v>1533</v>
      </c>
      <c r="C39" s="232">
        <f ca="1">ROUND(C33*F20,0)</f>
        <v>40427</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85564</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83886</v>
      </c>
      <c r="D42" s="238"/>
      <c r="E42" s="238"/>
      <c r="F42" s="239"/>
      <c r="G42" s="3644" t="s">
        <v>1589</v>
      </c>
    </row>
    <row r="43" spans="1:7" ht="13.5" customHeight="1">
      <c r="A43" s="779" t="s">
        <v>347</v>
      </c>
      <c r="B43" s="215" t="s">
        <v>1543</v>
      </c>
      <c r="C43" s="238">
        <f ca="1">ROUND(IF('数据-取费表'!B22&lt;=1,C39*F22*'数据-取费表'!B20/2,C39*(POWER((1+F22),'数据-取费表'!B20/2)-1)),0)</f>
        <v>1678</v>
      </c>
      <c r="D43" s="238"/>
      <c r="E43" s="238"/>
      <c r="F43" s="239"/>
      <c r="G43" s="3645"/>
    </row>
    <row r="44" spans="1:7" ht="13.5" customHeight="1">
      <c r="A44" s="779" t="s">
        <v>348</v>
      </c>
      <c r="B44" s="215" t="s">
        <v>1544</v>
      </c>
      <c r="C44" s="238">
        <f ca="1">ROUND(IF('数据-取费表'!B22&lt;=1,C40*F22*'数据-取费表'!B20/2,C40*(POWER((1+F22),'数据-取费表'!B20/2)-1)),4)</f>
        <v>8.0000000000000004E-4</v>
      </c>
      <c r="D44" s="238"/>
      <c r="E44" s="238"/>
      <c r="F44" s="239"/>
      <c r="G44" s="3646"/>
    </row>
    <row r="45" spans="1:7" s="214" customFormat="1" ht="13.5" customHeight="1">
      <c r="A45" s="255" t="s">
        <v>1545</v>
      </c>
      <c r="B45" s="244" t="s">
        <v>1511</v>
      </c>
      <c r="C45" s="245">
        <f ca="1">C46</f>
        <v>412355</v>
      </c>
      <c r="D45" s="235">
        <f ca="1">C47</f>
        <v>4.0000000000000001E-3</v>
      </c>
      <c r="E45" s="236" t="s">
        <v>1537</v>
      </c>
      <c r="F45" s="246">
        <f ca="1">F27</f>
        <v>0.2</v>
      </c>
      <c r="G45" s="247" t="s">
        <v>1546</v>
      </c>
    </row>
    <row r="46" spans="1:7" s="214" customFormat="1" ht="13.5" customHeight="1">
      <c r="A46" s="779" t="s">
        <v>346</v>
      </c>
      <c r="B46" s="248" t="s">
        <v>1547</v>
      </c>
      <c r="C46" s="249">
        <f ca="1">ROUND((C33+C39)*F27,0)</f>
        <v>412355</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2776542</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2637715</v>
      </c>
      <c r="D51" s="232"/>
      <c r="E51" s="232"/>
      <c r="F51" s="264"/>
      <c r="G51" s="234" t="s">
        <v>1558</v>
      </c>
    </row>
    <row r="52" spans="1:7" s="208" customFormat="1" ht="16.5" thickBot="1">
      <c r="A52" s="265" t="s">
        <v>1559</v>
      </c>
      <c r="B52" s="266"/>
      <c r="C52" s="267">
        <f ca="1">C31+C51</f>
        <v>2907354</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499.53</v>
      </c>
      <c r="E14" s="21">
        <f>'数据-取费表'!B35</f>
        <v>180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499.53</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9.9999999999997868E-3</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10</v>
      </c>
      <c r="D20" s="845">
        <f ca="1">IF(C1="",'数据-汇总表'!E6,IF(INDIRECT("'数据-取费表'!c"&amp;$K$1)="住宅",INDIRECT("'数据-取费表'!s"&amp;$K$1),INDIRECT("'数据-取费表'!k"&amp;$K$1)+INDIRECT("'数据-取费表'!s"&amp;$K$1)))</f>
        <v>499.53</v>
      </c>
      <c r="E20" s="21">
        <f>'数据-取费表'!B28</f>
        <v>200</v>
      </c>
      <c r="F20" s="803"/>
      <c r="G20" s="12"/>
      <c r="H20" s="808"/>
      <c r="I20" s="808"/>
      <c r="J20" s="808"/>
      <c r="K20" s="809"/>
    </row>
    <row r="21" spans="1:33" s="802" customFormat="1" ht="13.5" customHeight="1">
      <c r="A21" s="789" t="s">
        <v>357</v>
      </c>
      <c r="B21" s="812" t="s">
        <v>1626</v>
      </c>
      <c r="C21" s="813">
        <f ca="1">C16+C17+C18</f>
        <v>9.9999999999997868E-3</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99"/>
      <c r="H2" s="2688"/>
      <c r="I2" s="2688"/>
      <c r="J2" s="2688"/>
      <c r="K2" s="2689"/>
      <c r="L2" s="2688"/>
      <c r="M2" s="2688"/>
    </row>
    <row r="3" spans="1:37" ht="18" customHeight="1" thickBot="1">
      <c r="A3" s="1389" t="s">
        <v>806</v>
      </c>
      <c r="B3" s="1390">
        <f ca="1">IF(ISERROR(B2*10000/F43),0,ROUND(B2*10000/F43,0))</f>
        <v>0</v>
      </c>
      <c r="C3" s="1386" t="s">
        <v>807</v>
      </c>
      <c r="D3" s="1386"/>
      <c r="E3" s="1387"/>
      <c r="F3" s="1388"/>
      <c r="G3" s="2699"/>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2107</v>
      </c>
      <c r="E6" s="302" t="s">
        <v>696</v>
      </c>
      <c r="F6" s="303">
        <f ca="1">INDIRECT("'数据-取费表'!u"&amp;$G$1)</f>
        <v>0</v>
      </c>
      <c r="G6" s="1383"/>
      <c r="H6" s="1068" t="s">
        <v>398</v>
      </c>
      <c r="I6" s="3649" t="s">
        <v>694</v>
      </c>
      <c r="J6" s="301">
        <f ca="1">ROUND(M6*M8*M7*(1-M9)/10000,0)</f>
        <v>0</v>
      </c>
      <c r="K6" s="15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180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0"/>
      <c r="I30" s="1397"/>
      <c r="J30" s="1398"/>
      <c r="K30" s="2472"/>
      <c r="L30" s="2691"/>
      <c r="M30" s="2692"/>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1" t="s">
        <v>2301</v>
      </c>
      <c r="I31" s="1397"/>
      <c r="J31" s="1398"/>
      <c r="K31" s="2472"/>
      <c r="L31" s="2691"/>
      <c r="M31" s="2692"/>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0"/>
      <c r="I32" s="1397"/>
      <c r="J32" s="1398"/>
      <c r="K32" s="2472"/>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3"/>
      <c r="I33" s="1397"/>
      <c r="J33" s="1398"/>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3"/>
      <c r="H34" s="2690"/>
      <c r="I34" s="1397"/>
      <c r="J34" s="1398"/>
      <c r="K34" s="2695"/>
      <c r="L34" s="2696"/>
      <c r="M34" s="2696"/>
    </row>
    <row r="35" spans="1:18" ht="18" customHeight="1">
      <c r="A35" s="1102"/>
      <c r="B35" s="1100"/>
      <c r="C35" s="26"/>
      <c r="D35" s="327"/>
      <c r="E35" s="302" t="s">
        <v>736</v>
      </c>
      <c r="F35" s="303">
        <f ca="1">INDIRECT("'数据-取费表'!r"&amp;$G$1)</f>
        <v>0</v>
      </c>
      <c r="G35" s="1383"/>
      <c r="H35" s="2690"/>
      <c r="I35" s="1397"/>
      <c r="J35" s="1398"/>
      <c r="K35" s="2694"/>
      <c r="L35" s="2693"/>
      <c r="M35" s="2693"/>
    </row>
    <row r="36" spans="1:18" ht="18" customHeight="1">
      <c r="A36" s="1101" t="s">
        <v>402</v>
      </c>
      <c r="B36" s="302" t="s">
        <v>738</v>
      </c>
      <c r="C36" s="21">
        <f ca="1">ROUND(C29*F36,2)</f>
        <v>0</v>
      </c>
      <c r="D36" s="1343" t="s">
        <v>771</v>
      </c>
      <c r="E36" s="302" t="s">
        <v>712</v>
      </c>
      <c r="F36" s="328">
        <f ca="1">INDIRECT("'数据-取费表'!Ak"&amp;$G$1)</f>
        <v>0</v>
      </c>
      <c r="G36" s="1383"/>
      <c r="H36" s="2693"/>
      <c r="I36" s="1397"/>
      <c r="J36" s="1398"/>
      <c r="K36" s="2537"/>
      <c r="L36" s="2693"/>
      <c r="M36" s="2693"/>
    </row>
    <row r="37" spans="1:18" ht="18" customHeight="1">
      <c r="A37" s="981" t="s">
        <v>437</v>
      </c>
      <c r="B37" s="302" t="s">
        <v>742</v>
      </c>
      <c r="C37" s="21">
        <f ca="1">ROUND(C13*F37,2)</f>
        <v>0</v>
      </c>
      <c r="D37" s="1343" t="s">
        <v>743</v>
      </c>
      <c r="E37" s="302" t="s">
        <v>744</v>
      </c>
      <c r="F37" s="330">
        <f ca="1">INDIRECT("'数据-取费表'!Al"&amp;$G$1)</f>
        <v>0</v>
      </c>
      <c r="G37" s="1383"/>
      <c r="H37" s="2693"/>
      <c r="I37" s="1397"/>
      <c r="J37" s="1398"/>
      <c r="K37" s="2537"/>
      <c r="L37" s="2693"/>
      <c r="M37" s="2693"/>
    </row>
    <row r="38" spans="1:18" ht="18" customHeight="1" thickBot="1">
      <c r="A38" s="1088" t="s">
        <v>684</v>
      </c>
      <c r="B38" s="1089" t="s">
        <v>728</v>
      </c>
      <c r="C38" s="1090">
        <f ca="1">ROUND(C5*F38,2)</f>
        <v>0</v>
      </c>
      <c r="D38" s="1091" t="s">
        <v>748</v>
      </c>
      <c r="E38" s="1089" t="s">
        <v>744</v>
      </c>
      <c r="F38" s="1085">
        <f ca="1">INDIRECT("'数据-取费表'!Am"&amp;$G$1)</f>
        <v>0</v>
      </c>
      <c r="G38" s="1383"/>
      <c r="H38" s="2693"/>
      <c r="I38" s="1397"/>
      <c r="J38" s="1398"/>
      <c r="K38" s="2697"/>
      <c r="L38" s="2693"/>
      <c r="M38" s="2693"/>
    </row>
    <row r="39" spans="1:18" ht="24.6" customHeight="1" thickTop="1">
      <c r="A39" s="1078" t="s">
        <v>394</v>
      </c>
      <c r="B39" s="1093" t="s">
        <v>772</v>
      </c>
      <c r="C39" s="310">
        <f ca="1">C5-C30</f>
        <v>0</v>
      </c>
      <c r="D39" s="1094" t="s">
        <v>773</v>
      </c>
      <c r="E39" s="1095"/>
      <c r="F39" s="1096"/>
      <c r="G39" s="1383"/>
      <c r="H39" s="2693"/>
      <c r="I39" s="1397"/>
      <c r="J39" s="1398"/>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7"/>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7"/>
      <c r="L41" s="1190"/>
      <c r="M41" s="1190"/>
    </row>
    <row r="42" spans="1:18" ht="18" customHeight="1">
      <c r="A42" s="308"/>
      <c r="B42" s="309"/>
      <c r="C42" s="310"/>
      <c r="D42" s="327"/>
      <c r="E42" s="302" t="s">
        <v>766</v>
      </c>
      <c r="F42" s="312">
        <f ca="1">INDIRECT("'数据-取费表'!v"&amp;$G$1)</f>
        <v>0</v>
      </c>
      <c r="G42" s="1383"/>
      <c r="H42" s="1190"/>
      <c r="I42" s="1397"/>
      <c r="J42" s="1398"/>
      <c r="K42" s="2537"/>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98"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90" zoomScaleNormal="70" zoomScaleSheetLayoutView="90" workbookViewId="0">
      <selection activeCell="M49" sqref="M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3380</v>
      </c>
      <c r="E1" s="3419" t="s">
        <v>3445</v>
      </c>
      <c r="F1" s="1878" t="s">
        <v>3446</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1423.6605</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7"/>
      <c r="M2" s="2728"/>
      <c r="N2" s="2728"/>
      <c r="O2" s="2728"/>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28500</v>
      </c>
      <c r="C3" s="354" t="s">
        <v>1766</v>
      </c>
      <c r="D3" s="353">
        <f>IF(D1="",'数据-汇总表'!E3,SUMIF('数据-汇总表'!$C19:$C33,D1,'数据-汇总表'!$E19:$E33))</f>
        <v>499.53</v>
      </c>
      <c r="E3" s="1953"/>
      <c r="F3" s="908"/>
      <c r="G3" s="907"/>
      <c r="H3" s="907"/>
      <c r="I3" s="907"/>
      <c r="J3" s="907"/>
      <c r="K3" s="909"/>
      <c r="L3" s="2727"/>
      <c r="M3" s="2728"/>
      <c r="N3" s="2728"/>
      <c r="O3" s="2728"/>
      <c r="P3" s="1951"/>
      <c r="Q3" s="911"/>
      <c r="R3" s="911"/>
      <c r="S3" s="911"/>
      <c r="T3" s="911"/>
      <c r="U3" s="911"/>
      <c r="V3" s="911"/>
      <c r="W3" s="911"/>
      <c r="X3" s="911"/>
      <c r="Y3" s="911"/>
      <c r="Z3" s="911"/>
      <c r="AA3" s="911"/>
      <c r="AB3" s="911"/>
      <c r="AC3" s="1953"/>
    </row>
    <row r="4" spans="1:29" ht="15">
      <c r="A4" s="355" t="s">
        <v>1767</v>
      </c>
      <c r="B4" s="356"/>
      <c r="C4" s="3671" t="s">
        <v>1768</v>
      </c>
      <c r="D4" s="3672"/>
      <c r="E4" s="3673" t="s">
        <v>1769</v>
      </c>
      <c r="F4" s="3674"/>
      <c r="G4" s="3671" t="s">
        <v>1770</v>
      </c>
      <c r="H4" s="3672"/>
      <c r="I4" s="3671" t="s">
        <v>1771</v>
      </c>
      <c r="J4" s="3672"/>
      <c r="K4" s="559" t="s">
        <v>1772</v>
      </c>
      <c r="L4" s="2708"/>
      <c r="M4" s="2709"/>
      <c r="N4" s="2709"/>
      <c r="O4" s="2709"/>
      <c r="P4" s="3675" t="s">
        <v>1773</v>
      </c>
      <c r="Q4" s="3676"/>
      <c r="R4" s="3681" t="s">
        <v>1769</v>
      </c>
      <c r="S4" s="3682"/>
      <c r="T4" s="3681" t="s">
        <v>1770</v>
      </c>
      <c r="U4" s="3682"/>
      <c r="V4" s="3666" t="s">
        <v>1771</v>
      </c>
      <c r="W4" s="3666"/>
      <c r="X4" s="1354"/>
      <c r="Y4" s="3681" t="s">
        <v>1773</v>
      </c>
      <c r="Z4" s="3682"/>
      <c r="AA4" s="3668" t="s">
        <v>1769</v>
      </c>
      <c r="AB4" s="3666" t="s">
        <v>1770</v>
      </c>
      <c r="AC4" s="3668" t="s">
        <v>1771</v>
      </c>
    </row>
    <row r="5" spans="1:29" ht="15">
      <c r="A5" s="358"/>
      <c r="B5" s="359"/>
      <c r="C5" s="3694" t="s">
        <v>3447</v>
      </c>
      <c r="D5" s="3690"/>
      <c r="E5" s="3697" t="str">
        <f>'案例-网'!A2</f>
        <v>中骏西山天璟</v>
      </c>
      <c r="F5" s="3698"/>
      <c r="G5" s="3689" t="str">
        <f>'案例-网'!A3</f>
        <v>绿地京西景园</v>
      </c>
      <c r="H5" s="3690"/>
      <c r="I5" s="3689" t="str">
        <f>'案例-网'!A4</f>
        <v>中昂时代</v>
      </c>
      <c r="J5" s="3690"/>
      <c r="K5" s="559"/>
      <c r="L5" s="2708"/>
      <c r="M5" s="2709"/>
      <c r="N5" s="2709"/>
      <c r="O5" s="2709"/>
      <c r="P5" s="3677"/>
      <c r="Q5" s="3678"/>
      <c r="R5" s="3683"/>
      <c r="S5" s="3684"/>
      <c r="T5" s="3683"/>
      <c r="U5" s="3684"/>
      <c r="V5" s="3666"/>
      <c r="W5" s="3666"/>
      <c r="X5" s="1354"/>
      <c r="Y5" s="3683"/>
      <c r="Z5" s="3684"/>
      <c r="AA5" s="3669"/>
      <c r="AB5" s="3666"/>
      <c r="AC5" s="3669"/>
    </row>
    <row r="6" spans="1:29" ht="15.75" thickBot="1">
      <c r="A6" s="360"/>
      <c r="B6" s="361"/>
      <c r="C6" s="3687" t="s">
        <v>1675</v>
      </c>
      <c r="D6" s="3688"/>
      <c r="E6" s="3695" t="s">
        <v>1675</v>
      </c>
      <c r="F6" s="3696"/>
      <c r="G6" s="3687" t="s">
        <v>1675</v>
      </c>
      <c r="H6" s="3688"/>
      <c r="I6" s="3687" t="s">
        <v>1675</v>
      </c>
      <c r="J6" s="3688"/>
      <c r="K6" s="559" t="s">
        <v>1676</v>
      </c>
      <c r="L6" s="2708"/>
      <c r="M6" s="2709"/>
      <c r="N6" s="2709"/>
      <c r="O6" s="2709"/>
      <c r="P6" s="3679"/>
      <c r="Q6" s="3680"/>
      <c r="R6" s="3683"/>
      <c r="S6" s="3684"/>
      <c r="T6" s="3685"/>
      <c r="U6" s="3686"/>
      <c r="V6" s="3666"/>
      <c r="W6" s="3666"/>
      <c r="X6" s="1354"/>
      <c r="Y6" s="3685"/>
      <c r="Z6" s="3686"/>
      <c r="AA6" s="3670"/>
      <c r="AB6" s="3666"/>
      <c r="AC6" s="3670"/>
    </row>
    <row r="7" spans="1:29" s="108" customFormat="1" ht="15.75" thickBot="1">
      <c r="A7" s="362" t="s">
        <v>1677</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560"/>
      <c r="L7" s="2710"/>
      <c r="M7" s="2711"/>
      <c r="N7" s="2711"/>
      <c r="O7" s="2711"/>
      <c r="P7" s="3691" t="s">
        <v>1678</v>
      </c>
      <c r="Q7" s="3693"/>
      <c r="R7" s="700" t="s">
        <v>14</v>
      </c>
      <c r="S7" s="701">
        <f t="shared" ref="S7:S15" si="0">F7</f>
        <v>100</v>
      </c>
      <c r="T7" s="700" t="s">
        <v>14</v>
      </c>
      <c r="U7" s="701">
        <f t="shared" ref="U7:U15" si="1">H7</f>
        <v>100</v>
      </c>
      <c r="V7" s="700" t="s">
        <v>14</v>
      </c>
      <c r="W7" s="701">
        <f t="shared" ref="W7:W15" si="2">J7</f>
        <v>100</v>
      </c>
      <c r="X7" s="702"/>
      <c r="Y7" s="3691" t="s">
        <v>1678</v>
      </c>
      <c r="Z7" s="3692"/>
      <c r="AA7" s="703">
        <f>D7/F7</f>
        <v>1</v>
      </c>
      <c r="AB7" s="703">
        <f>D7/H7</f>
        <v>1</v>
      </c>
      <c r="AC7" s="703">
        <f>D7/J7</f>
        <v>1</v>
      </c>
    </row>
    <row r="8" spans="1:29" s="108" customFormat="1" ht="15.75" thickBot="1">
      <c r="A8" s="362" t="s">
        <v>1679</v>
      </c>
      <c r="B8" s="363"/>
      <c r="C8" s="368" t="s">
        <v>3441</v>
      </c>
      <c r="D8" s="365">
        <v>100</v>
      </c>
      <c r="E8" s="368" t="s">
        <v>3395</v>
      </c>
      <c r="F8" s="367">
        <f>SUMIF(61:61,E8,62:62)-SUMIF(61:61,C8,62:62)+100</f>
        <v>102</v>
      </c>
      <c r="G8" s="368" t="s">
        <v>3395</v>
      </c>
      <c r="H8" s="365">
        <f>SUMIF(61:61,G8,62:62)-SUMIF(61:61,C8,62:62)+100</f>
        <v>102</v>
      </c>
      <c r="I8" s="368" t="s">
        <v>3395</v>
      </c>
      <c r="J8" s="365">
        <f>SUMIF(61:61,I8,62:62)-SUMIF(61:61,C8,62:62)+100</f>
        <v>102</v>
      </c>
      <c r="K8" s="560"/>
      <c r="L8" s="2710"/>
      <c r="M8" s="2711"/>
      <c r="N8" s="2711"/>
      <c r="O8" s="2711"/>
      <c r="P8" s="3691" t="s">
        <v>1681</v>
      </c>
      <c r="Q8" s="3692"/>
      <c r="R8" s="700" t="s">
        <v>14</v>
      </c>
      <c r="S8" s="701">
        <f t="shared" si="0"/>
        <v>102</v>
      </c>
      <c r="T8" s="700" t="s">
        <v>14</v>
      </c>
      <c r="U8" s="701">
        <f t="shared" si="1"/>
        <v>102</v>
      </c>
      <c r="V8" s="700" t="s">
        <v>14</v>
      </c>
      <c r="W8" s="701">
        <f t="shared" si="2"/>
        <v>102</v>
      </c>
      <c r="X8" s="702"/>
      <c r="Y8" s="3691" t="s">
        <v>1681</v>
      </c>
      <c r="Z8" s="3692"/>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5"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67"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703">
        <f t="shared" si="5"/>
        <v>1</v>
      </c>
    </row>
    <row r="10" spans="1:29" s="378" customFormat="1" ht="27">
      <c r="A10" s="374"/>
      <c r="B10" s="375" t="s">
        <v>1686</v>
      </c>
      <c r="C10" s="3427" t="str">
        <f>C65</f>
        <v>30-40</v>
      </c>
      <c r="D10" s="127">
        <v>100</v>
      </c>
      <c r="E10" s="3427" t="str">
        <f>C10</f>
        <v>30-40</v>
      </c>
      <c r="F10" s="376">
        <f>SUMIF(65:65,E10,66:66)-SUMIF(65:65,C10,66:66)+100</f>
        <v>100</v>
      </c>
      <c r="G10" s="3427" t="s">
        <v>3449</v>
      </c>
      <c r="H10" s="127">
        <f>SUMIF(65:65,G10,66:66)-SUMIF(65:65,C10,66:66)+100</f>
        <v>98</v>
      </c>
      <c r="I10" s="3427" t="str">
        <f>C10</f>
        <v>30-40</v>
      </c>
      <c r="J10" s="127">
        <f>SUMIF(65:65,I10,66:66)-SUMIF(65:65,C10,66:66)+100</f>
        <v>100</v>
      </c>
      <c r="K10" s="560"/>
      <c r="L10" s="2712"/>
      <c r="M10" s="2713"/>
      <c r="N10" s="2713"/>
      <c r="O10" s="2713"/>
      <c r="P10" s="3667"/>
      <c r="Q10" s="1342" t="str">
        <f t="shared" si="6"/>
        <v>土地使用年限（年）</v>
      </c>
      <c r="R10" s="700" t="s">
        <v>14</v>
      </c>
      <c r="S10" s="701">
        <f t="shared" si="0"/>
        <v>100</v>
      </c>
      <c r="T10" s="700" t="s">
        <v>14</v>
      </c>
      <c r="U10" s="701">
        <f t="shared" si="1"/>
        <v>98</v>
      </c>
      <c r="V10" s="700" t="s">
        <v>14</v>
      </c>
      <c r="W10" s="701">
        <f t="shared" si="2"/>
        <v>100</v>
      </c>
      <c r="X10" s="702"/>
      <c r="Y10" s="3551"/>
      <c r="Z10" s="52" t="str">
        <f t="shared" si="7"/>
        <v>土地使用年限（年）</v>
      </c>
      <c r="AA10" s="703">
        <f t="shared" si="3"/>
        <v>1</v>
      </c>
      <c r="AB10" s="703">
        <f t="shared" si="4"/>
        <v>1.0204081632653061</v>
      </c>
      <c r="AC10" s="703">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67"/>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6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6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6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15">
      <c r="A15" s="391" t="s">
        <v>1688</v>
      </c>
      <c r="B15" s="61" t="s">
        <v>1775</v>
      </c>
      <c r="C15" s="1895" t="str">
        <f>估价对象房地状况!C4</f>
        <v>较好</v>
      </c>
      <c r="D15" s="392">
        <v>100</v>
      </c>
      <c r="E15" s="393" t="s">
        <v>3386</v>
      </c>
      <c r="F15" s="394">
        <f>SUMIF(76:76,E16,77:77)-SUMIF(76:76,C16,77:77)+100</f>
        <v>100</v>
      </c>
      <c r="G15" s="403" t="s">
        <v>3389</v>
      </c>
      <c r="H15" s="392">
        <f>SUMIF(76:76,G16,77:77)-SUMIF(76:76,C16,77:77)+100</f>
        <v>95</v>
      </c>
      <c r="I15" s="393" t="s">
        <v>3386</v>
      </c>
      <c r="J15" s="392">
        <f>SUMIF(76:76,I16,77:77)-SUMIF(76:76,C16,77:77)+100</f>
        <v>100</v>
      </c>
      <c r="K15" s="563">
        <v>5</v>
      </c>
      <c r="L15" s="2715"/>
      <c r="M15" s="2709"/>
      <c r="N15" s="2709"/>
      <c r="O15" s="2709"/>
      <c r="P15" s="3657" t="s">
        <v>1689</v>
      </c>
      <c r="Q15" s="1351" t="str">
        <f t="shared" si="6"/>
        <v>商业繁华度</v>
      </c>
      <c r="R15" s="704" t="s">
        <v>14</v>
      </c>
      <c r="S15" s="705">
        <f t="shared" si="0"/>
        <v>100</v>
      </c>
      <c r="T15" s="704" t="s">
        <v>14</v>
      </c>
      <c r="U15" s="705">
        <f t="shared" si="1"/>
        <v>95</v>
      </c>
      <c r="V15" s="704" t="s">
        <v>14</v>
      </c>
      <c r="W15" s="705">
        <f t="shared" si="2"/>
        <v>100</v>
      </c>
      <c r="X15" s="1354"/>
      <c r="Y15" s="3659" t="s">
        <v>1689</v>
      </c>
      <c r="Z15" s="1355" t="str">
        <f t="shared" si="7"/>
        <v>商业繁华度</v>
      </c>
      <c r="AA15" s="1352">
        <f t="shared" si="3"/>
        <v>1</v>
      </c>
      <c r="AB15" s="1352">
        <f t="shared" si="4"/>
        <v>1.0526315789473684</v>
      </c>
      <c r="AC15" s="1352">
        <f t="shared" si="5"/>
        <v>1</v>
      </c>
    </row>
    <row r="16" spans="1:29" ht="15">
      <c r="A16" s="379"/>
      <c r="B16" s="397"/>
      <c r="C16" s="398" t="s">
        <v>3386</v>
      </c>
      <c r="D16" s="399"/>
      <c r="E16" s="398" t="s">
        <v>3386</v>
      </c>
      <c r="F16" s="400"/>
      <c r="G16" s="1902" t="s">
        <v>3389</v>
      </c>
      <c r="H16" s="401"/>
      <c r="I16" s="398" t="s">
        <v>3386</v>
      </c>
      <c r="J16" s="399"/>
      <c r="K16" s="564"/>
      <c r="L16" s="2715"/>
      <c r="M16" s="2709"/>
      <c r="N16" s="2709"/>
      <c r="O16" s="2709"/>
      <c r="P16" s="3658"/>
      <c r="Q16" s="1351"/>
      <c r="R16" s="704"/>
      <c r="S16" s="705"/>
      <c r="T16" s="704"/>
      <c r="U16" s="705"/>
      <c r="V16" s="704"/>
      <c r="W16" s="705"/>
      <c r="X16" s="1354"/>
      <c r="Y16" s="3660"/>
      <c r="Z16" s="1355"/>
      <c r="AA16" s="1352">
        <v>1</v>
      </c>
      <c r="AB16" s="1352">
        <v>1</v>
      </c>
      <c r="AC16" s="1352">
        <v>1</v>
      </c>
    </row>
    <row r="17" spans="1:29" ht="15">
      <c r="A17" s="379"/>
      <c r="B17" s="402" t="s">
        <v>1257</v>
      </c>
      <c r="C17" s="1899" t="str">
        <f>估价对象房地状况!C6</f>
        <v>一般</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5"/>
      <c r="M17" s="2709"/>
      <c r="N17" s="2709"/>
      <c r="O17" s="2709"/>
      <c r="P17" s="3658"/>
      <c r="Q17" s="1351" t="str">
        <f>B17</f>
        <v>交通便捷度</v>
      </c>
      <c r="R17" s="704" t="s">
        <v>14</v>
      </c>
      <c r="S17" s="705">
        <f>F17</f>
        <v>100</v>
      </c>
      <c r="T17" s="704" t="s">
        <v>14</v>
      </c>
      <c r="U17" s="705">
        <f>H17</f>
        <v>100</v>
      </c>
      <c r="V17" s="704" t="s">
        <v>14</v>
      </c>
      <c r="W17" s="705">
        <f>J17</f>
        <v>100</v>
      </c>
      <c r="X17" s="1354"/>
      <c r="Y17" s="3660"/>
      <c r="Z17" s="1355" t="str">
        <f>Q17</f>
        <v>交通便捷度</v>
      </c>
      <c r="AA17" s="1352">
        <f t="shared" si="3"/>
        <v>1</v>
      </c>
      <c r="AB17" s="1352">
        <f t="shared" si="4"/>
        <v>1</v>
      </c>
      <c r="AC17" s="1352">
        <f t="shared" si="5"/>
        <v>1</v>
      </c>
    </row>
    <row r="18" spans="1:29" ht="15">
      <c r="A18" s="379"/>
      <c r="B18" s="407"/>
      <c r="C18" s="1900" t="s">
        <v>3389</v>
      </c>
      <c r="D18" s="401"/>
      <c r="E18" s="1902" t="s">
        <v>3389</v>
      </c>
      <c r="F18" s="404"/>
      <c r="G18" s="1902" t="s">
        <v>3389</v>
      </c>
      <c r="H18" s="399"/>
      <c r="I18" s="1902" t="s">
        <v>3389</v>
      </c>
      <c r="J18" s="399"/>
      <c r="K18" s="564"/>
      <c r="L18" s="2715"/>
      <c r="M18" s="2709"/>
      <c r="N18" s="2709"/>
      <c r="O18" s="2709"/>
      <c r="P18" s="3658"/>
      <c r="Q18" s="1351"/>
      <c r="R18" s="704"/>
      <c r="S18" s="705"/>
      <c r="T18" s="704"/>
      <c r="U18" s="705"/>
      <c r="V18" s="704"/>
      <c r="W18" s="705"/>
      <c r="X18" s="1354"/>
      <c r="Y18" s="3660"/>
      <c r="Z18" s="1355"/>
      <c r="AA18" s="1352">
        <v>1</v>
      </c>
      <c r="AB18" s="1352">
        <v>1</v>
      </c>
      <c r="AC18" s="1352">
        <v>1</v>
      </c>
    </row>
    <row r="19" spans="1:29" ht="15">
      <c r="A19" s="379"/>
      <c r="B19" s="402" t="s">
        <v>1776</v>
      </c>
      <c r="C19" s="1899" t="str">
        <f>估价对象房地状况!C7</f>
        <v>较好</v>
      </c>
      <c r="D19" s="406">
        <v>100</v>
      </c>
      <c r="E19" s="408" t="s">
        <v>3386</v>
      </c>
      <c r="F19" s="409">
        <f>SUMIF(80:80,E20,81:81)-SUMIF(80:80,C20,81:81)+100</f>
        <v>100</v>
      </c>
      <c r="G19" s="408" t="s">
        <v>3386</v>
      </c>
      <c r="H19" s="401">
        <f>SUMIF(80:80,G20,81:81)-SUMIF(80:80,C20,81:81)+100</f>
        <v>100</v>
      </c>
      <c r="I19" s="408" t="s">
        <v>3386</v>
      </c>
      <c r="J19" s="401">
        <f>SUMIF(80:80,I20,81:81)-SUMIF(80:80,C20,81:81)+100</f>
        <v>100</v>
      </c>
      <c r="K19" s="563">
        <v>2</v>
      </c>
      <c r="L19" s="2715"/>
      <c r="M19" s="2709"/>
      <c r="N19" s="2709"/>
      <c r="O19" s="2709"/>
      <c r="P19" s="3658"/>
      <c r="Q19" s="1351" t="str">
        <f>B19</f>
        <v>公共配套设施</v>
      </c>
      <c r="R19" s="704" t="s">
        <v>14</v>
      </c>
      <c r="S19" s="705">
        <f>F19</f>
        <v>100</v>
      </c>
      <c r="T19" s="704" t="s">
        <v>14</v>
      </c>
      <c r="U19" s="705">
        <f>H19</f>
        <v>100</v>
      </c>
      <c r="V19" s="704" t="s">
        <v>14</v>
      </c>
      <c r="W19" s="705">
        <f>J19</f>
        <v>100</v>
      </c>
      <c r="X19" s="1354"/>
      <c r="Y19" s="3660"/>
      <c r="Z19" s="1355" t="str">
        <f>Q19</f>
        <v>公共配套设施</v>
      </c>
      <c r="AA19" s="1352">
        <f t="shared" si="3"/>
        <v>1</v>
      </c>
      <c r="AB19" s="1352">
        <f t="shared" si="4"/>
        <v>1</v>
      </c>
      <c r="AC19" s="1352">
        <f t="shared" si="5"/>
        <v>1</v>
      </c>
    </row>
    <row r="20" spans="1:29" ht="15">
      <c r="A20" s="379"/>
      <c r="B20" s="407"/>
      <c r="C20" s="398" t="s">
        <v>3386</v>
      </c>
      <c r="D20" s="399"/>
      <c r="E20" s="1897" t="s">
        <v>3386</v>
      </c>
      <c r="F20" s="400"/>
      <c r="G20" s="1897" t="s">
        <v>3386</v>
      </c>
      <c r="H20" s="399"/>
      <c r="I20" s="1897" t="s">
        <v>3386</v>
      </c>
      <c r="J20" s="399"/>
      <c r="K20" s="564"/>
      <c r="L20" s="2715"/>
      <c r="M20" s="2709"/>
      <c r="N20" s="2709"/>
      <c r="O20" s="2709"/>
      <c r="P20" s="3658"/>
      <c r="Q20" s="1351"/>
      <c r="R20" s="704"/>
      <c r="S20" s="705"/>
      <c r="T20" s="704"/>
      <c r="U20" s="705"/>
      <c r="V20" s="704"/>
      <c r="W20" s="705"/>
      <c r="X20" s="1354"/>
      <c r="Y20" s="3660"/>
      <c r="Z20" s="1355"/>
      <c r="AA20" s="1352">
        <v>1</v>
      </c>
      <c r="AB20" s="1352">
        <v>1</v>
      </c>
      <c r="AC20" s="1352">
        <v>1</v>
      </c>
    </row>
    <row r="21" spans="1:29" ht="15">
      <c r="A21" s="379"/>
      <c r="B21" s="1130" t="s">
        <v>1777</v>
      </c>
      <c r="C21" s="1899"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658"/>
      <c r="Q21" s="1351" t="str">
        <f>B21</f>
        <v>基础设施水平</v>
      </c>
      <c r="R21" s="704" t="s">
        <v>14</v>
      </c>
      <c r="S21" s="705">
        <f>F21</f>
        <v>100</v>
      </c>
      <c r="T21" s="704" t="s">
        <v>14</v>
      </c>
      <c r="U21" s="705">
        <f>H21</f>
        <v>100</v>
      </c>
      <c r="V21" s="704" t="s">
        <v>14</v>
      </c>
      <c r="W21" s="705">
        <f>J21</f>
        <v>100</v>
      </c>
      <c r="X21" s="1354"/>
      <c r="Y21" s="3660"/>
      <c r="Z21" s="1355" t="str">
        <f>Q21</f>
        <v>基础设施水平</v>
      </c>
      <c r="AA21" s="1352">
        <f t="shared" ref="AA21" si="8">D21/F21</f>
        <v>1</v>
      </c>
      <c r="AB21" s="1352">
        <f t="shared" ref="AB21" si="9">D21/H21</f>
        <v>1</v>
      </c>
      <c r="AC21" s="1352">
        <f t="shared" ref="AC21" si="10">D21/J21</f>
        <v>1</v>
      </c>
    </row>
    <row r="22" spans="1:29" ht="15">
      <c r="A22" s="379"/>
      <c r="B22" s="1130"/>
      <c r="C22" s="1900" t="s">
        <v>3393</v>
      </c>
      <c r="D22" s="399"/>
      <c r="E22" s="398" t="s">
        <v>3393</v>
      </c>
      <c r="F22" s="400"/>
      <c r="G22" s="398" t="s">
        <v>3393</v>
      </c>
      <c r="H22" s="399"/>
      <c r="I22" s="398" t="s">
        <v>3393</v>
      </c>
      <c r="J22" s="399"/>
      <c r="K22" s="1129"/>
      <c r="L22" s="2715"/>
      <c r="M22" s="2709"/>
      <c r="N22" s="2709"/>
      <c r="O22" s="2709"/>
      <c r="P22" s="3658"/>
      <c r="Q22" s="1351"/>
      <c r="R22" s="704"/>
      <c r="S22" s="705"/>
      <c r="T22" s="704"/>
      <c r="U22" s="705"/>
      <c r="V22" s="704"/>
      <c r="W22" s="705"/>
      <c r="X22" s="1354"/>
      <c r="Y22" s="3660"/>
      <c r="Z22" s="1355"/>
      <c r="AA22" s="1352">
        <v>1</v>
      </c>
      <c r="AB22" s="1352">
        <v>1</v>
      </c>
      <c r="AC22" s="1352">
        <v>1</v>
      </c>
    </row>
    <row r="23" spans="1:29" ht="15">
      <c r="A23" s="379"/>
      <c r="B23" s="402" t="s">
        <v>1259</v>
      </c>
      <c r="C23" s="1954" t="str">
        <f>估价对象房地状况!C9</f>
        <v>一般</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658"/>
      <c r="Q23" s="1351" t="str">
        <f>B23</f>
        <v>自然及人文环境</v>
      </c>
      <c r="R23" s="704" t="s">
        <v>14</v>
      </c>
      <c r="S23" s="705">
        <f>F23</f>
        <v>100</v>
      </c>
      <c r="T23" s="704" t="s">
        <v>14</v>
      </c>
      <c r="U23" s="705">
        <f>H23</f>
        <v>100</v>
      </c>
      <c r="V23" s="704" t="s">
        <v>14</v>
      </c>
      <c r="W23" s="705">
        <f>J23</f>
        <v>100</v>
      </c>
      <c r="X23" s="1354"/>
      <c r="Y23" s="3660"/>
      <c r="Z23" s="1355" t="str">
        <f>Q23</f>
        <v>自然及人文环境</v>
      </c>
      <c r="AA23" s="1352">
        <f t="shared" si="3"/>
        <v>1</v>
      </c>
      <c r="AB23" s="1352">
        <f t="shared" si="4"/>
        <v>1</v>
      </c>
      <c r="AC23" s="1352">
        <f t="shared" si="5"/>
        <v>1</v>
      </c>
    </row>
    <row r="24" spans="1:29" ht="15">
      <c r="A24" s="379"/>
      <c r="B24" s="407"/>
      <c r="C24" s="398" t="s">
        <v>3389</v>
      </c>
      <c r="D24" s="399"/>
      <c r="E24" s="1897" t="s">
        <v>3389</v>
      </c>
      <c r="F24" s="400"/>
      <c r="G24" s="1897" t="s">
        <v>3389</v>
      </c>
      <c r="H24" s="399"/>
      <c r="I24" s="1897" t="s">
        <v>3389</v>
      </c>
      <c r="J24" s="399"/>
      <c r="K24" s="564"/>
      <c r="L24" s="2715"/>
      <c r="M24" s="2709"/>
      <c r="N24" s="2709"/>
      <c r="O24" s="2709"/>
      <c r="P24" s="3658"/>
      <c r="Q24" s="1351"/>
      <c r="R24" s="704"/>
      <c r="S24" s="705"/>
      <c r="T24" s="704"/>
      <c r="U24" s="705"/>
      <c r="V24" s="704"/>
      <c r="W24" s="705"/>
      <c r="X24" s="1354"/>
      <c r="Y24" s="3660"/>
      <c r="Z24" s="1355"/>
      <c r="AA24" s="1352">
        <v>1</v>
      </c>
      <c r="AB24" s="1352">
        <v>1</v>
      </c>
      <c r="AC24" s="1352">
        <v>1</v>
      </c>
    </row>
    <row r="25" spans="1:29" ht="15">
      <c r="A25" s="379"/>
      <c r="B25" s="375" t="s">
        <v>1778</v>
      </c>
      <c r="C25" s="565" t="s">
        <v>3401</v>
      </c>
      <c r="D25" s="386">
        <v>100</v>
      </c>
      <c r="E25" s="565" t="s">
        <v>3401</v>
      </c>
      <c r="F25" s="412">
        <f>SUMIF(86:86,E25,87:87)-SUMIF(86:86,C25,87:87)+100</f>
        <v>100</v>
      </c>
      <c r="G25" s="565" t="s">
        <v>3401</v>
      </c>
      <c r="H25" s="386">
        <f>SUMIF(86:86,G25,87:87)-SUMIF(86:86,C25,87:87)+100</f>
        <v>100</v>
      </c>
      <c r="I25" s="565" t="s">
        <v>3401</v>
      </c>
      <c r="J25" s="386">
        <f>SUMIF(86:86,I25,87:87)-SUMIF(86:86,C25,87:87)+100</f>
        <v>100</v>
      </c>
      <c r="K25" s="561">
        <v>2</v>
      </c>
      <c r="L25" s="2715"/>
      <c r="M25" s="2709"/>
      <c r="N25" s="2709"/>
      <c r="O25" s="2709"/>
      <c r="P25" s="3658"/>
      <c r="Q25" s="1351" t="str">
        <f t="shared" ref="Q25:Q46" si="11">B25</f>
        <v>临街状况</v>
      </c>
      <c r="R25" s="704" t="s">
        <v>14</v>
      </c>
      <c r="S25" s="705">
        <f>F25</f>
        <v>100</v>
      </c>
      <c r="T25" s="704" t="s">
        <v>14</v>
      </c>
      <c r="U25" s="705">
        <f>H25</f>
        <v>100</v>
      </c>
      <c r="V25" s="704" t="s">
        <v>14</v>
      </c>
      <c r="W25" s="705">
        <f>J25</f>
        <v>100</v>
      </c>
      <c r="X25" s="1354"/>
      <c r="Y25" s="3660"/>
      <c r="Z25" s="1355" t="str">
        <f>Q25</f>
        <v>临街状况</v>
      </c>
      <c r="AA25" s="1352">
        <f t="shared" si="3"/>
        <v>1</v>
      </c>
      <c r="AB25" s="1352">
        <f t="shared" si="4"/>
        <v>1</v>
      </c>
      <c r="AC25" s="1352">
        <f t="shared" si="5"/>
        <v>1</v>
      </c>
    </row>
    <row r="26" spans="1:29" ht="15">
      <c r="A26" s="379"/>
      <c r="B26" s="1132" t="s">
        <v>1779</v>
      </c>
      <c r="C26" s="3456" t="s">
        <v>3404</v>
      </c>
      <c r="D26" s="386">
        <v>100</v>
      </c>
      <c r="E26" s="385" t="s">
        <v>3386</v>
      </c>
      <c r="F26" s="412">
        <f>SUMIF(88:88,E26,89:89)-SUMIF(88:88,C26,89:89)+100</f>
        <v>100</v>
      </c>
      <c r="G26" s="385" t="s">
        <v>3386</v>
      </c>
      <c r="H26" s="386">
        <f>SUMIF(88:88,G26,89:89)-SUMIF(88:88,C26,89:89)+100</f>
        <v>100</v>
      </c>
      <c r="I26" s="385" t="s">
        <v>3386</v>
      </c>
      <c r="J26" s="386">
        <f>SUMIF(88:88,I26,89:89)-SUMIF(88:88,C26,89:89)+100</f>
        <v>100</v>
      </c>
      <c r="K26" s="562"/>
      <c r="L26" s="2715"/>
      <c r="M26" s="2709"/>
      <c r="N26" s="2709"/>
      <c r="O26" s="2709"/>
      <c r="P26" s="3658"/>
      <c r="Q26" s="1351" t="str">
        <f t="shared" si="11"/>
        <v>平面位置/可视性</v>
      </c>
      <c r="R26" s="704" t="s">
        <v>14</v>
      </c>
      <c r="S26" s="705">
        <f>F26</f>
        <v>100</v>
      </c>
      <c r="T26" s="704" t="s">
        <v>14</v>
      </c>
      <c r="U26" s="705">
        <f>H26</f>
        <v>100</v>
      </c>
      <c r="V26" s="704" t="s">
        <v>14</v>
      </c>
      <c r="W26" s="705">
        <f>J26</f>
        <v>100</v>
      </c>
      <c r="X26" s="1354"/>
      <c r="Y26" s="3660"/>
      <c r="Z26" s="1355" t="str">
        <f>Q26</f>
        <v>平面位置/可视性</v>
      </c>
      <c r="AA26" s="1352">
        <f t="shared" si="3"/>
        <v>1</v>
      </c>
      <c r="AB26" s="1352">
        <f t="shared" si="4"/>
        <v>1</v>
      </c>
      <c r="AC26" s="1352">
        <f t="shared" si="5"/>
        <v>1</v>
      </c>
    </row>
    <row r="27" spans="1:29" s="108" customFormat="1" ht="15">
      <c r="A27" s="382"/>
      <c r="B27" s="402" t="s">
        <v>1780</v>
      </c>
      <c r="C27" s="1955" t="s">
        <v>3389</v>
      </c>
      <c r="D27" s="413">
        <v>100</v>
      </c>
      <c r="E27" s="1955" t="s">
        <v>3389</v>
      </c>
      <c r="F27" s="415">
        <f>SUMIF(90:90,E27,91:91)-SUMIF(90:90,C27,91:91)+100</f>
        <v>100</v>
      </c>
      <c r="G27" s="1955" t="s">
        <v>3389</v>
      </c>
      <c r="H27" s="413">
        <f>SUMIF(90:90,G27,91:91)-SUMIF(90:90,C27,91:91)+100</f>
        <v>100</v>
      </c>
      <c r="I27" s="1955" t="s">
        <v>3411</v>
      </c>
      <c r="J27" s="413">
        <f>SUMIF(90:90,I27,91:91)-SUMIF(90:90,C27,91:91)+100</f>
        <v>102</v>
      </c>
      <c r="K27" s="561">
        <v>2</v>
      </c>
      <c r="L27" s="2710"/>
      <c r="M27" s="2711"/>
      <c r="N27" s="2711"/>
      <c r="O27" s="2711"/>
      <c r="P27" s="3658"/>
      <c r="Q27" s="1342" t="str">
        <f t="shared" si="11"/>
        <v>人流量</v>
      </c>
      <c r="R27" s="700" t="s">
        <v>14</v>
      </c>
      <c r="S27" s="701">
        <f>F27</f>
        <v>100</v>
      </c>
      <c r="T27" s="700" t="s">
        <v>14</v>
      </c>
      <c r="U27" s="701">
        <f>H27</f>
        <v>100</v>
      </c>
      <c r="V27" s="700" t="s">
        <v>14</v>
      </c>
      <c r="W27" s="701">
        <f>J27</f>
        <v>102</v>
      </c>
      <c r="X27" s="702"/>
      <c r="Y27" s="3660"/>
      <c r="Z27" s="52" t="str">
        <f>Q27</f>
        <v>人流量</v>
      </c>
      <c r="AA27" s="1352">
        <f>D27/F27</f>
        <v>1</v>
      </c>
      <c r="AB27" s="1352">
        <f>D27/H27</f>
        <v>1</v>
      </c>
      <c r="AC27" s="1352">
        <f>D27/J27</f>
        <v>0.98039215686274506</v>
      </c>
    </row>
    <row r="28" spans="1:29" ht="15.75" thickBot="1">
      <c r="A28" s="379"/>
      <c r="B28" s="375" t="s">
        <v>1781</v>
      </c>
      <c r="C28" s="565" t="s">
        <v>3443</v>
      </c>
      <c r="D28" s="386">
        <v>100</v>
      </c>
      <c r="E28" s="565" t="s">
        <v>3443</v>
      </c>
      <c r="F28" s="412">
        <f>SUMIF(92:92,E28,93:93)-SUMIF(92:92,C28,93:93)+100</f>
        <v>100</v>
      </c>
      <c r="G28" s="565" t="s">
        <v>3443</v>
      </c>
      <c r="H28" s="386">
        <f>SUMIF(92:92,G28,93:93)-SUMIF(92:92,C28,93:93)+100</f>
        <v>100</v>
      </c>
      <c r="I28" s="565" t="s">
        <v>3443</v>
      </c>
      <c r="J28" s="386">
        <f>SUMIF(92:92,I28,93:93)-SUMIF(92:92,C28,93:93)+100</f>
        <v>100</v>
      </c>
      <c r="K28" s="562"/>
      <c r="L28" s="2715"/>
      <c r="M28" s="2709"/>
      <c r="N28" s="2709"/>
      <c r="O28" s="2709"/>
      <c r="P28" s="365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0"/>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58"/>
      <c r="Q29" s="1351">
        <f t="shared" si="11"/>
        <v>111</v>
      </c>
      <c r="R29" s="704" t="s">
        <v>14</v>
      </c>
      <c r="S29" s="705">
        <f t="shared" si="12"/>
        <v>100</v>
      </c>
      <c r="T29" s="704" t="s">
        <v>14</v>
      </c>
      <c r="U29" s="705">
        <f t="shared" si="13"/>
        <v>100</v>
      </c>
      <c r="V29" s="704" t="s">
        <v>14</v>
      </c>
      <c r="W29" s="705">
        <f t="shared" si="14"/>
        <v>100</v>
      </c>
      <c r="X29" s="1354"/>
      <c r="Y29" s="3660"/>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58"/>
      <c r="Q30" s="1351">
        <f t="shared" si="11"/>
        <v>111</v>
      </c>
      <c r="R30" s="704" t="s">
        <v>14</v>
      </c>
      <c r="S30" s="705">
        <f t="shared" si="12"/>
        <v>100</v>
      </c>
      <c r="T30" s="704" t="s">
        <v>14</v>
      </c>
      <c r="U30" s="705">
        <f t="shared" si="13"/>
        <v>100</v>
      </c>
      <c r="V30" s="704" t="s">
        <v>14</v>
      </c>
      <c r="W30" s="705">
        <f t="shared" si="14"/>
        <v>100</v>
      </c>
      <c r="X30" s="1354"/>
      <c r="Y30" s="3660"/>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58"/>
      <c r="Q31" s="1351">
        <f t="shared" si="11"/>
        <v>111</v>
      </c>
      <c r="R31" s="704" t="s">
        <v>14</v>
      </c>
      <c r="S31" s="705">
        <f t="shared" si="12"/>
        <v>100</v>
      </c>
      <c r="T31" s="704" t="s">
        <v>14</v>
      </c>
      <c r="U31" s="705">
        <f t="shared" si="13"/>
        <v>100</v>
      </c>
      <c r="V31" s="704" t="s">
        <v>14</v>
      </c>
      <c r="W31" s="705">
        <f t="shared" si="14"/>
        <v>100</v>
      </c>
      <c r="X31" s="1354"/>
      <c r="Y31" s="3660"/>
      <c r="Z31" s="1355">
        <f t="shared" si="15"/>
        <v>111</v>
      </c>
      <c r="AA31" s="1352">
        <f t="shared" si="3"/>
        <v>1</v>
      </c>
      <c r="AB31" s="1352">
        <f t="shared" si="4"/>
        <v>1</v>
      </c>
      <c r="AC31" s="1352">
        <f t="shared" si="5"/>
        <v>1</v>
      </c>
    </row>
    <row r="32" spans="1:29" ht="15">
      <c r="A32" s="391" t="s">
        <v>1692</v>
      </c>
      <c r="B32" s="63" t="s">
        <v>1782</v>
      </c>
      <c r="C32" s="1909" t="s">
        <v>3380</v>
      </c>
      <c r="D32" s="418">
        <v>100</v>
      </c>
      <c r="E32" s="1909" t="s">
        <v>3380</v>
      </c>
      <c r="F32" s="412">
        <f>SUMIF(100:100,E32,101:101)-SUMIF(100:100,C32,101:101)+100</f>
        <v>100</v>
      </c>
      <c r="G32" s="1909" t="s">
        <v>3380</v>
      </c>
      <c r="H32" s="386">
        <f>SUMIF(100:100,G32,101:101)-SUMIF(100:100,C32,101:101)+100</f>
        <v>100</v>
      </c>
      <c r="I32" s="1909" t="s">
        <v>3380</v>
      </c>
      <c r="J32" s="418">
        <f>SUMIF(100:100,I32,101:101)-SUMIF(100:100,C32,101:101)+100</f>
        <v>100</v>
      </c>
      <c r="K32" s="561">
        <v>2</v>
      </c>
      <c r="L32" s="2715"/>
      <c r="M32" s="2709"/>
      <c r="N32" s="2709"/>
      <c r="O32" s="2709"/>
      <c r="P32" s="3661" t="s">
        <v>1694</v>
      </c>
      <c r="Q32" s="1351" t="str">
        <f t="shared" si="11"/>
        <v>商业类型</v>
      </c>
      <c r="R32" s="704" t="s">
        <v>14</v>
      </c>
      <c r="S32" s="705">
        <f t="shared" si="12"/>
        <v>100</v>
      </c>
      <c r="T32" s="704" t="s">
        <v>14</v>
      </c>
      <c r="U32" s="705">
        <f t="shared" si="13"/>
        <v>100</v>
      </c>
      <c r="V32" s="704" t="s">
        <v>14</v>
      </c>
      <c r="W32" s="705">
        <f t="shared" si="14"/>
        <v>100</v>
      </c>
      <c r="X32" s="1354"/>
      <c r="Y32" s="3664" t="s">
        <v>1694</v>
      </c>
      <c r="Z32" s="1355" t="str">
        <f t="shared" si="15"/>
        <v>商业类型</v>
      </c>
      <c r="AA32" s="1352">
        <f t="shared" si="3"/>
        <v>1</v>
      </c>
      <c r="AB32" s="1352">
        <f t="shared" si="4"/>
        <v>1</v>
      </c>
      <c r="AC32" s="1352">
        <f t="shared" si="5"/>
        <v>1</v>
      </c>
    </row>
    <row r="33" spans="1:29" s="422" customFormat="1" ht="15">
      <c r="A33" s="419"/>
      <c r="B33" s="375" t="s">
        <v>1695</v>
      </c>
      <c r="C33" s="420">
        <f>'数据-汇总表'!E3</f>
        <v>499.53</v>
      </c>
      <c r="D33" s="127">
        <v>100</v>
      </c>
      <c r="E33" s="381">
        <f>'案例-网'!B2</f>
        <v>560</v>
      </c>
      <c r="F33" s="376">
        <f>LOOKUP(E33,103:103,104:104)-LOOKUP(C33,103:103,104:104)+100</f>
        <v>100</v>
      </c>
      <c r="G33" s="380">
        <f>'案例-网'!B3</f>
        <v>198</v>
      </c>
      <c r="H33" s="127">
        <f>LOOKUP(G33,103:103,104:104)-LOOKUP(C33,103:103,104:104)+100</f>
        <v>102</v>
      </c>
      <c r="I33" s="380">
        <f>'案例-网'!B4</f>
        <v>123</v>
      </c>
      <c r="J33" s="127">
        <f>LOOKUP(I33,103:103,104:104)-LOOKUP(C33,103:103,104:104)+100</f>
        <v>102</v>
      </c>
      <c r="K33" s="562"/>
      <c r="L33" s="2714"/>
      <c r="M33" s="2716"/>
      <c r="N33" s="2716"/>
      <c r="O33" s="2716"/>
      <c r="P33" s="3662"/>
      <c r="Q33" s="706" t="str">
        <f t="shared" si="11"/>
        <v>项目建筑规模</v>
      </c>
      <c r="R33" s="707" t="s">
        <v>14</v>
      </c>
      <c r="S33" s="708">
        <f t="shared" si="12"/>
        <v>100</v>
      </c>
      <c r="T33" s="707" t="s">
        <v>14</v>
      </c>
      <c r="U33" s="708">
        <f t="shared" si="13"/>
        <v>102</v>
      </c>
      <c r="V33" s="707" t="s">
        <v>14</v>
      </c>
      <c r="W33" s="708">
        <f t="shared" si="14"/>
        <v>102</v>
      </c>
      <c r="X33" s="709"/>
      <c r="Y33" s="3664"/>
      <c r="Z33" s="710" t="str">
        <f t="shared" si="15"/>
        <v>项目建筑规模</v>
      </c>
      <c r="AA33" s="1352">
        <f t="shared" si="3"/>
        <v>1</v>
      </c>
      <c r="AB33" s="1352">
        <f t="shared" si="4"/>
        <v>0.98039215686274506</v>
      </c>
      <c r="AC33" s="1352">
        <f t="shared" si="5"/>
        <v>0.98039215686274506</v>
      </c>
    </row>
    <row r="34" spans="1:29" ht="15">
      <c r="A34" s="423"/>
      <c r="B34" s="375" t="s">
        <v>1696</v>
      </c>
      <c r="C34" s="1911" t="s">
        <v>3418</v>
      </c>
      <c r="D34" s="386">
        <v>100</v>
      </c>
      <c r="E34" s="1911" t="s">
        <v>3418</v>
      </c>
      <c r="F34" s="412">
        <f>SUMIF(105:105,E34,106:106)-SUMIF(105:105,C34,106:106)+100</f>
        <v>100</v>
      </c>
      <c r="G34" s="1911" t="s">
        <v>3418</v>
      </c>
      <c r="H34" s="386">
        <f>SUMIF(105:105,G34,106:106)-SUMIF(105:105,C34,106:106)+100</f>
        <v>100</v>
      </c>
      <c r="I34" s="1911" t="s">
        <v>3418</v>
      </c>
      <c r="J34" s="386">
        <f>SUMIF(105:105,I34,106:106)-SUMIF(105:105,C34,106:106)+100</f>
        <v>100</v>
      </c>
      <c r="K34" s="561">
        <v>2</v>
      </c>
      <c r="L34" s="2715"/>
      <c r="M34" s="2709"/>
      <c r="N34" s="2709"/>
      <c r="O34" s="2709"/>
      <c r="P34" s="3662"/>
      <c r="Q34" s="1351" t="str">
        <f t="shared" si="11"/>
        <v>建筑结构</v>
      </c>
      <c r="R34" s="704" t="s">
        <v>14</v>
      </c>
      <c r="S34" s="705">
        <f t="shared" si="12"/>
        <v>100</v>
      </c>
      <c r="T34" s="704" t="s">
        <v>14</v>
      </c>
      <c r="U34" s="705">
        <f t="shared" si="13"/>
        <v>100</v>
      </c>
      <c r="V34" s="704" t="s">
        <v>14</v>
      </c>
      <c r="W34" s="705">
        <f t="shared" si="14"/>
        <v>100</v>
      </c>
      <c r="X34" s="1354"/>
      <c r="Y34" s="3664"/>
      <c r="Z34" s="1355" t="str">
        <f t="shared" si="15"/>
        <v>建筑结构</v>
      </c>
      <c r="AA34" s="1352">
        <f t="shared" si="3"/>
        <v>1</v>
      </c>
      <c r="AB34" s="1352">
        <f t="shared" si="4"/>
        <v>1</v>
      </c>
      <c r="AC34" s="1352">
        <f t="shared" si="5"/>
        <v>1</v>
      </c>
    </row>
    <row r="35" spans="1:29" ht="15">
      <c r="A35" s="423"/>
      <c r="B35" s="375" t="s">
        <v>1783</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561">
        <v>2</v>
      </c>
      <c r="L35" s="2715"/>
      <c r="M35" s="2709"/>
      <c r="N35" s="2709"/>
      <c r="O35" s="2709"/>
      <c r="P35" s="3662"/>
      <c r="Q35" s="1351" t="str">
        <f t="shared" si="11"/>
        <v>公共部分装修</v>
      </c>
      <c r="R35" s="704" t="s">
        <v>14</v>
      </c>
      <c r="S35" s="705">
        <f t="shared" si="12"/>
        <v>100</v>
      </c>
      <c r="T35" s="704" t="s">
        <v>14</v>
      </c>
      <c r="U35" s="705">
        <f t="shared" si="13"/>
        <v>100</v>
      </c>
      <c r="V35" s="704" t="s">
        <v>14</v>
      </c>
      <c r="W35" s="705">
        <f t="shared" si="14"/>
        <v>100</v>
      </c>
      <c r="X35" s="1354"/>
      <c r="Y35" s="3664"/>
      <c r="Z35" s="1355" t="str">
        <f t="shared" si="15"/>
        <v>公共部分装修</v>
      </c>
      <c r="AA35" s="1352">
        <f t="shared" si="3"/>
        <v>1</v>
      </c>
      <c r="AB35" s="1352">
        <f t="shared" si="4"/>
        <v>1</v>
      </c>
      <c r="AC35" s="1352">
        <f t="shared" si="5"/>
        <v>1</v>
      </c>
    </row>
    <row r="36" spans="1:29" ht="15">
      <c r="A36" s="423"/>
      <c r="B36" s="375" t="s">
        <v>1784</v>
      </c>
      <c r="C36" s="425">
        <f>'数据-取费表'!N6</f>
        <v>0.95</v>
      </c>
      <c r="D36" s="386">
        <v>100</v>
      </c>
      <c r="E36" s="425">
        <f>C36</f>
        <v>0.95</v>
      </c>
      <c r="F36" s="412">
        <f>LOOKUP(E36,110:110,111:111)-LOOKUP(C36,110:110,111:111)+100</f>
        <v>100</v>
      </c>
      <c r="G36" s="425">
        <v>0.8</v>
      </c>
      <c r="H36" s="412">
        <f>LOOKUP(G36,110:110,111:111)-LOOKUP(C36,110:110,111:111)+100</f>
        <v>98</v>
      </c>
      <c r="I36" s="425">
        <v>0.9</v>
      </c>
      <c r="J36" s="386">
        <f>LOOKUP(I36,110:110,111:111)-LOOKUP(C36,110:110,111:111)+100</f>
        <v>100</v>
      </c>
      <c r="K36" s="561">
        <v>2</v>
      </c>
      <c r="L36" s="2715"/>
      <c r="M36" s="2709"/>
      <c r="N36" s="2709"/>
      <c r="O36" s="2709"/>
      <c r="P36" s="3662"/>
      <c r="Q36" s="1351" t="str">
        <f t="shared" si="11"/>
        <v>成新度</v>
      </c>
      <c r="R36" s="704" t="s">
        <v>14</v>
      </c>
      <c r="S36" s="705">
        <f t="shared" si="12"/>
        <v>100</v>
      </c>
      <c r="T36" s="704" t="s">
        <v>14</v>
      </c>
      <c r="U36" s="705">
        <f t="shared" si="13"/>
        <v>98</v>
      </c>
      <c r="V36" s="704" t="s">
        <v>14</v>
      </c>
      <c r="W36" s="705">
        <f t="shared" si="14"/>
        <v>100</v>
      </c>
      <c r="X36" s="1354"/>
      <c r="Y36" s="3664"/>
      <c r="Z36" s="1355" t="str">
        <f t="shared" si="15"/>
        <v>成新度</v>
      </c>
      <c r="AA36" s="1352">
        <f t="shared" si="3"/>
        <v>1</v>
      </c>
      <c r="AB36" s="1352">
        <f t="shared" si="4"/>
        <v>1.0204081632653061</v>
      </c>
      <c r="AC36" s="1352">
        <f t="shared" si="5"/>
        <v>1</v>
      </c>
    </row>
    <row r="37" spans="1:29" s="108" customFormat="1" ht="15">
      <c r="A37" s="424"/>
      <c r="B37" s="375" t="s">
        <v>1785</v>
      </c>
      <c r="C37" s="1905" t="s">
        <v>3444</v>
      </c>
      <c r="D37" s="127">
        <v>100</v>
      </c>
      <c r="E37" s="1905" t="s">
        <v>3444</v>
      </c>
      <c r="F37" s="412">
        <f>SUMIF(112:112,E37,113:113)-SUMIF(112:112,C37,113:113)+100</f>
        <v>100</v>
      </c>
      <c r="G37" s="1905" t="s">
        <v>3444</v>
      </c>
      <c r="H37" s="386">
        <f>SUMIF(112:112,G37,113:113)-SUMIF(112:112,C37,113:113)+100</f>
        <v>100</v>
      </c>
      <c r="I37" s="1905" t="s">
        <v>3444</v>
      </c>
      <c r="J37" s="386">
        <f>SUMIF(112:112,I37,113:113)-SUMIF(112:112,C37,113:113)+100</f>
        <v>100</v>
      </c>
      <c r="K37" s="561">
        <v>1</v>
      </c>
      <c r="L37" s="2710"/>
      <c r="M37" s="2711"/>
      <c r="N37" s="2711"/>
      <c r="O37" s="2711"/>
      <c r="P37" s="3662"/>
      <c r="Q37" s="1342" t="str">
        <f t="shared" si="11"/>
        <v>市政基础设施</v>
      </c>
      <c r="R37" s="700" t="s">
        <v>14</v>
      </c>
      <c r="S37" s="701">
        <f t="shared" si="12"/>
        <v>100</v>
      </c>
      <c r="T37" s="700" t="s">
        <v>14</v>
      </c>
      <c r="U37" s="701">
        <f t="shared" si="13"/>
        <v>100</v>
      </c>
      <c r="V37" s="700" t="s">
        <v>14</v>
      </c>
      <c r="W37" s="701">
        <f t="shared" si="14"/>
        <v>100</v>
      </c>
      <c r="X37" s="702"/>
      <c r="Y37" s="3664"/>
      <c r="Z37" s="52" t="str">
        <f t="shared" si="15"/>
        <v>市政基础设施</v>
      </c>
      <c r="AA37" s="703">
        <f t="shared" si="3"/>
        <v>1</v>
      </c>
      <c r="AB37" s="703">
        <f t="shared" si="4"/>
        <v>1</v>
      </c>
      <c r="AC37" s="703">
        <f t="shared" si="5"/>
        <v>1</v>
      </c>
    </row>
    <row r="38" spans="1:29" ht="15">
      <c r="A38" s="423"/>
      <c r="B38" s="375" t="s">
        <v>1786</v>
      </c>
      <c r="C38" s="1905" t="s">
        <v>3426</v>
      </c>
      <c r="D38" s="386">
        <v>100</v>
      </c>
      <c r="E38" s="1905" t="s">
        <v>3426</v>
      </c>
      <c r="F38" s="412">
        <f>SUMIF(114:114,E38,115:115)-SUMIF(114:114,C38,115:115)+100</f>
        <v>100</v>
      </c>
      <c r="G38" s="1905" t="s">
        <v>3426</v>
      </c>
      <c r="H38" s="386">
        <f>SUMIF(114:114,G38,115:115)-SUMIF(114:114,C38,115:115)+100</f>
        <v>100</v>
      </c>
      <c r="I38" s="1905" t="s">
        <v>3426</v>
      </c>
      <c r="J38" s="386">
        <f>SUMIF(114:114,I38,115:115)-SUMIF(114:114,C38,115:115)+100</f>
        <v>100</v>
      </c>
      <c r="K38" s="561">
        <v>2</v>
      </c>
      <c r="L38" s="2715"/>
      <c r="M38" s="2709"/>
      <c r="N38" s="2709"/>
      <c r="O38" s="2709"/>
      <c r="P38" s="3662" t="s">
        <v>1694</v>
      </c>
      <c r="Q38" s="1351" t="str">
        <f t="shared" si="11"/>
        <v>业态</v>
      </c>
      <c r="R38" s="704" t="s">
        <v>14</v>
      </c>
      <c r="S38" s="705">
        <f t="shared" si="12"/>
        <v>100</v>
      </c>
      <c r="T38" s="704" t="s">
        <v>14</v>
      </c>
      <c r="U38" s="705">
        <f t="shared" si="13"/>
        <v>100</v>
      </c>
      <c r="V38" s="704" t="s">
        <v>14</v>
      </c>
      <c r="W38" s="705">
        <f t="shared" si="14"/>
        <v>100</v>
      </c>
      <c r="X38" s="1354"/>
      <c r="Y38" s="3664" t="s">
        <v>1694</v>
      </c>
      <c r="Z38" s="1355" t="str">
        <f t="shared" si="15"/>
        <v>业态</v>
      </c>
      <c r="AA38" s="1352">
        <f t="shared" si="3"/>
        <v>1</v>
      </c>
      <c r="AB38" s="1352">
        <f t="shared" si="4"/>
        <v>1</v>
      </c>
      <c r="AC38" s="1352">
        <f t="shared" si="5"/>
        <v>1</v>
      </c>
    </row>
    <row r="39" spans="1:29" ht="15">
      <c r="A39" s="423"/>
      <c r="B39" s="375" t="s">
        <v>1787</v>
      </c>
      <c r="C39" s="1905" t="s">
        <v>3428</v>
      </c>
      <c r="D39" s="386">
        <v>100</v>
      </c>
      <c r="E39" s="1905" t="s">
        <v>3428</v>
      </c>
      <c r="F39" s="412">
        <f>SUMIF(116:116,E39,117:117)-SUMIF(116:116,C39,117:117)+100</f>
        <v>100</v>
      </c>
      <c r="G39" s="1905" t="s">
        <v>3428</v>
      </c>
      <c r="H39" s="386">
        <f>SUMIF(116:116,G39,117:117)-SUMIF(116:116,C39,117:117)+100</f>
        <v>100</v>
      </c>
      <c r="I39" s="1905" t="s">
        <v>3430</v>
      </c>
      <c r="J39" s="386">
        <f>SUMIF(116:116,I39,117:117)-SUMIF(116:116,C39,117:117)+100</f>
        <v>95</v>
      </c>
      <c r="K39" s="561">
        <v>5</v>
      </c>
      <c r="L39" s="2715"/>
      <c r="M39" s="2709"/>
      <c r="N39" s="2709"/>
      <c r="O39" s="2709"/>
      <c r="P39" s="3662"/>
      <c r="Q39" s="1351" t="str">
        <f t="shared" si="11"/>
        <v>层高</v>
      </c>
      <c r="R39" s="704" t="s">
        <v>14</v>
      </c>
      <c r="S39" s="705">
        <f t="shared" si="12"/>
        <v>100</v>
      </c>
      <c r="T39" s="704" t="s">
        <v>14</v>
      </c>
      <c r="U39" s="705">
        <f t="shared" si="13"/>
        <v>100</v>
      </c>
      <c r="V39" s="704" t="s">
        <v>14</v>
      </c>
      <c r="W39" s="705">
        <f t="shared" si="14"/>
        <v>95</v>
      </c>
      <c r="X39" s="1354"/>
      <c r="Y39" s="3664"/>
      <c r="Z39" s="1355" t="str">
        <f t="shared" si="15"/>
        <v>层高</v>
      </c>
      <c r="AA39" s="1352">
        <f t="shared" si="3"/>
        <v>1</v>
      </c>
      <c r="AB39" s="1352">
        <f t="shared" si="4"/>
        <v>1</v>
      </c>
      <c r="AC39" s="1352">
        <f t="shared" si="5"/>
        <v>1.0526315789473684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662"/>
      <c r="Q40" s="1351" t="str">
        <f t="shared" si="11"/>
        <v>单套建筑面积</v>
      </c>
      <c r="R40" s="704" t="s">
        <v>14</v>
      </c>
      <c r="S40" s="705">
        <f t="shared" si="12"/>
        <v>100</v>
      </c>
      <c r="T40" s="704" t="s">
        <v>14</v>
      </c>
      <c r="U40" s="705">
        <f t="shared" si="13"/>
        <v>100</v>
      </c>
      <c r="V40" s="704" t="s">
        <v>14</v>
      </c>
      <c r="W40" s="705">
        <f t="shared" si="14"/>
        <v>100</v>
      </c>
      <c r="X40" s="1354"/>
      <c r="Y40" s="3664"/>
      <c r="Z40" s="1355" t="str">
        <f t="shared" si="15"/>
        <v>单套建筑面积</v>
      </c>
      <c r="AA40" s="1352">
        <f t="shared" si="3"/>
        <v>1</v>
      </c>
      <c r="AB40" s="1352">
        <f t="shared" si="4"/>
        <v>1</v>
      </c>
      <c r="AC40" s="1352">
        <f t="shared" si="5"/>
        <v>1</v>
      </c>
    </row>
    <row r="41" spans="1:29" s="422" customFormat="1" ht="15">
      <c r="A41" s="419"/>
      <c r="B41" s="1353" t="s">
        <v>1789</v>
      </c>
      <c r="C41" s="565" t="s">
        <v>3433</v>
      </c>
      <c r="D41" s="386">
        <v>100</v>
      </c>
      <c r="E41" s="565" t="s">
        <v>3433</v>
      </c>
      <c r="F41" s="412">
        <f>SUMIF(120:120,E41,121:121)-SUMIF(120:120,C41,121:121)+100</f>
        <v>100</v>
      </c>
      <c r="G41" s="565" t="s">
        <v>3433</v>
      </c>
      <c r="H41" s="386">
        <f>SUMIF(120:120,G41,121:121)-SUMIF(120:120,C41,121:121)+100</f>
        <v>100</v>
      </c>
      <c r="I41" s="565" t="s">
        <v>3433</v>
      </c>
      <c r="J41" s="386">
        <f>SUMIF(120:120,I41,121:121)-SUMIF(120:120,C41,121:121)+100</f>
        <v>100</v>
      </c>
      <c r="K41" s="561">
        <v>2</v>
      </c>
      <c r="L41" s="2714"/>
      <c r="M41" s="2716"/>
      <c r="N41" s="2716"/>
      <c r="O41" s="2716"/>
      <c r="P41" s="3662"/>
      <c r="Q41" s="706" t="str">
        <f t="shared" si="11"/>
        <v>进深比</v>
      </c>
      <c r="R41" s="707" t="s">
        <v>14</v>
      </c>
      <c r="S41" s="708">
        <f t="shared" si="12"/>
        <v>100</v>
      </c>
      <c r="T41" s="707" t="s">
        <v>14</v>
      </c>
      <c r="U41" s="708">
        <f t="shared" si="13"/>
        <v>100</v>
      </c>
      <c r="V41" s="707" t="s">
        <v>14</v>
      </c>
      <c r="W41" s="708">
        <f t="shared" si="14"/>
        <v>100</v>
      </c>
      <c r="X41" s="709"/>
      <c r="Y41" s="3664"/>
      <c r="Z41" s="710" t="str">
        <f t="shared" si="15"/>
        <v>进深比</v>
      </c>
      <c r="AA41" s="1352">
        <f t="shared" si="3"/>
        <v>1</v>
      </c>
      <c r="AB41" s="1352">
        <f t="shared" si="4"/>
        <v>1</v>
      </c>
      <c r="AC41" s="1352">
        <f t="shared" si="5"/>
        <v>1</v>
      </c>
    </row>
    <row r="42" spans="1:29" ht="15">
      <c r="A42" s="423"/>
      <c r="B42" s="375" t="s">
        <v>1790</v>
      </c>
      <c r="C42" s="1905" t="s">
        <v>3421</v>
      </c>
      <c r="D42" s="386">
        <v>100</v>
      </c>
      <c r="E42" s="1905" t="s">
        <v>3421</v>
      </c>
      <c r="F42" s="412">
        <f>SUMIF(122:122,E42,123:123)-SUMIF(122:122,C42,123:123)+100</f>
        <v>100</v>
      </c>
      <c r="G42" s="1905" t="s">
        <v>3421</v>
      </c>
      <c r="H42" s="386">
        <f>SUMIF(122:122,G42,123:123)-SUMIF(122:122,C42,123:123)+100</f>
        <v>100</v>
      </c>
      <c r="I42" s="1905" t="s">
        <v>3421</v>
      </c>
      <c r="J42" s="386">
        <f>SUMIF(122:122,I42,123:123)-SUMIF(122:122,C42,123:123)+100</f>
        <v>100</v>
      </c>
      <c r="K42" s="561">
        <v>2</v>
      </c>
      <c r="L42" s="2715"/>
      <c r="M42" s="2709"/>
      <c r="N42" s="2709"/>
      <c r="O42" s="2709"/>
      <c r="P42" s="3662"/>
      <c r="Q42" s="1351" t="str">
        <f t="shared" si="11"/>
        <v>内部装修</v>
      </c>
      <c r="R42" s="704" t="s">
        <v>14</v>
      </c>
      <c r="S42" s="705">
        <f t="shared" si="12"/>
        <v>100</v>
      </c>
      <c r="T42" s="704" t="s">
        <v>14</v>
      </c>
      <c r="U42" s="705">
        <f t="shared" si="13"/>
        <v>100</v>
      </c>
      <c r="V42" s="704" t="s">
        <v>14</v>
      </c>
      <c r="W42" s="705">
        <f t="shared" si="14"/>
        <v>100</v>
      </c>
      <c r="X42" s="1354"/>
      <c r="Y42" s="3664"/>
      <c r="Z42" s="1355" t="str">
        <f t="shared" si="15"/>
        <v>内部装修</v>
      </c>
      <c r="AA42" s="1352">
        <f t="shared" si="3"/>
        <v>1</v>
      </c>
      <c r="AB42" s="1352">
        <f t="shared" si="4"/>
        <v>1</v>
      </c>
      <c r="AC42" s="1352">
        <f t="shared" si="5"/>
        <v>1</v>
      </c>
    </row>
    <row r="43" spans="1:29" ht="15.75" thickBot="1">
      <c r="A43" s="423"/>
      <c r="B43" s="375" t="s">
        <v>1705</v>
      </c>
      <c r="C43" s="1905" t="s">
        <v>3386</v>
      </c>
      <c r="D43" s="386">
        <v>100</v>
      </c>
      <c r="E43" s="1905" t="s">
        <v>3386</v>
      </c>
      <c r="F43" s="412">
        <f>SUMIF(124:124,E43,125:125)-SUMIF(124:124,C43,125:125)+100</f>
        <v>100</v>
      </c>
      <c r="G43" s="1905" t="s">
        <v>3386</v>
      </c>
      <c r="H43" s="386">
        <f>SUMIF(124:124,G43,125:125)-SUMIF(124:124,C43,125:125)+100</f>
        <v>100</v>
      </c>
      <c r="I43" s="1905" t="s">
        <v>3386</v>
      </c>
      <c r="J43" s="386">
        <f>SUMIF(124:124,I43,125:125)-SUMIF(124:124,C43,125:125)+100</f>
        <v>100</v>
      </c>
      <c r="K43" s="561">
        <v>2</v>
      </c>
      <c r="L43" s="2715"/>
      <c r="M43" s="2709"/>
      <c r="N43" s="2709"/>
      <c r="O43" s="2709"/>
      <c r="P43" s="3662"/>
      <c r="Q43" s="1351" t="str">
        <f t="shared" si="11"/>
        <v>内部装修维护情况</v>
      </c>
      <c r="R43" s="704" t="s">
        <v>14</v>
      </c>
      <c r="S43" s="705">
        <f t="shared" si="12"/>
        <v>100</v>
      </c>
      <c r="T43" s="704" t="s">
        <v>14</v>
      </c>
      <c r="U43" s="705">
        <f t="shared" si="13"/>
        <v>100</v>
      </c>
      <c r="V43" s="704" t="s">
        <v>14</v>
      </c>
      <c r="W43" s="705">
        <f t="shared" si="14"/>
        <v>100</v>
      </c>
      <c r="X43" s="1354"/>
      <c r="Y43" s="3664"/>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2"/>
      <c r="Q44" s="1342">
        <f t="shared" si="11"/>
        <v>111</v>
      </c>
      <c r="R44" s="700" t="s">
        <v>14</v>
      </c>
      <c r="S44" s="701">
        <f t="shared" si="12"/>
        <v>100</v>
      </c>
      <c r="T44" s="700" t="s">
        <v>14</v>
      </c>
      <c r="U44" s="701">
        <f t="shared" si="13"/>
        <v>100</v>
      </c>
      <c r="V44" s="700" t="s">
        <v>14</v>
      </c>
      <c r="W44" s="701">
        <f t="shared" si="14"/>
        <v>100</v>
      </c>
      <c r="X44" s="702"/>
      <c r="Y44" s="3664"/>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2"/>
      <c r="Q45" s="1351">
        <f t="shared" si="11"/>
        <v>111</v>
      </c>
      <c r="R45" s="704" t="s">
        <v>14</v>
      </c>
      <c r="S45" s="705">
        <f t="shared" si="12"/>
        <v>100</v>
      </c>
      <c r="T45" s="704" t="s">
        <v>14</v>
      </c>
      <c r="U45" s="705">
        <f t="shared" si="13"/>
        <v>100</v>
      </c>
      <c r="V45" s="704" t="s">
        <v>14</v>
      </c>
      <c r="W45" s="705">
        <f t="shared" si="14"/>
        <v>100</v>
      </c>
      <c r="X45" s="1354"/>
      <c r="Y45" s="3664"/>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63"/>
      <c r="Q46" s="1351">
        <f t="shared" si="11"/>
        <v>111</v>
      </c>
      <c r="R46" s="704" t="s">
        <v>14</v>
      </c>
      <c r="S46" s="705">
        <f t="shared" si="12"/>
        <v>100</v>
      </c>
      <c r="T46" s="704" t="s">
        <v>14</v>
      </c>
      <c r="U46" s="705">
        <f t="shared" si="13"/>
        <v>100</v>
      </c>
      <c r="V46" s="704" t="s">
        <v>14</v>
      </c>
      <c r="W46" s="705">
        <f t="shared" si="14"/>
        <v>100</v>
      </c>
      <c r="X46" s="1354"/>
      <c r="Y46" s="3665"/>
      <c r="Z46" s="1355">
        <f t="shared" si="15"/>
        <v>111</v>
      </c>
      <c r="AA46" s="1352">
        <f t="shared" si="3"/>
        <v>1</v>
      </c>
      <c r="AB46" s="1352">
        <f t="shared" si="4"/>
        <v>1</v>
      </c>
      <c r="AC46" s="1352">
        <f t="shared" si="5"/>
        <v>1</v>
      </c>
    </row>
    <row r="47" spans="1:29" ht="15">
      <c r="A47" s="430" t="s">
        <v>1706</v>
      </c>
      <c r="B47" s="431"/>
      <c r="C47" s="1153" t="s">
        <v>0</v>
      </c>
      <c r="D47" s="1154"/>
      <c r="E47" s="1155">
        <f>'案例-网'!D2</f>
        <v>30357</v>
      </c>
      <c r="F47" s="1156"/>
      <c r="G47" s="1157">
        <f>'案例-网'!D3</f>
        <v>25253</v>
      </c>
      <c r="H47" s="1158"/>
      <c r="I47" s="1155">
        <f>'案例-网'!D4</f>
        <v>26829</v>
      </c>
      <c r="J47" s="1158"/>
      <c r="K47" s="713"/>
      <c r="L47" s="2717"/>
      <c r="M47" s="2718"/>
      <c r="N47" s="2709"/>
      <c r="O47" s="2718"/>
      <c r="P47" s="3652" t="str">
        <f>A47</f>
        <v>成交单价（元/平方米）</v>
      </c>
      <c r="Q47" s="3652"/>
      <c r="R47" s="3666">
        <f>E47</f>
        <v>30357</v>
      </c>
      <c r="S47" s="3666"/>
      <c r="T47" s="3666">
        <f>G47</f>
        <v>25253</v>
      </c>
      <c r="U47" s="3666"/>
      <c r="V47" s="3666">
        <f>I47</f>
        <v>26829</v>
      </c>
      <c r="W47" s="3666"/>
      <c r="X47" s="689"/>
      <c r="Y47" s="711"/>
      <c r="Z47" s="689"/>
      <c r="AA47" s="689"/>
      <c r="AB47" s="689"/>
      <c r="AC47" s="689"/>
    </row>
    <row r="48" spans="1:29" ht="15.75" thickBot="1">
      <c r="A48" s="437" t="s">
        <v>1791</v>
      </c>
      <c r="B48" s="438"/>
      <c r="C48" s="1159">
        <f>R49</f>
        <v>28500</v>
      </c>
      <c r="D48" s="2316" t="s">
        <v>3549</v>
      </c>
      <c r="E48" s="1160">
        <f>R48</f>
        <v>29762</v>
      </c>
      <c r="F48" s="2317">
        <v>0.6</v>
      </c>
      <c r="G48" s="1159">
        <f>T48</f>
        <v>26603</v>
      </c>
      <c r="H48" s="2317">
        <v>0.2</v>
      </c>
      <c r="I48" s="1160">
        <f>V48</f>
        <v>26612</v>
      </c>
      <c r="J48" s="2317">
        <v>0.2</v>
      </c>
      <c r="K48" s="2319">
        <f>F48+H48+J48</f>
        <v>1</v>
      </c>
      <c r="L48" s="2717"/>
      <c r="M48" s="2718"/>
      <c r="N48" s="2709"/>
      <c r="O48" s="2718"/>
      <c r="P48" s="3652" t="str">
        <f>A48</f>
        <v>比较价值（元/平方米）</v>
      </c>
      <c r="Q48" s="3652"/>
      <c r="R48" s="3653">
        <f>IF(F1="售价",ROUND(PRODUCT(R47,AA7:AA46),0),ROUND(PRODUCT(R47,AA7:AA46),1))</f>
        <v>29762</v>
      </c>
      <c r="S48" s="3653"/>
      <c r="T48" s="3653">
        <f>IF(F1="售价",ROUND(PRODUCT(T47,AB7:AB46),0),ROUND(PRODUCT(T47,AB7:AB46),1))</f>
        <v>26603</v>
      </c>
      <c r="U48" s="3653"/>
      <c r="V48" s="3653">
        <f>IF(F1="售价",ROUND(PRODUCT(V47,AC7:AC46),0),ROUND(PRODUCT(V47,AC7:AC46),1))</f>
        <v>26612</v>
      </c>
      <c r="W48" s="3653"/>
      <c r="X48" s="689"/>
      <c r="Y48" s="689"/>
      <c r="Z48" s="689"/>
      <c r="AA48" s="689"/>
      <c r="AB48" s="689"/>
      <c r="AC48" s="689"/>
    </row>
    <row r="49" spans="1:29" ht="15.75" thickBot="1">
      <c r="A49" s="441" t="s">
        <v>1792</v>
      </c>
      <c r="B49" s="442"/>
      <c r="C49" s="1162">
        <f>R49</f>
        <v>28500</v>
      </c>
      <c r="D49" s="1162"/>
      <c r="E49" s="1162"/>
      <c r="F49" s="1162"/>
      <c r="G49" s="1162"/>
      <c r="H49" s="1162"/>
      <c r="I49" s="1162"/>
      <c r="J49" s="1162"/>
      <c r="K49" s="714"/>
      <c r="L49" s="2717"/>
      <c r="M49" s="2718"/>
      <c r="N49" s="2709"/>
      <c r="O49" s="2718"/>
      <c r="P49" s="3654" t="str">
        <f>A49</f>
        <v>估价对象XX用房的比较价值（楼面单价，元/平方米）</v>
      </c>
      <c r="Q49" s="3655"/>
      <c r="R49" s="3656">
        <f>IF(F1="售价",ROUND(IF(D48="简单平均",AVERAGE(R48:V48),R48*F48+T48*H48+V48*J48),0),ROUND(IF(D48="简单平均",AVERAGE(R48:V48),R48*F48+T48*H48+V48*J48),1))</f>
        <v>28500</v>
      </c>
      <c r="S49" s="3656"/>
      <c r="T49" s="3656"/>
      <c r="U49" s="3656"/>
      <c r="V49" s="3656"/>
      <c r="W49" s="3656"/>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1.9991936025804735E-2</v>
      </c>
      <c r="F52" s="449" t="str">
        <f>IF(OR(E52&gt;=0.3,E52&lt;=-0.3),"超过30%","")</f>
        <v/>
      </c>
      <c r="G52" s="448">
        <f>IF(G47&lt;G48,G48/G47-1,G47/G48-1)</f>
        <v>5.3458994970894569E-2</v>
      </c>
      <c r="H52" s="449" t="str">
        <f>IF(OR(G52&gt;=0.3,G52&lt;=-0.3),"超过30%","")</f>
        <v/>
      </c>
      <c r="I52" s="448">
        <f>IF(I47&lt;I48,I48/I47-1,I47/I48-1)</f>
        <v>8.1542161430934179E-3</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0.11874600608953867</v>
      </c>
      <c r="F53" s="449" t="str">
        <f>IF(OR(E53&gt;=0.2,E53&lt;=-0.2),"超过20%","")</f>
        <v/>
      </c>
      <c r="G53" s="448">
        <f>IF(G48&lt;I48,I48/G48-1,G48/I48-1)</f>
        <v>3.3830770965681545E-4</v>
      </c>
      <c r="H53" s="449" t="str">
        <f>IF(OR(G53&gt;=0.2,G53&lt;=-0.2),"超过20%","")</f>
        <v/>
      </c>
      <c r="I53" s="448">
        <f>IF(I48&lt;E48,E48/I48-1,I48/E48-1)</f>
        <v>0.11836765369006463</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0.20211460024551542</v>
      </c>
      <c r="F54" s="449" t="str">
        <f>IF(OR(E54&gt;=0.3,E54&lt;=-0.3),"超过30%","")</f>
        <v/>
      </c>
      <c r="G54" s="448">
        <f>IF(G47&lt;I47,I47/G47-1,G47/I47-1)</f>
        <v>6.2408426721577648E-2</v>
      </c>
      <c r="H54" s="449" t="str">
        <f>IF(OR(G54&gt;=0.3,G54&lt;=-0.3),"超过30%","")</f>
        <v/>
      </c>
      <c r="I54" s="448">
        <f>IF(I47&lt;E47,E47/I47-1,I47/E47-1)</f>
        <v>0.13149949681314999</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29" s="457" customFormat="1" ht="15">
      <c r="A58" s="454" t="s">
        <v>1677</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3"/>
      <c r="Q58" s="2734"/>
      <c r="R58" s="2734"/>
      <c r="S58" s="2734"/>
      <c r="T58" s="2734"/>
      <c r="U58" s="2734"/>
      <c r="V58" s="2734"/>
      <c r="W58" s="2734"/>
      <c r="X58" s="2734"/>
      <c r="Y58" s="2734"/>
      <c r="Z58" s="2734"/>
      <c r="AA58" s="2734"/>
      <c r="AB58" s="2734"/>
      <c r="AC58" s="2734"/>
    </row>
    <row r="59" spans="1:29" s="108" customFormat="1" ht="15">
      <c r="A59" s="458"/>
      <c r="B59" s="459"/>
      <c r="C59" s="1182">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48" t="s">
        <v>3396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3397</v>
      </c>
      <c r="D65" s="532" t="s">
        <v>3398</v>
      </c>
      <c r="E65" s="3449" t="s">
        <v>3399</v>
      </c>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5</v>
      </c>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0" t="s">
        <v>3400</v>
      </c>
      <c r="D86" s="3450" t="s">
        <v>3402</v>
      </c>
      <c r="E86" s="3450" t="s">
        <v>3403</v>
      </c>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0" t="s">
        <v>3405</v>
      </c>
      <c r="D88" s="3450" t="s">
        <v>3406</v>
      </c>
      <c r="E88" s="3450" t="s">
        <v>3407</v>
      </c>
      <c r="F88" s="3451" t="s">
        <v>3408</v>
      </c>
      <c r="G88" s="3450" t="s">
        <v>3409</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0" t="s">
        <v>3410</v>
      </c>
      <c r="D90" s="3450" t="s">
        <v>3412</v>
      </c>
      <c r="E90" s="3450" t="s">
        <v>3407</v>
      </c>
      <c r="F90" s="3450" t="s">
        <v>3413</v>
      </c>
      <c r="G90" s="3450" t="s">
        <v>3414</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3415</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7"/>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2" t="s">
        <v>3416</v>
      </c>
      <c r="D100" s="3452" t="s">
        <v>3417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0(含)-30</v>
      </c>
      <c r="D102" s="527" t="str">
        <f t="shared" ref="D102:L102" si="23">D103&amp;"(含)"&amp;"-"&amp;E103</f>
        <v>30(含)-60</v>
      </c>
      <c r="E102" s="527" t="str">
        <f t="shared" si="23"/>
        <v>60(含)-100</v>
      </c>
      <c r="F102" s="527" t="str">
        <f t="shared" si="23"/>
        <v>100(含)-200</v>
      </c>
      <c r="G102" s="527" t="str">
        <f t="shared" si="23"/>
        <v>200(含)-1000</v>
      </c>
      <c r="H102" s="527" t="str">
        <f t="shared" si="23"/>
        <v>1000(含)-10000</v>
      </c>
      <c r="I102" s="527" t="str">
        <f t="shared" si="23"/>
        <v>10000(含)-</v>
      </c>
      <c r="J102" s="527" t="str">
        <f t="shared" si="23"/>
        <v>(含)-</v>
      </c>
      <c r="K102" s="527" t="str">
        <f t="shared" si="23"/>
        <v>(含)-</v>
      </c>
      <c r="L102" s="527"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60</v>
      </c>
      <c r="F103" s="544">
        <v>100</v>
      </c>
      <c r="G103" s="544">
        <v>200</v>
      </c>
      <c r="H103" s="544">
        <v>1000</v>
      </c>
      <c r="I103" s="544">
        <v>10000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0" t="s">
        <v>3419</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50" t="s">
        <v>3420</v>
      </c>
      <c r="D107" s="3450" t="s">
        <v>3422</v>
      </c>
      <c r="E107" s="3450" t="s">
        <v>3423</v>
      </c>
      <c r="F107" s="3453" t="s">
        <v>3424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50" t="s">
        <v>3425</v>
      </c>
      <c r="D114" s="3450" t="s">
        <v>3427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0" t="s">
        <v>3429</v>
      </c>
      <c r="D116" s="3450" t="s">
        <v>3431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53" t="s">
        <v>3432</v>
      </c>
      <c r="D120" s="3453" t="s">
        <v>3434</v>
      </c>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7"/>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3380</v>
      </c>
      <c r="D1" s="1361" t="s">
        <v>43</v>
      </c>
      <c r="E1" s="1362" t="s">
        <v>678</v>
      </c>
      <c r="F1" s="1061">
        <f ca="1">J53</f>
        <v>32.869999999999997</v>
      </c>
      <c r="G1" s="1377">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8">
        <f ca="1">ROUND(D2/10000,4)</f>
        <v>1274.5352</v>
      </c>
      <c r="C2" s="1386" t="s">
        <v>879</v>
      </c>
      <c r="D2" s="1470">
        <f ca="1">C40+J29+L46</f>
        <v>12745352</v>
      </c>
      <c r="E2" s="1387" t="s">
        <v>880</v>
      </c>
      <c r="F2" s="1388"/>
      <c r="G2" s="2699"/>
      <c r="H2" s="2688"/>
      <c r="I2" s="2688"/>
      <c r="J2" s="2688"/>
      <c r="K2" s="2689"/>
      <c r="L2" s="2688"/>
      <c r="M2" s="2688"/>
    </row>
    <row r="3" spans="1:37" ht="18" customHeight="1" thickBot="1">
      <c r="A3" s="1389" t="s">
        <v>881</v>
      </c>
      <c r="B3" s="1390">
        <f ca="1">IF(ISERROR(D2/F43),0,ROUND(D2/F43,0))</f>
        <v>25515</v>
      </c>
      <c r="C3" s="1386" t="s">
        <v>882</v>
      </c>
      <c r="D3" s="1386"/>
      <c r="E3" s="1387"/>
      <c r="F3" s="1388"/>
      <c r="G3" s="2699"/>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821504</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820478</v>
      </c>
      <c r="D6" s="155" t="s">
        <v>2104</v>
      </c>
      <c r="E6" s="302" t="s">
        <v>696</v>
      </c>
      <c r="F6" s="303">
        <f ca="1">INDIRECT("'数据-取费表'!u"&amp;$G$1)</f>
        <v>5</v>
      </c>
      <c r="G6" s="1383"/>
      <c r="H6" s="1068" t="s">
        <v>398</v>
      </c>
      <c r="I6" s="3649" t="s">
        <v>694</v>
      </c>
      <c r="J6" s="301">
        <f ca="1">ROUND(M6*M8*M7*(1-M9),0)</f>
        <v>0</v>
      </c>
      <c r="K6" s="1375" t="s">
        <v>2105</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499.53</v>
      </c>
      <c r="G7" s="1383"/>
      <c r="H7" s="304"/>
      <c r="I7" s="3650"/>
      <c r="J7" s="306"/>
      <c r="K7" s="307"/>
      <c r="L7" s="302" t="s">
        <v>697</v>
      </c>
      <c r="M7" s="303">
        <f ca="1">F7</f>
        <v>499.53</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1026</v>
      </c>
      <c r="D10" s="1365" t="s">
        <v>2114</v>
      </c>
      <c r="E10" s="313" t="s">
        <v>701</v>
      </c>
      <c r="F10" s="1115" t="s">
        <v>3450</v>
      </c>
      <c r="G10" s="1383"/>
      <c r="H10" s="1068" t="s">
        <v>402</v>
      </c>
      <c r="I10" s="1364" t="s">
        <v>700</v>
      </c>
      <c r="J10" s="301">
        <f ca="1">ROUND(IF(M10="押一",J6/12*M11,IF(M10="押二",J6/12*2*M11,IF(M10="押三",J6/12*3*M11,J11*M11))),0)</f>
        <v>0</v>
      </c>
      <c r="K10" s="1376" t="s">
        <v>2116</v>
      </c>
      <c r="L10" s="313" t="s">
        <v>701</v>
      </c>
      <c r="M10" s="1115" t="s">
        <v>3450</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2637715</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1848261</v>
      </c>
      <c r="D14" s="1344" t="s">
        <v>708</v>
      </c>
      <c r="E14" s="1341"/>
      <c r="F14" s="319"/>
      <c r="G14" s="1383"/>
      <c r="H14" s="981" t="s">
        <v>398</v>
      </c>
      <c r="I14" s="302" t="s">
        <v>709</v>
      </c>
      <c r="J14" s="21">
        <f ca="1">C29</f>
        <v>2776542</v>
      </c>
      <c r="K14" s="12"/>
      <c r="L14" s="806"/>
      <c r="M14" s="807"/>
    </row>
    <row r="15" spans="1:37" s="1396" customFormat="1" ht="18" customHeight="1" thickBot="1">
      <c r="A15" s="981" t="s">
        <v>399</v>
      </c>
      <c r="B15" s="302" t="s">
        <v>710</v>
      </c>
      <c r="C15" s="21">
        <f ca="1">ROUND(C14*F15,0)</f>
        <v>55448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13883</v>
      </c>
      <c r="K16" s="1086" t="s">
        <v>715</v>
      </c>
      <c r="L16" s="1087"/>
      <c r="M16" s="1071"/>
    </row>
    <row r="17" spans="1:37" s="1396" customFormat="1" ht="18" customHeight="1">
      <c r="A17" s="981" t="s">
        <v>681</v>
      </c>
      <c r="B17" s="302" t="s">
        <v>716</v>
      </c>
      <c r="C17" s="21">
        <f ca="1">ROUND(F17*(F43+INDIRECT("'数据-取费表'!S"&amp;$G$1)),0)</f>
        <v>89915</v>
      </c>
      <c r="D17" s="302" t="s">
        <v>717</v>
      </c>
      <c r="E17" s="302" t="s">
        <v>718</v>
      </c>
      <c r="F17" s="23">
        <f>'数据-取费表'!B35</f>
        <v>180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27724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2021348</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40427</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13883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85564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-13883</v>
      </c>
      <c r="K25" s="1094" t="s">
        <v>753</v>
      </c>
      <c r="L25" s="1095"/>
      <c r="M25" s="1096"/>
    </row>
    <row r="26" spans="1:37" ht="18" customHeight="1">
      <c r="A26" s="981" t="s">
        <v>397</v>
      </c>
      <c r="B26" s="302" t="s">
        <v>754</v>
      </c>
      <c r="C26" s="21">
        <f ca="1">ROUND((C19+C20)*F26,0)</f>
        <v>412355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2776542</v>
      </c>
      <c r="D29" s="1091"/>
      <c r="E29" s="1089"/>
      <c r="F29" s="1092"/>
      <c r="G29" s="1395"/>
      <c r="H29" s="334" t="s">
        <v>396</v>
      </c>
      <c r="I29" s="335" t="s">
        <v>768</v>
      </c>
      <c r="J29" s="336">
        <f ca="1">ROUND(J26/(1+F40)^F41,0)</f>
        <v>0</v>
      </c>
      <c r="K29" s="337" t="s">
        <v>769</v>
      </c>
      <c r="L29" s="338"/>
      <c r="M29" s="339">
        <f ca="1">INDIRECT("'数据-取费表'!k"&amp;$G$1)</f>
        <v>499.53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159476</v>
      </c>
      <c r="D30" s="1086" t="s">
        <v>715</v>
      </c>
      <c r="E30" s="1087"/>
      <c r="F30" s="1071"/>
      <c r="G30" s="1383"/>
      <c r="H30" s="2690"/>
      <c r="I30" s="1397"/>
      <c r="J30" s="1398"/>
      <c r="K30" s="2472"/>
      <c r="L30" s="2691"/>
      <c r="M30" s="2692"/>
    </row>
    <row r="31" spans="1:37" ht="18" customHeight="1">
      <c r="A31" s="981" t="s">
        <v>398</v>
      </c>
      <c r="B31" s="302" t="s">
        <v>719</v>
      </c>
      <c r="C31" s="2315">
        <f ca="1">ROUND(IF(AND(项目基本情况!B11="自然人",项目基本情况!B10="北京市"),C6*F31/(1+'数据-取费表'!C42),C32+C33+C34),0)</f>
        <v>137528</v>
      </c>
      <c r="D31" s="1344" t="s">
        <v>720</v>
      </c>
      <c r="E31" s="1343" t="s">
        <v>770</v>
      </c>
      <c r="F31" s="2314" t="str">
        <f>IF(项目基本情况!B11="企业","——",IF(M47="住宅",IF(F6*F7*F8/12/(1+'数据-取费表'!F30)&gt;100000,4%,2.5%),IF(F6*F7*F8/12/(1+'数据-取费表'!F30)&gt;100000,12%,7%)))</f>
        <v>——</v>
      </c>
      <c r="G31" s="1383"/>
      <c r="H31" s="2801" t="s">
        <v>2301</v>
      </c>
      <c r="I31" s="1397"/>
      <c r="J31" s="1398"/>
      <c r="K31" s="2472"/>
      <c r="L31" s="2691"/>
      <c r="M31" s="2692"/>
    </row>
    <row r="32" spans="1:37" ht="18" customHeight="1">
      <c r="A32" s="981" t="s">
        <v>397</v>
      </c>
      <c r="B32" s="302" t="s">
        <v>723</v>
      </c>
      <c r="C32" s="21">
        <f ca="1">IF(项目基本情况!B11="自然人","——",ROUND(C6*F32/(1+'数据-取费表'!C42),0))</f>
        <v>43759</v>
      </c>
      <c r="D32" s="1343" t="s">
        <v>724</v>
      </c>
      <c r="E32" s="302" t="s">
        <v>712</v>
      </c>
      <c r="F32" s="331">
        <f>'数据-取费表'!B41</f>
        <v>5.6000000000000001E-2</v>
      </c>
      <c r="G32" s="1383"/>
      <c r="H32" s="2690"/>
      <c r="I32" s="1397"/>
      <c r="J32" s="1398"/>
      <c r="K32" s="2472"/>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93769</v>
      </c>
      <c r="D33" s="1369" t="s">
        <v>3332</v>
      </c>
      <c r="E33" s="302" t="s">
        <v>712</v>
      </c>
      <c r="F33" s="322">
        <f>IF(D33="按票据","——",IF(D33="按租金收入计税",'数据-取费表'!B51,'数据-取费表'!B50))</f>
        <v>0.12</v>
      </c>
      <c r="G33" s="1383"/>
      <c r="H33" s="2693"/>
      <c r="I33" s="1397"/>
      <c r="J33" s="1398"/>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3"/>
      <c r="H34" s="2690"/>
      <c r="I34" s="1397"/>
      <c r="J34" s="1398"/>
      <c r="K34" s="2695"/>
      <c r="L34" s="2696"/>
      <c r="M34" s="2696"/>
    </row>
    <row r="35" spans="1:18" ht="18" customHeight="1">
      <c r="A35" s="1102"/>
      <c r="B35" s="1100"/>
      <c r="C35" s="26"/>
      <c r="D35" s="327"/>
      <c r="E35" s="302" t="s">
        <v>736</v>
      </c>
      <c r="F35" s="303">
        <f ca="1">INDIRECT("'数据-取费表'!r"&amp;$G$1)</f>
        <v>0</v>
      </c>
      <c r="G35" s="1383"/>
      <c r="H35" s="2690"/>
      <c r="I35" s="1397"/>
      <c r="J35" s="1398"/>
      <c r="K35" s="2694"/>
      <c r="L35" s="2693"/>
      <c r="M35" s="2693"/>
    </row>
    <row r="36" spans="1:18" ht="18" customHeight="1">
      <c r="A36" s="1101" t="s">
        <v>402</v>
      </c>
      <c r="B36" s="302" t="s">
        <v>738</v>
      </c>
      <c r="C36" s="21">
        <f ca="1">ROUND(C29*F36,0)</f>
        <v>13883</v>
      </c>
      <c r="D36" s="1343" t="s">
        <v>771</v>
      </c>
      <c r="E36" s="302" t="s">
        <v>712</v>
      </c>
      <c r="F36" s="328">
        <f ca="1">INDIRECT("'数据-取费表'!Ak"&amp;$G$1)</f>
        <v>5.0000000000000001E-3</v>
      </c>
      <c r="G36" s="1383"/>
      <c r="H36" s="2693"/>
      <c r="I36" s="1397"/>
      <c r="J36" s="1398"/>
      <c r="K36" s="2537"/>
      <c r="L36" s="2693"/>
      <c r="M36" s="2693"/>
    </row>
    <row r="37" spans="1:18" ht="18" customHeight="1">
      <c r="A37" s="981" t="s">
        <v>437</v>
      </c>
      <c r="B37" s="302" t="s">
        <v>742</v>
      </c>
      <c r="C37" s="21">
        <f ca="1">ROUND(C13*F37,0)</f>
        <v>3957</v>
      </c>
      <c r="D37" s="1343" t="s">
        <v>743</v>
      </c>
      <c r="E37" s="302" t="s">
        <v>744</v>
      </c>
      <c r="F37" s="330">
        <f ca="1">INDIRECT("'数据-取费表'!Al"&amp;$G$1)</f>
        <v>1.5E-3</v>
      </c>
      <c r="G37" s="1383"/>
      <c r="H37" s="2693"/>
      <c r="I37" s="1397"/>
      <c r="J37" s="1398"/>
      <c r="K37" s="2537"/>
      <c r="L37" s="2693"/>
      <c r="M37" s="2693"/>
    </row>
    <row r="38" spans="1:18" ht="18" customHeight="1" thickBot="1">
      <c r="A38" s="1088" t="s">
        <v>684</v>
      </c>
      <c r="B38" s="1089" t="s">
        <v>728</v>
      </c>
      <c r="C38" s="1090">
        <f ca="1">ROUND(C5*F38,0)</f>
        <v>4108</v>
      </c>
      <c r="D38" s="1091" t="s">
        <v>748</v>
      </c>
      <c r="E38" s="1089" t="s">
        <v>744</v>
      </c>
      <c r="F38" s="1085">
        <f ca="1">INDIRECT("'数据-取费表'!Am"&amp;$G$1)</f>
        <v>5.0000000000000001E-3</v>
      </c>
      <c r="G38" s="1383"/>
      <c r="H38" s="2693"/>
      <c r="I38" s="1397"/>
      <c r="J38" s="1398"/>
      <c r="K38" s="2697"/>
      <c r="L38" s="2693"/>
      <c r="M38" s="2693"/>
    </row>
    <row r="39" spans="1:18" ht="24.6" customHeight="1" thickTop="1">
      <c r="A39" s="1078" t="s">
        <v>394</v>
      </c>
      <c r="B39" s="1093" t="s">
        <v>772</v>
      </c>
      <c r="C39" s="310">
        <f ca="1">C5-C30</f>
        <v>662028</v>
      </c>
      <c r="D39" s="1094" t="s">
        <v>773</v>
      </c>
      <c r="E39" s="1095"/>
      <c r="F39" s="1096"/>
      <c r="G39" s="1383"/>
      <c r="H39" s="2693"/>
      <c r="I39" s="1397"/>
      <c r="J39" s="1398"/>
      <c r="K39" s="2697"/>
      <c r="L39" s="2693"/>
      <c r="M39" s="2693"/>
    </row>
    <row r="40" spans="1:18" ht="18" customHeight="1">
      <c r="A40" s="299" t="s">
        <v>395</v>
      </c>
      <c r="B40" s="300" t="s">
        <v>774</v>
      </c>
      <c r="C40" s="301">
        <f ca="1">ROUND(C39*(1-((1+F42)/(1+F40))^F41)/(F40-F42),0)</f>
        <v>12641758</v>
      </c>
      <c r="D40" s="324" t="s">
        <v>758</v>
      </c>
      <c r="E40" s="302" t="s">
        <v>759</v>
      </c>
      <c r="F40" s="312">
        <f ca="1">INDIRECT("'数据-取费表'!I"&amp;$G$1)</f>
        <v>0.06</v>
      </c>
      <c r="G40" s="1383"/>
      <c r="H40" s="1460"/>
      <c r="I40" s="1397"/>
      <c r="J40" s="1398"/>
      <c r="K40" s="2697"/>
      <c r="L40" s="1460"/>
      <c r="M40" s="1460"/>
    </row>
    <row r="41" spans="1:18" ht="18" customHeight="1">
      <c r="A41" s="304"/>
      <c r="B41" s="305"/>
      <c r="C41" s="306"/>
      <c r="D41" s="332" t="s">
        <v>775</v>
      </c>
      <c r="E41" s="302" t="s">
        <v>763</v>
      </c>
      <c r="F41" s="333">
        <f ca="1">IF(INDIRECT("'数据-取费表'!af"&amp;$G$1)=0,INDIRECT("'数据-取费表'!ae"&amp;$G$1),INDIRECT("'数据-取费表'!af"&amp;$G$1))</f>
        <v>32.869999999999997</v>
      </c>
      <c r="G41" s="1383"/>
      <c r="H41" s="1190"/>
      <c r="I41" s="1397"/>
      <c r="J41" s="1398"/>
      <c r="K41" s="2537"/>
      <c r="L41" s="1190"/>
      <c r="M41" s="1190"/>
    </row>
    <row r="42" spans="1:18" ht="18" customHeight="1">
      <c r="A42" s="308"/>
      <c r="B42" s="309"/>
      <c r="C42" s="310"/>
      <c r="D42" s="327"/>
      <c r="E42" s="302" t="s">
        <v>766</v>
      </c>
      <c r="F42" s="312">
        <f ca="1">INDIRECT("'数据-取费表'!v"&amp;$G$1)</f>
        <v>2.5000000000000001E-2</v>
      </c>
      <c r="G42" s="1383"/>
      <c r="H42" s="1190"/>
      <c r="I42" s="1397"/>
      <c r="J42" s="1398"/>
      <c r="K42" s="2537"/>
      <c r="L42" s="1190"/>
      <c r="M42" s="1190"/>
    </row>
    <row r="43" spans="1:18" ht="18" customHeight="1" thickBot="1">
      <c r="A43" s="334" t="s">
        <v>396</v>
      </c>
      <c r="B43" s="335" t="s">
        <v>776</v>
      </c>
      <c r="C43" s="336">
        <f ca="1">ROUND(C40/F43,0)</f>
        <v>25307</v>
      </c>
      <c r="D43" s="337" t="s">
        <v>777</v>
      </c>
      <c r="E43" s="338" t="s">
        <v>778</v>
      </c>
      <c r="F43" s="339">
        <f ca="1">INDIRECT("'数据-取费表'!k"&amp;$G$1)</f>
        <v>499.53</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3424" t="s">
        <v>3348</v>
      </c>
      <c r="B45" s="1399"/>
      <c r="C45" s="1471">
        <f ca="1">ROUND((C68-C40)/10000,4)</f>
        <v>-1289.5295000000001</v>
      </c>
      <c r="D45" s="3425" t="s">
        <v>3349</v>
      </c>
      <c r="E45" s="1399"/>
      <c r="F45" s="1399"/>
      <c r="O45" s="1402" t="s">
        <v>808</v>
      </c>
      <c r="P45" s="1460"/>
      <c r="Q45" s="1460"/>
      <c r="R45" s="1460"/>
    </row>
    <row r="46" spans="1:18" s="1383" customFormat="1" ht="13.5" thickBot="1">
      <c r="A46" s="1403" t="s">
        <v>809</v>
      </c>
      <c r="C46" s="1404">
        <f ca="1">ROUND(C45,0)</f>
        <v>-1290</v>
      </c>
      <c r="D46" s="1405" t="str">
        <f>C2</f>
        <v>万元</v>
      </c>
      <c r="I46" s="1406" t="s">
        <v>810</v>
      </c>
      <c r="J46" s="1407"/>
      <c r="K46" s="1408"/>
      <c r="L46" s="1409">
        <f ca="1">IF(M47="住宅",0,IF(L48&gt;J51,L60,J60))</f>
        <v>103594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3418</v>
      </c>
      <c r="K47" s="1415" t="s">
        <v>816</v>
      </c>
      <c r="L47" s="1416">
        <f ca="1">INDIRECT("'数据-取费表'!d"&amp;$G$1)</f>
        <v>40</v>
      </c>
      <c r="M47" s="1379" t="str">
        <f>IF(ISNUMBER(FIND("住宅",C1)),"住宅","非住宅")</f>
        <v>非住宅</v>
      </c>
      <c r="O47" s="1417" t="s">
        <v>403</v>
      </c>
      <c r="P47" s="1418" t="s">
        <v>817</v>
      </c>
      <c r="Q47" s="1419">
        <f ca="1">C40+J29</f>
        <v>12641758</v>
      </c>
      <c r="R47" s="1419" t="s">
        <v>818</v>
      </c>
    </row>
    <row r="48" spans="1:18" s="1383" customFormat="1" ht="28.5" thickBot="1">
      <c r="A48" s="1109" t="s">
        <v>438</v>
      </c>
      <c r="B48" s="300" t="s">
        <v>692</v>
      </c>
      <c r="C48" s="1358">
        <f ca="1">C49+C53+C55</f>
        <v>0</v>
      </c>
      <c r="D48" s="1111"/>
      <c r="E48" s="1112"/>
      <c r="F48" s="961"/>
      <c r="G48" s="721"/>
      <c r="H48" s="722"/>
      <c r="I48" s="1420" t="s">
        <v>819</v>
      </c>
      <c r="J48" s="1421" t="s">
        <v>3451</v>
      </c>
      <c r="K48" s="1422" t="s">
        <v>820</v>
      </c>
      <c r="L48" s="1423">
        <f ca="1">INDIRECT("'数据-取费表'!f"&amp;$G$1)</f>
        <v>32.869999999999997</v>
      </c>
      <c r="O48" s="1417" t="s">
        <v>404</v>
      </c>
      <c r="P48" s="1418" t="s">
        <v>821</v>
      </c>
      <c r="Q48" s="1419">
        <f ca="1">J60</f>
        <v>103594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2020</v>
      </c>
      <c r="K49" s="1422" t="s">
        <v>824</v>
      </c>
      <c r="L49" s="1426"/>
      <c r="O49" s="1427" t="s">
        <v>405</v>
      </c>
      <c r="P49" s="1418" t="s">
        <v>825</v>
      </c>
      <c r="Q49" s="1419">
        <f ca="1">C29</f>
        <v>2776542</v>
      </c>
      <c r="R49" s="1419" t="s">
        <v>818</v>
      </c>
    </row>
    <row r="50" spans="1:18" s="1383" customFormat="1" ht="13.5" thickBot="1">
      <c r="A50" s="975"/>
      <c r="B50" s="978"/>
      <c r="C50" s="979"/>
      <c r="D50" s="952"/>
      <c r="E50" s="1055" t="s">
        <v>697</v>
      </c>
      <c r="F50" s="1056">
        <f ca="1">F7</f>
        <v>499.53</v>
      </c>
      <c r="H50" s="722"/>
      <c r="I50" s="1420" t="s">
        <v>826</v>
      </c>
      <c r="J50" s="1428">
        <f>SUMPRODUCT((I63:I65=J47)*(J62:L62=J48)*(J63:L65))</f>
        <v>60</v>
      </c>
      <c r="K50" s="1422" t="s">
        <v>827</v>
      </c>
      <c r="L50" s="1426"/>
      <c r="M50" s="1429"/>
      <c r="O50" s="1427" t="s">
        <v>406</v>
      </c>
      <c r="P50" s="1418" t="s">
        <v>828</v>
      </c>
      <c r="Q50" s="1430">
        <f ca="1">J58</f>
        <v>0.40200000000000002</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8269465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32.869999999999997</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7">
        <f ca="1">IF(M47="住宅",IF(D1="——",MAX(J51,L48),MAX(J51,L48-'数据-取费表'!B24)),IF(D1="——",MIN(J51,L48),MIN(J51,L48-'数据-取费表'!B24)))</f>
        <v>32.869999999999997</v>
      </c>
      <c r="K53" s="3647" t="s">
        <v>837</v>
      </c>
      <c r="L53" s="3648"/>
      <c r="O53" s="1417" t="s">
        <v>409</v>
      </c>
      <c r="P53" s="1418" t="s">
        <v>838</v>
      </c>
      <c r="Q53" s="1419">
        <f ca="1">Q47+Q48</f>
        <v>12745352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0.40200000000000002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2637715</v>
      </c>
      <c r="D56" s="1446"/>
      <c r="E56" s="1447"/>
      <c r="F56" s="1439"/>
      <c r="I56" s="1448" t="s">
        <v>842</v>
      </c>
      <c r="J56" s="1449" t="s">
        <v>3452</v>
      </c>
      <c r="K56" s="1420" t="s">
        <v>843</v>
      </c>
      <c r="L56" s="1423" t="str">
        <f ca="1">IF(L48&lt;J51,"——",L48-J51)</f>
        <v>——</v>
      </c>
      <c r="O56" s="1417" t="s">
        <v>403</v>
      </c>
      <c r="P56" s="1418" t="s">
        <v>817</v>
      </c>
      <c r="Q56" s="1419">
        <f ca="1">C40+J29</f>
        <v>12641758</v>
      </c>
      <c r="R56" s="1419" t="s">
        <v>818</v>
      </c>
    </row>
    <row r="57" spans="1:18" s="1383" customFormat="1" ht="24.75" thickBot="1">
      <c r="A57" s="1450"/>
      <c r="B57" s="949" t="s">
        <v>767</v>
      </c>
      <c r="C57" s="238">
        <f ca="1">C29</f>
        <v>2776542</v>
      </c>
      <c r="D57" s="1451"/>
      <c r="E57" s="1452"/>
      <c r="F57" s="1453"/>
      <c r="I57" s="1454" t="s">
        <v>844</v>
      </c>
      <c r="J57" s="1455">
        <f ca="1">IF(OR(M47="住宅",J51&lt;L48,J56="是"),"——",J51-L48)</f>
        <v>24.130000000000003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17840</v>
      </c>
      <c r="D58" s="959" t="s">
        <v>715</v>
      </c>
      <c r="E58" s="960"/>
      <c r="F58" s="961"/>
      <c r="I58" s="1454" t="s">
        <v>848</v>
      </c>
      <c r="J58" s="1456">
        <f ca="1">IF(J55&lt;0.4,0.4,J55)</f>
        <v>0.40200000000000002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1116170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103594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12641758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13883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3957</v>
      </c>
      <c r="D65" s="963" t="s">
        <v>743</v>
      </c>
      <c r="E65" s="949" t="s">
        <v>744</v>
      </c>
      <c r="F65" s="330">
        <f t="shared" ca="1" si="0"/>
        <v>1.5E-3</v>
      </c>
      <c r="I65" s="1461" t="s">
        <v>867</v>
      </c>
      <c r="J65" s="1462">
        <v>40</v>
      </c>
      <c r="K65" s="1462">
        <v>30</v>
      </c>
      <c r="L65" s="1462">
        <v>50</v>
      </c>
      <c r="M65" s="1464">
        <v>0.02</v>
      </c>
      <c r="O65" s="1417" t="s">
        <v>403</v>
      </c>
      <c r="P65" s="1418" t="s">
        <v>868</v>
      </c>
      <c r="Q65" s="1419">
        <f ca="1">C40+J29</f>
        <v>12641758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-17840</v>
      </c>
      <c r="D67" s="962" t="s">
        <v>753</v>
      </c>
      <c r="E67" s="967"/>
      <c r="F67" s="968"/>
      <c r="O67" s="1427" t="s">
        <v>405</v>
      </c>
      <c r="P67" s="1418" t="s">
        <v>850</v>
      </c>
      <c r="Q67" s="1465">
        <f ca="1">L51</f>
        <v>8269465</v>
      </c>
      <c r="R67" s="1419" t="s">
        <v>870</v>
      </c>
    </row>
    <row r="68" spans="1:18" s="1383" customFormat="1" ht="16.5" thickBot="1">
      <c r="A68" s="946" t="s">
        <v>395</v>
      </c>
      <c r="B68" s="947" t="s">
        <v>774</v>
      </c>
      <c r="C68" s="301">
        <f ca="1">ROUND(C67*(1-((1+F70)/(1+F68))^F69)/(F68-F70),0)</f>
        <v>-253537</v>
      </c>
      <c r="D68" s="964" t="s">
        <v>758</v>
      </c>
      <c r="E68" s="949" t="s">
        <v>759</v>
      </c>
      <c r="F68" s="312">
        <f ca="1">F40</f>
        <v>0.06</v>
      </c>
      <c r="O68" s="1427" t="s">
        <v>406</v>
      </c>
      <c r="P68" s="1466" t="s">
        <v>871</v>
      </c>
      <c r="Q68" s="1419">
        <f ca="1">ROUND(Q69-Q70*Q71,0)</f>
        <v>477388</v>
      </c>
      <c r="R68" s="1419" t="s">
        <v>414</v>
      </c>
    </row>
    <row r="69" spans="1:18" s="1383" customFormat="1" ht="13.5" thickBot="1">
      <c r="A69" s="950"/>
      <c r="B69" s="951"/>
      <c r="C69" s="306"/>
      <c r="D69" s="969" t="s">
        <v>762</v>
      </c>
      <c r="E69" s="949" t="s">
        <v>763</v>
      </c>
      <c r="F69" s="333">
        <f ca="1">F41</f>
        <v>32.869999999999997</v>
      </c>
      <c r="O69" s="1427" t="s">
        <v>411</v>
      </c>
      <c r="P69" s="1466" t="s">
        <v>872</v>
      </c>
      <c r="Q69" s="1419">
        <f ca="1">C39</f>
        <v>662028</v>
      </c>
      <c r="R69" s="1419" t="s">
        <v>818</v>
      </c>
    </row>
    <row r="70" spans="1:18" s="1383" customFormat="1" ht="13.5" thickBot="1">
      <c r="A70" s="953"/>
      <c r="B70" s="954"/>
      <c r="C70" s="310"/>
      <c r="D70" s="965"/>
      <c r="E70" s="949" t="s">
        <v>766</v>
      </c>
      <c r="F70" s="1053"/>
      <c r="O70" s="1427" t="s">
        <v>412</v>
      </c>
      <c r="P70" s="1466" t="s">
        <v>873</v>
      </c>
      <c r="Q70" s="1419">
        <f ca="1">C13</f>
        <v>2637715</v>
      </c>
      <c r="R70" s="1419" t="s">
        <v>818</v>
      </c>
    </row>
    <row r="71" spans="1:18" s="1383" customFormat="1" ht="13.5" thickBot="1">
      <c r="A71" s="970" t="s">
        <v>396</v>
      </c>
      <c r="B71" s="971" t="s">
        <v>776</v>
      </c>
      <c r="C71" s="336">
        <f ca="1">ROUND(C68/F71,0)</f>
        <v>-508</v>
      </c>
      <c r="D71" s="972" t="s">
        <v>777</v>
      </c>
      <c r="E71" s="973" t="s">
        <v>778</v>
      </c>
      <c r="F71" s="339">
        <f ca="1">F43</f>
        <v>499.53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184640</v>
      </c>
      <c r="D75" s="1383"/>
      <c r="E75" s="1383"/>
      <c r="F75" s="1383"/>
      <c r="K75" s="1401"/>
      <c r="L75" s="1383"/>
      <c r="O75" s="1417" t="s">
        <v>409</v>
      </c>
      <c r="P75" s="1418" t="s">
        <v>838</v>
      </c>
      <c r="Q75" s="1419">
        <f ca="1">Q65+Q66</f>
        <v>12641758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4" t="s">
        <v>2309</v>
      </c>
      <c r="B2" s="2836" t="e">
        <f>IF(D2="——",C40,C40+E2)</f>
        <v>#DIV/0!</v>
      </c>
      <c r="C2" s="2837" t="s">
        <v>2310</v>
      </c>
      <c r="D2" s="3436" t="s">
        <v>3355</v>
      </c>
      <c r="E2" s="3437"/>
      <c r="F2" s="2839"/>
      <c r="G2" s="2840"/>
      <c r="H2" s="2841"/>
      <c r="I2" s="2842"/>
      <c r="J2" s="3705" t="s">
        <v>2311</v>
      </c>
      <c r="K2" s="3706"/>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07" t="s">
        <v>2321</v>
      </c>
      <c r="K3" s="3708"/>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07" t="s">
        <v>2323</v>
      </c>
      <c r="K4" s="3708"/>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13" t="s">
        <v>2327</v>
      </c>
      <c r="B6" s="3714"/>
      <c r="C6" s="3715"/>
      <c r="D6" s="2863"/>
      <c r="E6" s="2864"/>
      <c r="F6" s="2865"/>
      <c r="G6" s="2866"/>
      <c r="H6" s="2841"/>
      <c r="I6" s="2842"/>
      <c r="J6" s="3699">
        <v>1</v>
      </c>
      <c r="K6" s="3700"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699"/>
      <c r="K7" s="3701"/>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16" t="s">
        <v>2341</v>
      </c>
      <c r="C8" s="3717"/>
      <c r="D8" s="2882" t="s">
        <v>2342</v>
      </c>
      <c r="E8" s="2883" t="s">
        <v>2343</v>
      </c>
      <c r="F8" s="2884" t="s">
        <v>2344</v>
      </c>
      <c r="G8" s="2885"/>
      <c r="H8" s="2841"/>
      <c r="I8" s="2842"/>
      <c r="J8" s="3699"/>
      <c r="K8" s="3701"/>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16" t="s">
        <v>2347</v>
      </c>
      <c r="C9" s="3717"/>
      <c r="D9" s="2882">
        <f>ROUND(D6*E9,0)</f>
        <v>0</v>
      </c>
      <c r="E9" s="2886"/>
      <c r="F9" s="2887" t="s">
        <v>2348</v>
      </c>
      <c r="G9" s="2866"/>
      <c r="H9" s="2841"/>
      <c r="I9" s="2842"/>
      <c r="J9" s="3699"/>
      <c r="K9" s="3701"/>
      <c r="L9" s="2876" t="s">
        <v>2349</v>
      </c>
      <c r="M9" s="2877"/>
      <c r="N9" s="2853"/>
      <c r="O9" s="2878"/>
      <c r="P9" s="2878"/>
      <c r="Q9" s="2879">
        <v>365</v>
      </c>
      <c r="R9" s="2880">
        <f t="shared" si="0"/>
        <v>0</v>
      </c>
      <c r="S9" s="2834"/>
      <c r="T9" s="2834"/>
      <c r="U9" s="2834"/>
      <c r="V9" s="2842"/>
    </row>
    <row r="10" spans="1:22" s="2846" customFormat="1" ht="13.15" customHeight="1">
      <c r="A10" s="2881">
        <v>2</v>
      </c>
      <c r="B10" s="3716" t="s">
        <v>2350</v>
      </c>
      <c r="C10" s="3717"/>
      <c r="D10" s="2882">
        <f>ROUND(D6*E10,0)</f>
        <v>0</v>
      </c>
      <c r="E10" s="2886"/>
      <c r="F10" s="2887" t="s">
        <v>2351</v>
      </c>
      <c r="G10" s="2866"/>
      <c r="H10" s="2841"/>
      <c r="I10" s="2842"/>
      <c r="J10" s="3699"/>
      <c r="K10" s="3701"/>
      <c r="L10" s="2876" t="s">
        <v>2352</v>
      </c>
      <c r="M10" s="2877"/>
      <c r="N10" s="2853"/>
      <c r="O10" s="2878"/>
      <c r="P10" s="2878"/>
      <c r="Q10" s="2879">
        <v>365</v>
      </c>
      <c r="R10" s="2880">
        <f t="shared" si="0"/>
        <v>0</v>
      </c>
      <c r="S10" s="2834"/>
      <c r="T10" s="2834"/>
      <c r="U10" s="2834"/>
      <c r="V10" s="2842"/>
    </row>
    <row r="11" spans="1:22" s="2846" customFormat="1" ht="13.15" customHeight="1">
      <c r="A11" s="2881">
        <v>3</v>
      </c>
      <c r="B11" s="3716" t="s">
        <v>2353</v>
      </c>
      <c r="C11" s="3717"/>
      <c r="D11" s="2882">
        <f>D12+D14+D15+D16</f>
        <v>0</v>
      </c>
      <c r="E11" s="2888" t="e">
        <f>D11/D6</f>
        <v>#DIV/0!</v>
      </c>
      <c r="F11" s="2884"/>
      <c r="G11" s="2885"/>
      <c r="H11" s="2841"/>
      <c r="I11" s="2842"/>
      <c r="J11" s="3699"/>
      <c r="K11" s="3701"/>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09" t="s">
        <v>2356</v>
      </c>
      <c r="C12" s="3710"/>
      <c r="D12" s="2890">
        <f>ROUND(D13*1.2%*(1-30%),0)</f>
        <v>0</v>
      </c>
      <c r="E12" s="2891">
        <v>1.2E-2</v>
      </c>
      <c r="F12" s="2884" t="s">
        <v>2357</v>
      </c>
      <c r="G12" s="2885"/>
      <c r="H12" s="2841"/>
      <c r="I12" s="2842"/>
      <c r="J12" s="3699"/>
      <c r="K12" s="3701"/>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699"/>
      <c r="K13" s="3701"/>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09" t="s">
        <v>2362</v>
      </c>
      <c r="C14" s="3710"/>
      <c r="D14" s="2890">
        <f>ROUND(E14*B5/10000,0)</f>
        <v>0</v>
      </c>
      <c r="E14" s="2879"/>
      <c r="F14" s="2884" t="s">
        <v>2363</v>
      </c>
      <c r="G14" s="2885"/>
      <c r="H14" s="2841"/>
      <c r="I14" s="2842"/>
      <c r="J14" s="3699"/>
      <c r="K14" s="3702"/>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09" t="s">
        <v>2366</v>
      </c>
      <c r="C15" s="3710"/>
      <c r="D15" s="2890">
        <f>ROUND(D6*E15,0)</f>
        <v>0</v>
      </c>
      <c r="E15" s="2891">
        <v>5.5E-2</v>
      </c>
      <c r="F15" s="2884" t="s">
        <v>2367</v>
      </c>
      <c r="G15" s="2866"/>
      <c r="H15" s="2841"/>
      <c r="I15" s="2842"/>
      <c r="J15" s="3699">
        <v>2</v>
      </c>
      <c r="K15" s="3700"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09" t="s">
        <v>2375</v>
      </c>
      <c r="C16" s="3710"/>
      <c r="D16" s="2901">
        <f>D6*E16</f>
        <v>0</v>
      </c>
      <c r="E16" s="2902"/>
      <c r="F16" s="2887" t="s">
        <v>2376</v>
      </c>
      <c r="G16" s="2866"/>
      <c r="H16" s="2841"/>
      <c r="I16" s="2842"/>
      <c r="J16" s="3699"/>
      <c r="K16" s="3701"/>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11" t="s">
        <v>2378</v>
      </c>
      <c r="C17" s="3712"/>
      <c r="D17" s="2904">
        <f>ROUND(D6*E17,0)</f>
        <v>0</v>
      </c>
      <c r="E17" s="2905"/>
      <c r="F17" s="2906" t="s">
        <v>2379</v>
      </c>
      <c r="G17" s="2866"/>
      <c r="H17" s="2841"/>
      <c r="I17" s="2842"/>
      <c r="J17" s="3699"/>
      <c r="K17" s="3701"/>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699"/>
      <c r="K18" s="3701"/>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699"/>
      <c r="K19" s="3702"/>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99">
        <v>3</v>
      </c>
      <c r="K20" s="3700"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699"/>
      <c r="K21" s="3701"/>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699"/>
      <c r="K22" s="3701"/>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699"/>
      <c r="K23" s="3701"/>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699"/>
      <c r="K24" s="3702"/>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03">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0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05" t="s">
        <v>2311</v>
      </c>
      <c r="K32" s="3706"/>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07" t="s">
        <v>2321</v>
      </c>
      <c r="K33" s="3708"/>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07" t="s">
        <v>2323</v>
      </c>
      <c r="K34" s="370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699">
        <v>1</v>
      </c>
      <c r="K36" s="3700"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699"/>
      <c r="K37" s="3701"/>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99"/>
      <c r="K38" s="3701"/>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699"/>
      <c r="K39" s="3701"/>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699"/>
      <c r="K40" s="3702"/>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03">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0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0"/>
      <c r="G1" s="1488"/>
      <c r="H1" s="1488"/>
      <c r="I1" s="1488"/>
      <c r="J1" s="1488"/>
      <c r="K1" s="1488"/>
      <c r="L1" s="1488"/>
      <c r="M1" s="1488"/>
      <c r="N1" s="1488"/>
      <c r="O1" s="1488"/>
      <c r="P1" s="1488"/>
      <c r="Q1" s="1488"/>
      <c r="R1" s="1488"/>
      <c r="S1" s="1488"/>
    </row>
    <row r="2" spans="1:22" ht="15.75">
      <c r="A2" s="1869" t="s">
        <v>1460</v>
      </c>
      <c r="B2" s="1870">
        <f ca="1">SUMIF(B6:B13,"&lt;&gt;#ref!",B6:B13)</f>
        <v>1274.5352</v>
      </c>
      <c r="C2" s="1871" t="s">
        <v>1649</v>
      </c>
      <c r="D2" s="1872" t="s">
        <v>1650</v>
      </c>
      <c r="E2" s="2600">
        <f>SUM(E6:E13)</f>
        <v>499.53</v>
      </c>
      <c r="F2" s="2700"/>
      <c r="G2" s="1488"/>
      <c r="H2" s="1488"/>
      <c r="I2" s="1488"/>
      <c r="J2" s="1488"/>
      <c r="K2" s="1488"/>
      <c r="L2" s="1488"/>
      <c r="M2" s="1488"/>
      <c r="N2" s="1488"/>
      <c r="O2" s="1488"/>
      <c r="P2" s="1488"/>
      <c r="Q2" s="1488"/>
      <c r="R2" s="1488"/>
      <c r="S2" s="1488"/>
    </row>
    <row r="3" spans="1:22" ht="15.75">
      <c r="A3" s="1869" t="s">
        <v>686</v>
      </c>
      <c r="B3" s="2594">
        <f ca="1">ROUND(B2*10000/E2,0)</f>
        <v>25515</v>
      </c>
      <c r="C3" s="1871" t="s">
        <v>1657</v>
      </c>
      <c r="D3" s="2702"/>
      <c r="E3" s="2704"/>
      <c r="F3" s="2700"/>
      <c r="G3" s="1488"/>
      <c r="H3" s="1488"/>
      <c r="I3" s="1488"/>
      <c r="J3" s="1488"/>
      <c r="K3" s="1488"/>
      <c r="L3" s="1488"/>
      <c r="M3" s="1488"/>
      <c r="N3" s="1488"/>
      <c r="O3" s="1488"/>
      <c r="P3" s="1488"/>
      <c r="Q3" s="1488"/>
      <c r="R3" s="1488"/>
      <c r="S3" s="1488"/>
    </row>
    <row r="4" spans="1:22" ht="15.75">
      <c r="A4" s="2705"/>
      <c r="B4" s="2702"/>
      <c r="C4" s="2702"/>
      <c r="D4" s="2702"/>
      <c r="E4" s="2704"/>
      <c r="F4" s="2700"/>
      <c r="G4" s="1488"/>
      <c r="H4" s="1488"/>
      <c r="I4" s="1488"/>
      <c r="J4" s="1488"/>
      <c r="K4" s="1488"/>
      <c r="L4" s="1488"/>
      <c r="M4" s="1488"/>
      <c r="N4" s="1488"/>
      <c r="O4" s="1488"/>
      <c r="P4" s="1488"/>
      <c r="Q4" s="1488"/>
      <c r="R4" s="1488"/>
      <c r="S4" s="1488"/>
    </row>
    <row r="5" spans="1:22" ht="15">
      <c r="A5" s="2596" t="s">
        <v>1651</v>
      </c>
      <c r="B5" s="3718" t="s">
        <v>1652</v>
      </c>
      <c r="C5" s="3719"/>
      <c r="D5" s="2701"/>
      <c r="E5" s="1873" t="s">
        <v>1653</v>
      </c>
      <c r="F5" s="1874" t="s">
        <v>1654</v>
      </c>
      <c r="G5" s="1488"/>
      <c r="H5" s="1488"/>
      <c r="I5" s="1488"/>
      <c r="J5" s="1488"/>
      <c r="K5" s="1488"/>
      <c r="L5" s="1488"/>
      <c r="M5" s="1488"/>
      <c r="N5" s="1488"/>
      <c r="O5" s="1488"/>
      <c r="P5" s="1488"/>
      <c r="Q5" s="1488"/>
      <c r="R5" s="1488"/>
      <c r="S5" s="1488"/>
    </row>
    <row r="6" spans="1:22">
      <c r="A6" s="2597" t="str">
        <f>'数据-取费表'!AN6</f>
        <v>收益法 (元)</v>
      </c>
      <c r="B6" s="2595">
        <f ca="1">IF(F6="是",'数据-取费表'!AO6,0)</f>
        <v>1274.5352</v>
      </c>
      <c r="C6" s="1871" t="s">
        <v>1649</v>
      </c>
      <c r="D6" s="2702"/>
      <c r="E6" s="2599">
        <f>IF(OR(A6=0,F6="否"),0,'数据-取费表'!K6+'数据-取费表'!S6)</f>
        <v>499.53</v>
      </c>
      <c r="F6" s="1875" t="s">
        <v>1655</v>
      </c>
      <c r="G6" s="1488"/>
      <c r="H6" s="1488"/>
      <c r="I6" s="1488"/>
      <c r="J6" s="1488"/>
      <c r="K6" s="1488"/>
      <c r="L6" s="1488"/>
      <c r="M6" s="1488"/>
      <c r="N6" s="1488"/>
      <c r="O6" s="1488"/>
      <c r="P6" s="1488"/>
      <c r="Q6" s="1488"/>
      <c r="R6" s="1488"/>
      <c r="S6" s="1488"/>
    </row>
    <row r="7" spans="1:22">
      <c r="A7" s="2597">
        <f>'数据-取费表'!AN7</f>
        <v>0</v>
      </c>
      <c r="B7" s="2595" t="e">
        <f ca="1">IF(F7="是",'数据-取费表'!AO7,0)</f>
        <v>#REF!</v>
      </c>
      <c r="C7" s="1871" t="s">
        <v>1649</v>
      </c>
      <c r="D7" s="2702"/>
      <c r="E7" s="2599">
        <f>IF(OR(A7=0,F7="否"),0,'数据-取费表'!K7+'数据-取费表'!S7)</f>
        <v>0</v>
      </c>
      <c r="F7" s="1875" t="s">
        <v>1655</v>
      </c>
      <c r="G7" s="1488"/>
      <c r="H7" s="1488"/>
      <c r="I7" s="1488"/>
      <c r="J7" s="1488"/>
      <c r="K7" s="1488"/>
      <c r="L7" s="1488"/>
      <c r="M7" s="1488"/>
      <c r="N7" s="1488"/>
      <c r="O7" s="1488"/>
      <c r="P7" s="1488"/>
      <c r="Q7" s="1488"/>
      <c r="R7" s="1488"/>
      <c r="S7" s="1488"/>
    </row>
    <row r="8" spans="1:22">
      <c r="A8" s="2597">
        <f>'数据-取费表'!AN8</f>
        <v>0</v>
      </c>
      <c r="B8" s="2595" t="e">
        <f ca="1">IF(F8="是",'数据-取费表'!AO8,0)</f>
        <v>#REF!</v>
      </c>
      <c r="C8" s="1871" t="s">
        <v>1649</v>
      </c>
      <c r="D8" s="2702"/>
      <c r="E8" s="2599">
        <f>IF(OR(A8=0,F8="否"),0,'数据-取费表'!K8+'数据-取费表'!S8)</f>
        <v>0</v>
      </c>
      <c r="F8" s="1875" t="s">
        <v>1655</v>
      </c>
      <c r="G8" s="1488"/>
      <c r="H8" s="1488"/>
      <c r="I8" s="1488"/>
      <c r="J8" s="1488"/>
      <c r="K8" s="1488"/>
      <c r="L8" s="1488"/>
      <c r="M8" s="1488"/>
      <c r="N8" s="1488"/>
      <c r="O8" s="1488"/>
      <c r="P8" s="1488"/>
      <c r="Q8" s="1488"/>
      <c r="R8" s="1488"/>
      <c r="S8" s="1488"/>
    </row>
    <row r="9" spans="1:22">
      <c r="A9" s="2597">
        <f>'数据-取费表'!AN9</f>
        <v>0</v>
      </c>
      <c r="B9" s="2595" t="e">
        <f ca="1">IF(F9="是",'数据-取费表'!AO9,0)</f>
        <v>#REF!</v>
      </c>
      <c r="C9" s="1871" t="s">
        <v>1649</v>
      </c>
      <c r="D9" s="2702"/>
      <c r="E9" s="2599">
        <f>IF(OR(A9=0,F9="否"),0,'数据-取费表'!K9+'数据-取费表'!S9)</f>
        <v>0</v>
      </c>
      <c r="F9" s="1875" t="s">
        <v>1655</v>
      </c>
      <c r="G9" s="1488"/>
      <c r="H9" s="1488"/>
      <c r="I9" s="1488"/>
      <c r="J9" s="1488"/>
      <c r="K9" s="1488"/>
      <c r="L9" s="1488"/>
      <c r="M9" s="1488"/>
      <c r="N9" s="1488"/>
      <c r="O9" s="1488"/>
      <c r="P9" s="1488"/>
      <c r="Q9" s="1488"/>
      <c r="R9" s="1488"/>
      <c r="S9" s="1488"/>
    </row>
    <row r="10" spans="1:22">
      <c r="A10" s="2597">
        <f>'数据-取费表'!AN10</f>
        <v>0</v>
      </c>
      <c r="B10" s="2595" t="e">
        <f ca="1">IF(F10="是",'数据-取费表'!AO10,0)</f>
        <v>#REF!</v>
      </c>
      <c r="C10" s="1871" t="s">
        <v>1649</v>
      </c>
      <c r="D10" s="2702"/>
      <c r="E10" s="2599">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7">
        <f>'数据-取费表'!AN11</f>
        <v>0</v>
      </c>
      <c r="B11" s="2595" t="e">
        <f ca="1">IF(F11="是",'数据-取费表'!AO11,0)</f>
        <v>#REF!</v>
      </c>
      <c r="C11" s="1871" t="s">
        <v>1649</v>
      </c>
      <c r="D11" s="2702"/>
      <c r="E11" s="2599">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7">
        <f>'数据-取费表'!AN12</f>
        <v>0</v>
      </c>
      <c r="B12" s="2595" t="e">
        <f ca="1">IF(F12="是",'数据-取费表'!AO12,0)</f>
        <v>#REF!</v>
      </c>
      <c r="C12" s="1871" t="s">
        <v>1649</v>
      </c>
      <c r="D12" s="2702"/>
      <c r="E12" s="2599">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8">
        <f>'数据-取费表'!AN13</f>
        <v>0</v>
      </c>
      <c r="B13" s="2595" t="e">
        <f ca="1">IF(F13="是",'数据-取费表'!AO13,0)</f>
        <v>#REF!</v>
      </c>
      <c r="C13" s="1876" t="s">
        <v>1649</v>
      </c>
      <c r="D13" s="2703"/>
      <c r="E13" s="2599">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O112" activeCellId="1" sqref="B65:H66 O11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19"/>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0"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6"/>
      <c r="M2" s="2707"/>
      <c r="N2" s="2707"/>
      <c r="O2" s="2707"/>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499.53</v>
      </c>
      <c r="E3" s="906"/>
      <c r="F3" s="1887"/>
      <c r="G3" s="906"/>
      <c r="H3" s="906"/>
      <c r="I3" s="906"/>
      <c r="J3" s="906"/>
      <c r="K3" s="1883"/>
      <c r="L3" s="2706"/>
      <c r="M3" s="2707"/>
      <c r="N3" s="2707"/>
      <c r="O3" s="2707"/>
      <c r="P3" s="1884"/>
      <c r="Q3" s="1885"/>
      <c r="R3" s="1885"/>
      <c r="S3" s="1885"/>
      <c r="T3" s="1885"/>
      <c r="U3" s="1885"/>
      <c r="V3" s="1885"/>
      <c r="W3" s="1885"/>
      <c r="X3" s="1885"/>
      <c r="Y3" s="1885"/>
      <c r="Z3" s="1885"/>
      <c r="AA3" s="1885"/>
      <c r="AB3" s="1885"/>
      <c r="AC3" s="1060"/>
    </row>
    <row r="4" spans="1:29" ht="15">
      <c r="A4" s="355" t="s">
        <v>1664</v>
      </c>
      <c r="B4" s="356"/>
      <c r="C4" s="3671" t="s">
        <v>1665</v>
      </c>
      <c r="D4" s="3672"/>
      <c r="E4" s="3673" t="s">
        <v>1666</v>
      </c>
      <c r="F4" s="3674"/>
      <c r="G4" s="3671" t="s">
        <v>1667</v>
      </c>
      <c r="H4" s="3672"/>
      <c r="I4" s="3671" t="s">
        <v>1668</v>
      </c>
      <c r="J4" s="3672"/>
      <c r="K4" s="1888" t="s">
        <v>1669</v>
      </c>
      <c r="L4" s="2708"/>
      <c r="M4" s="2709"/>
      <c r="N4" s="2709"/>
      <c r="O4" s="2709"/>
      <c r="P4" s="3675" t="s">
        <v>1670</v>
      </c>
      <c r="Q4" s="3676"/>
      <c r="R4" s="3681" t="s">
        <v>1666</v>
      </c>
      <c r="S4" s="3682"/>
      <c r="T4" s="3681" t="s">
        <v>1667</v>
      </c>
      <c r="U4" s="3682"/>
      <c r="V4" s="3666" t="s">
        <v>1668</v>
      </c>
      <c r="W4" s="3666"/>
      <c r="X4" s="1354"/>
      <c r="Y4" s="3681" t="s">
        <v>1670</v>
      </c>
      <c r="Z4" s="3682"/>
      <c r="AA4" s="3668" t="s">
        <v>1666</v>
      </c>
      <c r="AB4" s="3668" t="s">
        <v>1667</v>
      </c>
      <c r="AC4" s="3668" t="s">
        <v>1668</v>
      </c>
    </row>
    <row r="5" spans="1:29" ht="15">
      <c r="A5" s="358"/>
      <c r="B5" s="359"/>
      <c r="C5" s="3689" t="s">
        <v>1671</v>
      </c>
      <c r="D5" s="3690"/>
      <c r="E5" s="3697" t="s">
        <v>1672</v>
      </c>
      <c r="F5" s="3698"/>
      <c r="G5" s="3689" t="s">
        <v>1673</v>
      </c>
      <c r="H5" s="3690"/>
      <c r="I5" s="3689" t="s">
        <v>1674</v>
      </c>
      <c r="J5" s="3690"/>
      <c r="K5" s="1889"/>
      <c r="L5" s="2708"/>
      <c r="M5" s="2709"/>
      <c r="N5" s="2709"/>
      <c r="O5" s="2709"/>
      <c r="P5" s="3677"/>
      <c r="Q5" s="3678"/>
      <c r="R5" s="3683"/>
      <c r="S5" s="3684"/>
      <c r="T5" s="3683"/>
      <c r="U5" s="3684"/>
      <c r="V5" s="3666"/>
      <c r="W5" s="3666"/>
      <c r="X5" s="1354"/>
      <c r="Y5" s="3683"/>
      <c r="Z5" s="3684"/>
      <c r="AA5" s="3669"/>
      <c r="AB5" s="3669"/>
      <c r="AC5" s="3669"/>
    </row>
    <row r="6" spans="1:29" ht="15.75" thickBot="1">
      <c r="A6" s="360"/>
      <c r="B6" s="361"/>
      <c r="C6" s="3687" t="s">
        <v>1675</v>
      </c>
      <c r="D6" s="3688"/>
      <c r="E6" s="3695" t="s">
        <v>1675</v>
      </c>
      <c r="F6" s="3696"/>
      <c r="G6" s="3687" t="s">
        <v>1675</v>
      </c>
      <c r="H6" s="3688"/>
      <c r="I6" s="3687" t="s">
        <v>1675</v>
      </c>
      <c r="J6" s="3688"/>
      <c r="K6" s="1889" t="s">
        <v>1676</v>
      </c>
      <c r="L6" s="2708"/>
      <c r="M6" s="2709"/>
      <c r="N6" s="2709"/>
      <c r="O6" s="2709"/>
      <c r="P6" s="3679"/>
      <c r="Q6" s="3680"/>
      <c r="R6" s="3683"/>
      <c r="S6" s="3684"/>
      <c r="T6" s="3685"/>
      <c r="U6" s="3686"/>
      <c r="V6" s="3666"/>
      <c r="W6" s="3666"/>
      <c r="X6" s="1354"/>
      <c r="Y6" s="3685"/>
      <c r="Z6" s="3686"/>
      <c r="AA6" s="3670"/>
      <c r="AB6" s="3670"/>
      <c r="AC6" s="3670"/>
    </row>
    <row r="7" spans="1:29" s="108" customFormat="1" ht="15.75" thickBot="1">
      <c r="A7" s="362" t="s">
        <v>1677</v>
      </c>
      <c r="B7" s="363"/>
      <c r="C7" s="364">
        <f>'数据-取费表'!B2</f>
        <v>45058</v>
      </c>
      <c r="D7" s="365">
        <v>100</v>
      </c>
      <c r="E7" s="366"/>
      <c r="F7" s="367">
        <f>SUMIF(58:58,YEAR(E7)&amp;"-"&amp;MONTH(E7),59:59)</f>
        <v>0</v>
      </c>
      <c r="G7" s="366"/>
      <c r="H7" s="365">
        <f>SUMIF(58:58,YEAR(G7)&amp;"-"&amp;MONTH(G7),59:59)</f>
        <v>0</v>
      </c>
      <c r="I7" s="366"/>
      <c r="J7" s="365">
        <f>SUMIF(58:58,YEAR(I7)&amp;"-"&amp;MONTH(I7),59:59)</f>
        <v>0</v>
      </c>
      <c r="K7" s="1890"/>
      <c r="L7" s="2710"/>
      <c r="M7" s="2711"/>
      <c r="N7" s="2711"/>
      <c r="O7" s="2711"/>
      <c r="P7" s="3691" t="s">
        <v>1678</v>
      </c>
      <c r="Q7" s="3693"/>
      <c r="R7" s="700" t="s">
        <v>20</v>
      </c>
      <c r="S7" s="701">
        <f t="shared" ref="S7:S15" si="0">F7</f>
        <v>0</v>
      </c>
      <c r="T7" s="700" t="s">
        <v>20</v>
      </c>
      <c r="U7" s="701">
        <f t="shared" ref="U7:U15" si="1">H7</f>
        <v>0</v>
      </c>
      <c r="V7" s="700" t="s">
        <v>20</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0"/>
      <c r="M8" s="2711"/>
      <c r="N8" s="2711"/>
      <c r="O8" s="2711"/>
      <c r="P8" s="3691" t="s">
        <v>1681</v>
      </c>
      <c r="Q8" s="3692"/>
      <c r="R8" s="700" t="s">
        <v>20</v>
      </c>
      <c r="S8" s="701">
        <f t="shared" si="0"/>
        <v>100</v>
      </c>
      <c r="T8" s="700" t="s">
        <v>20</v>
      </c>
      <c r="U8" s="701">
        <f t="shared" si="1"/>
        <v>100</v>
      </c>
      <c r="V8" s="700" t="s">
        <v>20</v>
      </c>
      <c r="W8" s="701">
        <f t="shared" si="2"/>
        <v>100</v>
      </c>
      <c r="X8" s="702"/>
      <c r="Y8" s="3691" t="s">
        <v>1681</v>
      </c>
      <c r="Z8" s="3692"/>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0"/>
      <c r="M9" s="2711"/>
      <c r="N9" s="2711"/>
      <c r="O9" s="2711"/>
      <c r="P9" s="3667"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90"/>
      <c r="L10" s="2712"/>
      <c r="M10" s="2713"/>
      <c r="N10" s="2713"/>
      <c r="O10" s="2713"/>
      <c r="P10" s="366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67"/>
      <c r="Q11" s="1342" t="str">
        <f t="shared" si="6"/>
        <v>容积率</v>
      </c>
      <c r="R11" s="700" t="s">
        <v>18</v>
      </c>
      <c r="S11" s="701" t="e">
        <f t="shared" si="0"/>
        <v>#N/A</v>
      </c>
      <c r="T11" s="700" t="s">
        <v>18</v>
      </c>
      <c r="U11" s="701" t="e">
        <f t="shared" si="1"/>
        <v>#N/A</v>
      </c>
      <c r="V11" s="700" t="s">
        <v>18</v>
      </c>
      <c r="W11" s="701" t="e">
        <f t="shared" si="2"/>
        <v>#N/A</v>
      </c>
      <c r="X11" s="702"/>
      <c r="Y11" s="355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0"/>
      <c r="M12" s="2711"/>
      <c r="N12" s="2711"/>
      <c r="O12" s="2711"/>
      <c r="P12" s="3667"/>
      <c r="Q12" s="1342">
        <f t="shared" si="6"/>
        <v>111</v>
      </c>
      <c r="R12" s="700" t="s">
        <v>18</v>
      </c>
      <c r="S12" s="701">
        <f t="shared" si="0"/>
        <v>100</v>
      </c>
      <c r="T12" s="700" t="s">
        <v>18</v>
      </c>
      <c r="U12" s="701">
        <f t="shared" si="1"/>
        <v>100</v>
      </c>
      <c r="V12" s="700" t="s">
        <v>18</v>
      </c>
      <c r="W12" s="701">
        <f t="shared" si="2"/>
        <v>100</v>
      </c>
      <c r="X12" s="702"/>
      <c r="Y12" s="35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5"/>
      <c r="M13" s="2709"/>
      <c r="N13" s="2709"/>
      <c r="O13" s="2709"/>
      <c r="P13" s="3667"/>
      <c r="Q13" s="1342">
        <f t="shared" si="6"/>
        <v>111</v>
      </c>
      <c r="R13" s="700" t="s">
        <v>18</v>
      </c>
      <c r="S13" s="701">
        <f t="shared" si="0"/>
        <v>100</v>
      </c>
      <c r="T13" s="700" t="s">
        <v>18</v>
      </c>
      <c r="U13" s="701">
        <f t="shared" si="1"/>
        <v>100</v>
      </c>
      <c r="V13" s="700" t="s">
        <v>18</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5"/>
      <c r="M14" s="2709"/>
      <c r="N14" s="2709"/>
      <c r="O14" s="2709"/>
      <c r="P14" s="3667"/>
      <c r="Q14" s="1342">
        <f t="shared" si="6"/>
        <v>111</v>
      </c>
      <c r="R14" s="700" t="s">
        <v>18</v>
      </c>
      <c r="S14" s="701">
        <f t="shared" si="0"/>
        <v>100</v>
      </c>
      <c r="T14" s="700" t="s">
        <v>18</v>
      </c>
      <c r="U14" s="701">
        <f t="shared" si="1"/>
        <v>100</v>
      </c>
      <c r="V14" s="700" t="s">
        <v>18</v>
      </c>
      <c r="W14" s="701">
        <f t="shared" si="2"/>
        <v>100</v>
      </c>
      <c r="X14" s="702"/>
      <c r="Y14" s="3551"/>
      <c r="Z14" s="52">
        <f t="shared" si="7"/>
        <v>111</v>
      </c>
      <c r="AA14" s="703">
        <f t="shared" si="3"/>
        <v>1</v>
      </c>
      <c r="AB14" s="703">
        <f t="shared" si="4"/>
        <v>1</v>
      </c>
      <c r="AC14" s="703">
        <f t="shared" si="5"/>
        <v>1</v>
      </c>
    </row>
    <row r="15" spans="1:29" ht="1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57" t="s">
        <v>1689</v>
      </c>
      <c r="Q15" s="1351" t="str">
        <f t="shared" si="6"/>
        <v>居住社区成熟度</v>
      </c>
      <c r="R15" s="704" t="s">
        <v>18</v>
      </c>
      <c r="S15" s="705">
        <f t="shared" si="0"/>
        <v>100</v>
      </c>
      <c r="T15" s="704" t="s">
        <v>18</v>
      </c>
      <c r="U15" s="705">
        <f t="shared" si="1"/>
        <v>100</v>
      </c>
      <c r="V15" s="704" t="s">
        <v>18</v>
      </c>
      <c r="W15" s="705">
        <f t="shared" si="2"/>
        <v>100</v>
      </c>
      <c r="X15" s="1354"/>
      <c r="Y15" s="3659"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5"/>
      <c r="M16" s="2709"/>
      <c r="N16" s="2709"/>
      <c r="O16" s="2709"/>
      <c r="P16" s="3658"/>
      <c r="Q16" s="1351"/>
      <c r="R16" s="704"/>
      <c r="S16" s="705"/>
      <c r="T16" s="704"/>
      <c r="U16" s="705"/>
      <c r="V16" s="704"/>
      <c r="W16" s="705"/>
      <c r="X16" s="1354"/>
      <c r="Y16" s="3660"/>
      <c r="Z16" s="1355"/>
      <c r="AA16" s="1352">
        <v>1</v>
      </c>
      <c r="AB16" s="1352">
        <v>1</v>
      </c>
      <c r="AC16" s="1352">
        <v>1</v>
      </c>
    </row>
    <row r="17" spans="1:29" ht="1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58"/>
      <c r="Q17" s="1351" t="str">
        <f>B17</f>
        <v>交通便捷度</v>
      </c>
      <c r="R17" s="704" t="s">
        <v>18</v>
      </c>
      <c r="S17" s="705">
        <f>F17</f>
        <v>100</v>
      </c>
      <c r="T17" s="704" t="s">
        <v>18</v>
      </c>
      <c r="U17" s="705">
        <f>H17</f>
        <v>100</v>
      </c>
      <c r="V17" s="704" t="s">
        <v>18</v>
      </c>
      <c r="W17" s="705">
        <f>J17</f>
        <v>100</v>
      </c>
      <c r="X17" s="1354"/>
      <c r="Y17" s="366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5"/>
      <c r="M18" s="2709"/>
      <c r="N18" s="2709"/>
      <c r="O18" s="2709"/>
      <c r="P18" s="3658"/>
      <c r="Q18" s="1351"/>
      <c r="R18" s="704"/>
      <c r="S18" s="705"/>
      <c r="T18" s="704"/>
      <c r="U18" s="705"/>
      <c r="V18" s="704"/>
      <c r="W18" s="705"/>
      <c r="X18" s="1354"/>
      <c r="Y18" s="3660"/>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58"/>
      <c r="Q19" s="1351" t="str">
        <f>B19</f>
        <v>公共配套设施</v>
      </c>
      <c r="R19" s="704" t="s">
        <v>18</v>
      </c>
      <c r="S19" s="705">
        <f>F19</f>
        <v>100</v>
      </c>
      <c r="T19" s="704" t="s">
        <v>18</v>
      </c>
      <c r="U19" s="705">
        <f>H19</f>
        <v>100</v>
      </c>
      <c r="V19" s="704" t="s">
        <v>18</v>
      </c>
      <c r="W19" s="705">
        <f>J19</f>
        <v>100</v>
      </c>
      <c r="X19" s="1354"/>
      <c r="Y19" s="366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5"/>
      <c r="M20" s="2709"/>
      <c r="N20" s="2709"/>
      <c r="O20" s="2709"/>
      <c r="P20" s="3658"/>
      <c r="Q20" s="1351"/>
      <c r="R20" s="704"/>
      <c r="S20" s="705"/>
      <c r="T20" s="704"/>
      <c r="U20" s="705"/>
      <c r="V20" s="704"/>
      <c r="W20" s="705"/>
      <c r="X20" s="1354"/>
      <c r="Y20" s="3660"/>
      <c r="Z20" s="1355"/>
      <c r="AA20" s="1352">
        <v>1</v>
      </c>
      <c r="AB20" s="1352">
        <v>1</v>
      </c>
      <c r="AC20" s="1352">
        <v>1</v>
      </c>
    </row>
    <row r="21" spans="1:29" ht="15">
      <c r="A21" s="379"/>
      <c r="B21" s="1130"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58"/>
      <c r="Q21" s="1351" t="str">
        <f>B21</f>
        <v>基础设施水平</v>
      </c>
      <c r="R21" s="704" t="s">
        <v>14</v>
      </c>
      <c r="S21" s="705">
        <f>F21</f>
        <v>100</v>
      </c>
      <c r="T21" s="704" t="s">
        <v>14</v>
      </c>
      <c r="U21" s="705">
        <f>H21</f>
        <v>100</v>
      </c>
      <c r="V21" s="704" t="s">
        <v>14</v>
      </c>
      <c r="W21" s="705">
        <f>J21</f>
        <v>100</v>
      </c>
      <c r="X21" s="1354"/>
      <c r="Y21" s="366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5"/>
      <c r="M22" s="2709"/>
      <c r="N22" s="2709"/>
      <c r="O22" s="2709"/>
      <c r="P22" s="3658"/>
      <c r="Q22" s="1351"/>
      <c r="R22" s="704"/>
      <c r="S22" s="705"/>
      <c r="T22" s="704"/>
      <c r="U22" s="705"/>
      <c r="V22" s="704"/>
      <c r="W22" s="705"/>
      <c r="X22" s="1354"/>
      <c r="Y22" s="3660"/>
      <c r="Z22" s="1355"/>
      <c r="AA22" s="1352">
        <v>1</v>
      </c>
      <c r="AB22" s="1352">
        <v>1</v>
      </c>
      <c r="AC22" s="1352">
        <v>1</v>
      </c>
    </row>
    <row r="23" spans="1:29" ht="15">
      <c r="A23" s="379"/>
      <c r="B23" s="402" t="s">
        <v>1259</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58"/>
      <c r="Q23" s="1351" t="str">
        <f>B23</f>
        <v>自然及人文环境</v>
      </c>
      <c r="R23" s="704" t="s">
        <v>18</v>
      </c>
      <c r="S23" s="705">
        <f>F23</f>
        <v>100</v>
      </c>
      <c r="T23" s="704" t="s">
        <v>18</v>
      </c>
      <c r="U23" s="705">
        <f>H23</f>
        <v>100</v>
      </c>
      <c r="V23" s="704" t="s">
        <v>18</v>
      </c>
      <c r="W23" s="705">
        <f>J23</f>
        <v>100</v>
      </c>
      <c r="X23" s="1354"/>
      <c r="Y23" s="366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5"/>
      <c r="M24" s="2709"/>
      <c r="N24" s="2709"/>
      <c r="O24" s="2709"/>
      <c r="P24" s="3658"/>
      <c r="Q24" s="1351"/>
      <c r="R24" s="704"/>
      <c r="S24" s="705"/>
      <c r="T24" s="704"/>
      <c r="U24" s="705"/>
      <c r="V24" s="704"/>
      <c r="W24" s="705"/>
      <c r="X24" s="1354"/>
      <c r="Y24" s="3660"/>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5"/>
      <c r="M25" s="2709"/>
      <c r="N25" s="2709"/>
      <c r="O25" s="2709"/>
      <c r="P25" s="365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0"/>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5"/>
      <c r="M26" s="2709"/>
      <c r="N26" s="2709"/>
      <c r="O26" s="2709"/>
      <c r="P26" s="3658"/>
      <c r="Q26" s="1351" t="str">
        <f t="shared" si="11"/>
        <v>朝向</v>
      </c>
      <c r="R26" s="704" t="s">
        <v>18</v>
      </c>
      <c r="S26" s="705">
        <f t="shared" si="12"/>
        <v>100</v>
      </c>
      <c r="T26" s="704" t="s">
        <v>18</v>
      </c>
      <c r="U26" s="705">
        <f t="shared" si="13"/>
        <v>100</v>
      </c>
      <c r="V26" s="704" t="s">
        <v>18</v>
      </c>
      <c r="W26" s="705">
        <f t="shared" si="14"/>
        <v>100</v>
      </c>
      <c r="X26" s="1354"/>
      <c r="Y26" s="366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0"/>
      <c r="M27" s="2711"/>
      <c r="N27" s="2711"/>
      <c r="O27" s="2711"/>
      <c r="P27" s="3658"/>
      <c r="Q27" s="1342">
        <f t="shared" si="11"/>
        <v>111</v>
      </c>
      <c r="R27" s="700" t="s">
        <v>18</v>
      </c>
      <c r="S27" s="701">
        <f t="shared" si="12"/>
        <v>100</v>
      </c>
      <c r="T27" s="700" t="s">
        <v>18</v>
      </c>
      <c r="U27" s="701">
        <f t="shared" si="13"/>
        <v>100</v>
      </c>
      <c r="V27" s="700" t="s">
        <v>18</v>
      </c>
      <c r="W27" s="701">
        <f t="shared" si="14"/>
        <v>100</v>
      </c>
      <c r="X27" s="702"/>
      <c r="Y27" s="366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5"/>
      <c r="M28" s="2709"/>
      <c r="N28" s="2709"/>
      <c r="O28" s="2709"/>
      <c r="P28" s="3658"/>
      <c r="Q28" s="1351">
        <f t="shared" si="11"/>
        <v>111</v>
      </c>
      <c r="R28" s="704" t="s">
        <v>18</v>
      </c>
      <c r="S28" s="705">
        <f t="shared" si="12"/>
        <v>100</v>
      </c>
      <c r="T28" s="704" t="s">
        <v>18</v>
      </c>
      <c r="U28" s="705">
        <f t="shared" si="13"/>
        <v>100</v>
      </c>
      <c r="V28" s="704" t="s">
        <v>18</v>
      </c>
      <c r="W28" s="705">
        <f t="shared" si="14"/>
        <v>100</v>
      </c>
      <c r="X28" s="1354"/>
      <c r="Y28" s="366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5"/>
      <c r="M29" s="2709"/>
      <c r="N29" s="2709"/>
      <c r="O29" s="2709"/>
      <c r="P29" s="3658"/>
      <c r="Q29" s="1351">
        <f t="shared" si="11"/>
        <v>111</v>
      </c>
      <c r="R29" s="704" t="s">
        <v>18</v>
      </c>
      <c r="S29" s="705">
        <f t="shared" si="12"/>
        <v>100</v>
      </c>
      <c r="T29" s="704" t="s">
        <v>18</v>
      </c>
      <c r="U29" s="705">
        <f t="shared" si="13"/>
        <v>100</v>
      </c>
      <c r="V29" s="704" t="s">
        <v>18</v>
      </c>
      <c r="W29" s="705">
        <f t="shared" si="14"/>
        <v>100</v>
      </c>
      <c r="X29" s="1354"/>
      <c r="Y29" s="366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5"/>
      <c r="M30" s="2709"/>
      <c r="N30" s="2709"/>
      <c r="O30" s="2709"/>
      <c r="P30" s="3658"/>
      <c r="Q30" s="1351">
        <f t="shared" si="11"/>
        <v>111</v>
      </c>
      <c r="R30" s="704" t="s">
        <v>18</v>
      </c>
      <c r="S30" s="705">
        <f t="shared" si="12"/>
        <v>100</v>
      </c>
      <c r="T30" s="704" t="s">
        <v>18</v>
      </c>
      <c r="U30" s="705">
        <f t="shared" si="13"/>
        <v>100</v>
      </c>
      <c r="V30" s="704" t="s">
        <v>18</v>
      </c>
      <c r="W30" s="705">
        <f t="shared" si="14"/>
        <v>100</v>
      </c>
      <c r="X30" s="1354"/>
      <c r="Y30" s="366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5"/>
      <c r="M31" s="2709"/>
      <c r="N31" s="2709"/>
      <c r="O31" s="2709"/>
      <c r="P31" s="3658"/>
      <c r="Q31" s="1351">
        <f t="shared" si="11"/>
        <v>111</v>
      </c>
      <c r="R31" s="704" t="s">
        <v>18</v>
      </c>
      <c r="S31" s="705">
        <f t="shared" si="12"/>
        <v>100</v>
      </c>
      <c r="T31" s="704" t="s">
        <v>18</v>
      </c>
      <c r="U31" s="705">
        <f t="shared" si="13"/>
        <v>100</v>
      </c>
      <c r="V31" s="704" t="s">
        <v>18</v>
      </c>
      <c r="W31" s="705">
        <f t="shared" si="14"/>
        <v>100</v>
      </c>
      <c r="X31" s="1354"/>
      <c r="Y31" s="3660"/>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5"/>
      <c r="M32" s="2709"/>
      <c r="N32" s="2709"/>
      <c r="O32" s="2709"/>
      <c r="P32" s="3661" t="s">
        <v>1694</v>
      </c>
      <c r="Q32" s="1351" t="str">
        <f t="shared" si="11"/>
        <v>建筑类型</v>
      </c>
      <c r="R32" s="704" t="s">
        <v>18</v>
      </c>
      <c r="S32" s="705">
        <f t="shared" si="12"/>
        <v>100</v>
      </c>
      <c r="T32" s="704" t="s">
        <v>18</v>
      </c>
      <c r="U32" s="705">
        <f t="shared" si="13"/>
        <v>100</v>
      </c>
      <c r="V32" s="704" t="s">
        <v>18</v>
      </c>
      <c r="W32" s="705">
        <f t="shared" si="14"/>
        <v>100</v>
      </c>
      <c r="X32" s="1354"/>
      <c r="Y32" s="3664"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4"/>
      <c r="M33" s="2716"/>
      <c r="N33" s="2716"/>
      <c r="O33" s="2716"/>
      <c r="P33" s="3662"/>
      <c r="Q33" s="706" t="str">
        <f t="shared" si="11"/>
        <v>项目建筑规模</v>
      </c>
      <c r="R33" s="707" t="s">
        <v>18</v>
      </c>
      <c r="S33" s="708" t="e">
        <f t="shared" si="12"/>
        <v>#N/A</v>
      </c>
      <c r="T33" s="707" t="s">
        <v>18</v>
      </c>
      <c r="U33" s="708" t="e">
        <f t="shared" si="13"/>
        <v>#N/A</v>
      </c>
      <c r="V33" s="707" t="s">
        <v>18</v>
      </c>
      <c r="W33" s="708" t="e">
        <f t="shared" si="14"/>
        <v>#N/A</v>
      </c>
      <c r="X33" s="709"/>
      <c r="Y33" s="3664"/>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5"/>
      <c r="M34" s="2709"/>
      <c r="N34" s="2709"/>
      <c r="O34" s="2709"/>
      <c r="P34" s="3662"/>
      <c r="Q34" s="1351" t="str">
        <f t="shared" si="11"/>
        <v>建筑结构</v>
      </c>
      <c r="R34" s="704" t="s">
        <v>18</v>
      </c>
      <c r="S34" s="705">
        <f t="shared" si="12"/>
        <v>100</v>
      </c>
      <c r="T34" s="704" t="s">
        <v>18</v>
      </c>
      <c r="U34" s="705">
        <f t="shared" si="13"/>
        <v>100</v>
      </c>
      <c r="V34" s="704" t="s">
        <v>18</v>
      </c>
      <c r="W34" s="705">
        <f t="shared" si="14"/>
        <v>100</v>
      </c>
      <c r="X34" s="1354"/>
      <c r="Y34" s="3664"/>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5"/>
      <c r="M35" s="2709"/>
      <c r="N35" s="2709"/>
      <c r="O35" s="2709"/>
      <c r="P35" s="3662"/>
      <c r="Q35" s="1351" t="str">
        <f t="shared" si="11"/>
        <v>建筑品质</v>
      </c>
      <c r="R35" s="704" t="s">
        <v>18</v>
      </c>
      <c r="S35" s="705">
        <f t="shared" si="12"/>
        <v>100</v>
      </c>
      <c r="T35" s="704" t="s">
        <v>18</v>
      </c>
      <c r="U35" s="705">
        <f t="shared" si="13"/>
        <v>100</v>
      </c>
      <c r="V35" s="704" t="s">
        <v>18</v>
      </c>
      <c r="W35" s="705">
        <f t="shared" si="14"/>
        <v>100</v>
      </c>
      <c r="X35" s="1354"/>
      <c r="Y35" s="3664"/>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5"/>
      <c r="M36" s="2709"/>
      <c r="N36" s="2709"/>
      <c r="O36" s="2709"/>
      <c r="P36" s="3662"/>
      <c r="Q36" s="1351" t="str">
        <f t="shared" si="11"/>
        <v>公共部分装修</v>
      </c>
      <c r="R36" s="704" t="s">
        <v>18</v>
      </c>
      <c r="S36" s="705">
        <f t="shared" si="12"/>
        <v>100</v>
      </c>
      <c r="T36" s="704" t="s">
        <v>18</v>
      </c>
      <c r="U36" s="705">
        <f t="shared" si="13"/>
        <v>100</v>
      </c>
      <c r="V36" s="704" t="s">
        <v>18</v>
      </c>
      <c r="W36" s="705">
        <f t="shared" si="14"/>
        <v>100</v>
      </c>
      <c r="X36" s="1354"/>
      <c r="Y36" s="3664"/>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62"/>
      <c r="Q37" s="1342" t="str">
        <f t="shared" si="11"/>
        <v>成新度</v>
      </c>
      <c r="R37" s="700" t="s">
        <v>18</v>
      </c>
      <c r="S37" s="701" t="e">
        <f t="shared" si="12"/>
        <v>#N/A</v>
      </c>
      <c r="T37" s="700" t="s">
        <v>18</v>
      </c>
      <c r="U37" s="701" t="e">
        <f t="shared" si="13"/>
        <v>#N/A</v>
      </c>
      <c r="V37" s="700" t="s">
        <v>18</v>
      </c>
      <c r="W37" s="701" t="e">
        <f t="shared" si="14"/>
        <v>#N/A</v>
      </c>
      <c r="X37" s="702"/>
      <c r="Y37" s="3664"/>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5"/>
      <c r="M38" s="2709"/>
      <c r="N38" s="2709"/>
      <c r="O38" s="2709"/>
      <c r="P38" s="3662" t="s">
        <v>1694</v>
      </c>
      <c r="Q38" s="1351" t="str">
        <f t="shared" si="11"/>
        <v>物业管理</v>
      </c>
      <c r="R38" s="704" t="s">
        <v>18</v>
      </c>
      <c r="S38" s="705">
        <f t="shared" si="12"/>
        <v>100</v>
      </c>
      <c r="T38" s="704" t="s">
        <v>18</v>
      </c>
      <c r="U38" s="705">
        <f t="shared" si="13"/>
        <v>100</v>
      </c>
      <c r="V38" s="704" t="s">
        <v>18</v>
      </c>
      <c r="W38" s="705">
        <f t="shared" si="14"/>
        <v>100</v>
      </c>
      <c r="X38" s="1354"/>
      <c r="Y38" s="3664"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5"/>
      <c r="M39" s="2709"/>
      <c r="N39" s="2709"/>
      <c r="O39" s="2709"/>
      <c r="P39" s="3662"/>
      <c r="Q39" s="1351" t="str">
        <f t="shared" si="11"/>
        <v>市政基础设施</v>
      </c>
      <c r="R39" s="704" t="s">
        <v>18</v>
      </c>
      <c r="S39" s="705">
        <f t="shared" si="12"/>
        <v>100</v>
      </c>
      <c r="T39" s="704" t="s">
        <v>18</v>
      </c>
      <c r="U39" s="705">
        <f t="shared" si="13"/>
        <v>100</v>
      </c>
      <c r="V39" s="704" t="s">
        <v>18</v>
      </c>
      <c r="W39" s="705">
        <f t="shared" si="14"/>
        <v>100</v>
      </c>
      <c r="X39" s="1354"/>
      <c r="Y39" s="3664"/>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5"/>
      <c r="M40" s="2709"/>
      <c r="N40" s="2709"/>
      <c r="O40" s="2709"/>
      <c r="P40" s="3662"/>
      <c r="Q40" s="1351" t="str">
        <f t="shared" si="11"/>
        <v>房型</v>
      </c>
      <c r="R40" s="704" t="s">
        <v>18</v>
      </c>
      <c r="S40" s="705">
        <f t="shared" si="12"/>
        <v>100</v>
      </c>
      <c r="T40" s="704" t="s">
        <v>18</v>
      </c>
      <c r="U40" s="705">
        <f t="shared" si="13"/>
        <v>100</v>
      </c>
      <c r="V40" s="704" t="s">
        <v>18</v>
      </c>
      <c r="W40" s="705">
        <f t="shared" si="14"/>
        <v>100</v>
      </c>
      <c r="X40" s="1354"/>
      <c r="Y40" s="3664"/>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4"/>
      <c r="M41" s="2716"/>
      <c r="N41" s="2716"/>
      <c r="O41" s="2716"/>
      <c r="P41" s="3662"/>
      <c r="Q41" s="706" t="str">
        <f t="shared" si="11"/>
        <v>单套/主力户型建筑面积</v>
      </c>
      <c r="R41" s="707" t="s">
        <v>18</v>
      </c>
      <c r="S41" s="708">
        <f t="shared" si="12"/>
        <v>100</v>
      </c>
      <c r="T41" s="707" t="s">
        <v>18</v>
      </c>
      <c r="U41" s="708">
        <f t="shared" si="13"/>
        <v>100</v>
      </c>
      <c r="V41" s="707" t="s">
        <v>18</v>
      </c>
      <c r="W41" s="708">
        <f t="shared" si="14"/>
        <v>100</v>
      </c>
      <c r="X41" s="709"/>
      <c r="Y41" s="3664"/>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5"/>
      <c r="M42" s="2709"/>
      <c r="N42" s="2709"/>
      <c r="O42" s="2709"/>
      <c r="P42" s="3662"/>
      <c r="Q42" s="1351" t="str">
        <f t="shared" si="11"/>
        <v>内部装修</v>
      </c>
      <c r="R42" s="704" t="s">
        <v>18</v>
      </c>
      <c r="S42" s="705">
        <f t="shared" si="12"/>
        <v>100</v>
      </c>
      <c r="T42" s="704" t="s">
        <v>18</v>
      </c>
      <c r="U42" s="705">
        <f t="shared" si="13"/>
        <v>100</v>
      </c>
      <c r="V42" s="704" t="s">
        <v>18</v>
      </c>
      <c r="W42" s="705">
        <f t="shared" si="14"/>
        <v>100</v>
      </c>
      <c r="X42" s="1354"/>
      <c r="Y42" s="3664"/>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5"/>
      <c r="M43" s="2709"/>
      <c r="N43" s="2709"/>
      <c r="O43" s="2709"/>
      <c r="P43" s="3662"/>
      <c r="Q43" s="1351" t="str">
        <f t="shared" si="11"/>
        <v>内部装修维护情况</v>
      </c>
      <c r="R43" s="704" t="s">
        <v>18</v>
      </c>
      <c r="S43" s="705">
        <f t="shared" si="12"/>
        <v>100</v>
      </c>
      <c r="T43" s="704" t="s">
        <v>18</v>
      </c>
      <c r="U43" s="705">
        <f t="shared" si="13"/>
        <v>100</v>
      </c>
      <c r="V43" s="704" t="s">
        <v>18</v>
      </c>
      <c r="W43" s="705">
        <f t="shared" si="14"/>
        <v>100</v>
      </c>
      <c r="X43" s="1354"/>
      <c r="Y43" s="366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0"/>
      <c r="M44" s="2711"/>
      <c r="N44" s="2711"/>
      <c r="O44" s="2711"/>
      <c r="P44" s="3662"/>
      <c r="Q44" s="1342">
        <f t="shared" si="11"/>
        <v>111</v>
      </c>
      <c r="R44" s="700" t="s">
        <v>18</v>
      </c>
      <c r="S44" s="701">
        <f t="shared" si="12"/>
        <v>100</v>
      </c>
      <c r="T44" s="700" t="s">
        <v>18</v>
      </c>
      <c r="U44" s="701">
        <f t="shared" si="13"/>
        <v>100</v>
      </c>
      <c r="V44" s="700" t="s">
        <v>18</v>
      </c>
      <c r="W44" s="701">
        <f t="shared" si="14"/>
        <v>100</v>
      </c>
      <c r="X44" s="702"/>
      <c r="Y44" s="366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5"/>
      <c r="M45" s="2709"/>
      <c r="N45" s="2709"/>
      <c r="O45" s="2709"/>
      <c r="P45" s="3662"/>
      <c r="Q45" s="1351">
        <f t="shared" si="11"/>
        <v>111</v>
      </c>
      <c r="R45" s="704" t="s">
        <v>18</v>
      </c>
      <c r="S45" s="705">
        <f t="shared" si="12"/>
        <v>100</v>
      </c>
      <c r="T45" s="704" t="s">
        <v>18</v>
      </c>
      <c r="U45" s="705">
        <f t="shared" si="13"/>
        <v>100</v>
      </c>
      <c r="V45" s="704" t="s">
        <v>18</v>
      </c>
      <c r="W45" s="705">
        <f t="shared" si="14"/>
        <v>100</v>
      </c>
      <c r="X45" s="1354"/>
      <c r="Y45" s="366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5"/>
      <c r="M46" s="2709"/>
      <c r="N46" s="2709"/>
      <c r="O46" s="2709"/>
      <c r="P46" s="3663"/>
      <c r="Q46" s="1351">
        <f t="shared" si="11"/>
        <v>111</v>
      </c>
      <c r="R46" s="704" t="s">
        <v>17</v>
      </c>
      <c r="S46" s="705">
        <f t="shared" si="12"/>
        <v>100</v>
      </c>
      <c r="T46" s="704" t="s">
        <v>17</v>
      </c>
      <c r="U46" s="705">
        <f t="shared" si="13"/>
        <v>100</v>
      </c>
      <c r="V46" s="704" t="s">
        <v>17</v>
      </c>
      <c r="W46" s="705">
        <f t="shared" si="14"/>
        <v>100</v>
      </c>
      <c r="X46" s="1354"/>
      <c r="Y46" s="3665"/>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17"/>
      <c r="M47" s="2718"/>
      <c r="N47" s="2709"/>
      <c r="O47" s="2718"/>
      <c r="P47" s="3652" t="str">
        <f>A47</f>
        <v>成交单价（元/平方米）</v>
      </c>
      <c r="Q47" s="3652"/>
      <c r="R47" s="3653">
        <f>E47</f>
        <v>0</v>
      </c>
      <c r="S47" s="3653"/>
      <c r="T47" s="3653">
        <f>G47</f>
        <v>0</v>
      </c>
      <c r="U47" s="3653"/>
      <c r="V47" s="3653">
        <f>I47</f>
        <v>0</v>
      </c>
      <c r="W47" s="3653"/>
      <c r="X47" s="689"/>
      <c r="Y47" s="711"/>
      <c r="Z47" s="689"/>
      <c r="AA47" s="689"/>
      <c r="AB47" s="689"/>
      <c r="AC47" s="689"/>
    </row>
    <row r="48" spans="1:29" ht="15.75" thickBot="1">
      <c r="A48" s="437" t="s">
        <v>1707</v>
      </c>
      <c r="B48" s="438"/>
      <c r="C48" s="1159" t="e">
        <f>R49</f>
        <v>#DIV/0!</v>
      </c>
      <c r="D48" s="2316" t="s">
        <v>2136</v>
      </c>
      <c r="E48" s="1160" t="e">
        <f>R48</f>
        <v>#DIV/0!</v>
      </c>
      <c r="F48" s="2317"/>
      <c r="G48" s="1159" t="e">
        <f>T48</f>
        <v>#DIV/0!</v>
      </c>
      <c r="H48" s="2317"/>
      <c r="I48" s="1160" t="e">
        <f>V48</f>
        <v>#DIV/0!</v>
      </c>
      <c r="J48" s="2317"/>
      <c r="K48" s="2318">
        <f>F48+H48+J48</f>
        <v>0</v>
      </c>
      <c r="L48" s="2717"/>
      <c r="M48" s="2718"/>
      <c r="N48" s="2718"/>
      <c r="O48" s="2718"/>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17"/>
      <c r="M49" s="2718"/>
      <c r="N49" s="2718"/>
      <c r="O49" s="2718"/>
      <c r="P49" s="3654" t="str">
        <f>A49</f>
        <v>估价对象XX用房的比较价值（楼面单价，元/平方米）</v>
      </c>
      <c r="Q49" s="3655"/>
      <c r="R49" s="3656" t="e">
        <f>IF(F1="售价",ROUND(IF(D48="简单平均",AVERAGE(R48:V48),R48*F48+T48*H48+V48*J48),0),ROUND(IF(D48="简单平均",AVERAGE(R48:V48),R48*F48+T48*H48+V48*J48),1))</f>
        <v>#DIV/0!</v>
      </c>
      <c r="S49" s="3656"/>
      <c r="T49" s="3656"/>
      <c r="U49" s="3656"/>
      <c r="V49" s="3656"/>
      <c r="W49" s="3656"/>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6"/>
    </row>
    <row r="55" spans="1:29" s="451" customFormat="1">
      <c r="A55" s="2721"/>
      <c r="B55" s="2724"/>
      <c r="C55" s="2725"/>
      <c r="D55" s="2721"/>
      <c r="E55" s="2721"/>
      <c r="F55" s="2721"/>
      <c r="G55" s="2721"/>
      <c r="H55" s="2721"/>
      <c r="I55" s="2721"/>
      <c r="J55" s="2721"/>
      <c r="K55" s="2726"/>
      <c r="L55" s="2720"/>
      <c r="M55" s="2721"/>
      <c r="N55" s="2721"/>
      <c r="O55" s="2721"/>
      <c r="P55" s="1916"/>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O112" activeCellId="1" sqref="B65:H66 O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499.53</v>
      </c>
      <c r="E3" s="1953"/>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671" t="s">
        <v>1768</v>
      </c>
      <c r="D4" s="3672"/>
      <c r="E4" s="3673" t="s">
        <v>1769</v>
      </c>
      <c r="F4" s="3674"/>
      <c r="G4" s="3671" t="s">
        <v>1770</v>
      </c>
      <c r="H4" s="3672"/>
      <c r="I4" s="3671" t="s">
        <v>1771</v>
      </c>
      <c r="J4" s="3672"/>
      <c r="K4" s="559" t="s">
        <v>1772</v>
      </c>
      <c r="L4" s="2708"/>
      <c r="M4" s="2709"/>
      <c r="N4" s="2709"/>
      <c r="O4" s="2709"/>
      <c r="P4" s="3726" t="s">
        <v>1773</v>
      </c>
      <c r="Q4" s="3727"/>
      <c r="R4" s="3730" t="s">
        <v>1769</v>
      </c>
      <c r="S4" s="3731"/>
      <c r="T4" s="3730" t="s">
        <v>1770</v>
      </c>
      <c r="U4" s="3731"/>
      <c r="V4" s="3732" t="s">
        <v>1771</v>
      </c>
      <c r="W4" s="3732"/>
      <c r="X4" s="1957"/>
      <c r="Y4" s="3730" t="s">
        <v>1773</v>
      </c>
      <c r="Z4" s="3731"/>
      <c r="AA4" s="3734" t="s">
        <v>1769</v>
      </c>
      <c r="AB4" s="3734" t="s">
        <v>1770</v>
      </c>
      <c r="AC4" s="3723" t="s">
        <v>1771</v>
      </c>
    </row>
    <row r="5" spans="1:29" ht="15">
      <c r="A5" s="358"/>
      <c r="B5" s="359"/>
      <c r="C5" s="3689" t="s">
        <v>1671</v>
      </c>
      <c r="D5" s="3690"/>
      <c r="E5" s="3697" t="s">
        <v>1672</v>
      </c>
      <c r="F5" s="3698"/>
      <c r="G5" s="3689" t="s">
        <v>1673</v>
      </c>
      <c r="H5" s="3690"/>
      <c r="I5" s="3689" t="s">
        <v>1674</v>
      </c>
      <c r="J5" s="3690"/>
      <c r="K5" s="559"/>
      <c r="L5" s="2708"/>
      <c r="M5" s="2709"/>
      <c r="N5" s="2709"/>
      <c r="O5" s="2709"/>
      <c r="P5" s="3728"/>
      <c r="Q5" s="3678"/>
      <c r="R5" s="3683"/>
      <c r="S5" s="3684"/>
      <c r="T5" s="3683"/>
      <c r="U5" s="3684"/>
      <c r="V5" s="3666"/>
      <c r="W5" s="3666"/>
      <c r="X5" s="1354"/>
      <c r="Y5" s="3683"/>
      <c r="Z5" s="3684"/>
      <c r="AA5" s="3669"/>
      <c r="AB5" s="3669"/>
      <c r="AC5" s="3724"/>
    </row>
    <row r="6" spans="1:29" ht="15.75" thickBot="1">
      <c r="A6" s="360"/>
      <c r="B6" s="361"/>
      <c r="C6" s="3687" t="s">
        <v>1675</v>
      </c>
      <c r="D6" s="3688"/>
      <c r="E6" s="3695" t="s">
        <v>1675</v>
      </c>
      <c r="F6" s="3696"/>
      <c r="G6" s="3687" t="s">
        <v>1675</v>
      </c>
      <c r="H6" s="3688"/>
      <c r="I6" s="3687" t="s">
        <v>1675</v>
      </c>
      <c r="J6" s="3688"/>
      <c r="K6" s="559" t="s">
        <v>1676</v>
      </c>
      <c r="L6" s="2708"/>
      <c r="M6" s="2709"/>
      <c r="N6" s="2709"/>
      <c r="O6" s="2709"/>
      <c r="P6" s="3729"/>
      <c r="Q6" s="3680"/>
      <c r="R6" s="3683"/>
      <c r="S6" s="3684"/>
      <c r="T6" s="3685"/>
      <c r="U6" s="3686"/>
      <c r="V6" s="3666"/>
      <c r="W6" s="3666"/>
      <c r="X6" s="1354"/>
      <c r="Y6" s="3685"/>
      <c r="Z6" s="3686"/>
      <c r="AA6" s="3670"/>
      <c r="AB6" s="3670"/>
      <c r="AC6" s="3725"/>
    </row>
    <row r="7" spans="1:29" s="108" customFormat="1" ht="15.75" thickBot="1">
      <c r="A7" s="362" t="s">
        <v>1677</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33" t="s">
        <v>1678</v>
      </c>
      <c r="Q7" s="3693"/>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33" t="s">
        <v>1681</v>
      </c>
      <c r="Q8" s="3692"/>
      <c r="R8" s="700" t="s">
        <v>14</v>
      </c>
      <c r="S8" s="701">
        <f t="shared" si="0"/>
        <v>100</v>
      </c>
      <c r="T8" s="700" t="s">
        <v>14</v>
      </c>
      <c r="U8" s="701">
        <f t="shared" si="1"/>
        <v>100</v>
      </c>
      <c r="V8" s="700" t="s">
        <v>14</v>
      </c>
      <c r="W8" s="701">
        <f t="shared" si="2"/>
        <v>100</v>
      </c>
      <c r="X8" s="702"/>
      <c r="Y8" s="3691" t="s">
        <v>1681</v>
      </c>
      <c r="Z8" s="3692"/>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667"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1958">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67"/>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67"/>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0"/>
      <c r="M12" s="2711"/>
      <c r="N12" s="2711"/>
      <c r="O12" s="2711"/>
      <c r="P12" s="3667"/>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5"/>
      <c r="M13" s="2709"/>
      <c r="N13" s="2709"/>
      <c r="O13" s="2709"/>
      <c r="P13" s="3667"/>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15"/>
      <c r="M14" s="2709"/>
      <c r="N14" s="2709"/>
      <c r="O14" s="2709"/>
      <c r="P14" s="3667"/>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1958">
        <f t="shared" si="5"/>
        <v>1</v>
      </c>
    </row>
    <row r="15" spans="1:29" ht="15">
      <c r="A15" s="391" t="s">
        <v>1688</v>
      </c>
      <c r="B15" s="576" t="s">
        <v>1809</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657" t="s">
        <v>1689</v>
      </c>
      <c r="Q15" s="1351" t="str">
        <f t="shared" si="6"/>
        <v>办公集聚程度</v>
      </c>
      <c r="R15" s="704" t="s">
        <v>14</v>
      </c>
      <c r="S15" s="705">
        <f t="shared" si="0"/>
        <v>100</v>
      </c>
      <c r="T15" s="704" t="s">
        <v>14</v>
      </c>
      <c r="U15" s="705">
        <f t="shared" si="1"/>
        <v>100</v>
      </c>
      <c r="V15" s="704" t="s">
        <v>14</v>
      </c>
      <c r="W15" s="705">
        <f t="shared" si="2"/>
        <v>100</v>
      </c>
      <c r="X15" s="1354"/>
      <c r="Y15" s="3659"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15"/>
      <c r="M16" s="2709"/>
      <c r="N16" s="2709"/>
      <c r="O16" s="2709"/>
      <c r="P16" s="3658"/>
      <c r="Q16" s="1351"/>
      <c r="R16" s="704"/>
      <c r="S16" s="705"/>
      <c r="T16" s="704"/>
      <c r="U16" s="705"/>
      <c r="V16" s="704"/>
      <c r="W16" s="705"/>
      <c r="X16" s="1354"/>
      <c r="Y16" s="3660"/>
      <c r="Z16" s="1355"/>
      <c r="AA16" s="1352">
        <v>1</v>
      </c>
      <c r="AB16" s="1352">
        <v>1</v>
      </c>
      <c r="AC16" s="1961">
        <v>1</v>
      </c>
    </row>
    <row r="17" spans="1:29" ht="15">
      <c r="A17" s="379"/>
      <c r="B17" s="578"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658"/>
      <c r="Q17" s="1351" t="str">
        <f>B17</f>
        <v>交通便捷度</v>
      </c>
      <c r="R17" s="704" t="s">
        <v>14</v>
      </c>
      <c r="S17" s="705">
        <f>F17</f>
        <v>100</v>
      </c>
      <c r="T17" s="704" t="s">
        <v>14</v>
      </c>
      <c r="U17" s="705">
        <f>H17</f>
        <v>100</v>
      </c>
      <c r="V17" s="704" t="s">
        <v>14</v>
      </c>
      <c r="W17" s="705">
        <f>J17</f>
        <v>100</v>
      </c>
      <c r="X17" s="1354"/>
      <c r="Y17" s="366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15"/>
      <c r="M18" s="2709"/>
      <c r="N18" s="2709"/>
      <c r="O18" s="2709"/>
      <c r="P18" s="3658"/>
      <c r="Q18" s="1351"/>
      <c r="R18" s="704"/>
      <c r="S18" s="705"/>
      <c r="T18" s="704"/>
      <c r="U18" s="705"/>
      <c r="V18" s="704"/>
      <c r="W18" s="705"/>
      <c r="X18" s="1354"/>
      <c r="Y18" s="3660"/>
      <c r="Z18" s="1355"/>
      <c r="AA18" s="1352">
        <v>1</v>
      </c>
      <c r="AB18" s="1352">
        <v>1</v>
      </c>
      <c r="AC18" s="1961">
        <v>1</v>
      </c>
    </row>
    <row r="19" spans="1:29" ht="15">
      <c r="A19" s="379"/>
      <c r="B19" s="578"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658"/>
      <c r="Q19" s="1351" t="str">
        <f>B19</f>
        <v>公共配套设施</v>
      </c>
      <c r="R19" s="704" t="s">
        <v>14</v>
      </c>
      <c r="S19" s="705">
        <f>F19</f>
        <v>100</v>
      </c>
      <c r="T19" s="704" t="s">
        <v>14</v>
      </c>
      <c r="U19" s="705">
        <f>H19</f>
        <v>100</v>
      </c>
      <c r="V19" s="704" t="s">
        <v>14</v>
      </c>
      <c r="W19" s="705">
        <f>J19</f>
        <v>100</v>
      </c>
      <c r="X19" s="1354"/>
      <c r="Y19" s="366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15"/>
      <c r="M20" s="2709"/>
      <c r="N20" s="2709"/>
      <c r="O20" s="2709"/>
      <c r="P20" s="3658"/>
      <c r="Q20" s="1351"/>
      <c r="R20" s="704"/>
      <c r="S20" s="705"/>
      <c r="T20" s="704"/>
      <c r="U20" s="705"/>
      <c r="V20" s="704"/>
      <c r="W20" s="705"/>
      <c r="X20" s="1354"/>
      <c r="Y20" s="3660"/>
      <c r="Z20" s="1355"/>
      <c r="AA20" s="1352">
        <v>1</v>
      </c>
      <c r="AB20" s="1352">
        <v>1</v>
      </c>
      <c r="AC20" s="1961">
        <v>1</v>
      </c>
    </row>
    <row r="21" spans="1:29" ht="15">
      <c r="A21" s="379"/>
      <c r="B21" s="580"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658"/>
      <c r="Q21" s="1351" t="str">
        <f>B21</f>
        <v>基础设施水平</v>
      </c>
      <c r="R21" s="704" t="s">
        <v>14</v>
      </c>
      <c r="S21" s="705">
        <f>F21</f>
        <v>100</v>
      </c>
      <c r="T21" s="704" t="s">
        <v>14</v>
      </c>
      <c r="U21" s="705">
        <f>H21</f>
        <v>100</v>
      </c>
      <c r="V21" s="704" t="s">
        <v>14</v>
      </c>
      <c r="W21" s="705">
        <f>J21</f>
        <v>100</v>
      </c>
      <c r="X21" s="1354"/>
      <c r="Y21" s="366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15"/>
      <c r="M22" s="2709"/>
      <c r="N22" s="2709"/>
      <c r="O22" s="2709"/>
      <c r="P22" s="3658"/>
      <c r="Q22" s="1351"/>
      <c r="R22" s="704"/>
      <c r="S22" s="705"/>
      <c r="T22" s="704"/>
      <c r="U22" s="705"/>
      <c r="V22" s="704"/>
      <c r="W22" s="705"/>
      <c r="X22" s="1354"/>
      <c r="Y22" s="3660"/>
      <c r="Z22" s="1355"/>
      <c r="AA22" s="1352">
        <v>1</v>
      </c>
      <c r="AB22" s="1352">
        <v>1</v>
      </c>
      <c r="AC22" s="1961">
        <v>1</v>
      </c>
    </row>
    <row r="23" spans="1:29" ht="15">
      <c r="A23" s="379"/>
      <c r="B23" s="578" t="s">
        <v>1812</v>
      </c>
      <c r="C23" s="1962"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658"/>
      <c r="Q23" s="1351" t="str">
        <f>B23</f>
        <v>环境质量</v>
      </c>
      <c r="R23" s="704" t="s">
        <v>14</v>
      </c>
      <c r="S23" s="705">
        <f>F23</f>
        <v>100</v>
      </c>
      <c r="T23" s="704" t="s">
        <v>14</v>
      </c>
      <c r="U23" s="705">
        <f>H23</f>
        <v>100</v>
      </c>
      <c r="V23" s="704" t="s">
        <v>14</v>
      </c>
      <c r="W23" s="705">
        <f>J23</f>
        <v>100</v>
      </c>
      <c r="X23" s="1354"/>
      <c r="Y23" s="366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15"/>
      <c r="M24" s="2709"/>
      <c r="N24" s="2709"/>
      <c r="O24" s="2709"/>
      <c r="P24" s="3658"/>
      <c r="Q24" s="1351"/>
      <c r="R24" s="704"/>
      <c r="S24" s="705"/>
      <c r="T24" s="704"/>
      <c r="U24" s="705"/>
      <c r="V24" s="704"/>
      <c r="W24" s="705"/>
      <c r="X24" s="1354"/>
      <c r="Y24" s="3660"/>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5"/>
      <c r="M25" s="2709"/>
      <c r="N25" s="2709"/>
      <c r="O25" s="2709"/>
      <c r="P25" s="3658"/>
      <c r="Q25" s="1351" t="str">
        <f>B25</f>
        <v>毗邻道路的类型与等级</v>
      </c>
      <c r="R25" s="704" t="s">
        <v>14</v>
      </c>
      <c r="S25" s="705">
        <f>F25</f>
        <v>100</v>
      </c>
      <c r="T25" s="704" t="s">
        <v>14</v>
      </c>
      <c r="U25" s="705">
        <f>H25</f>
        <v>100</v>
      </c>
      <c r="V25" s="704" t="s">
        <v>14</v>
      </c>
      <c r="W25" s="705">
        <f>J25</f>
        <v>100</v>
      </c>
      <c r="X25" s="1354"/>
      <c r="Y25" s="366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15"/>
      <c r="M26" s="2709"/>
      <c r="N26" s="2709"/>
      <c r="O26" s="2709"/>
      <c r="P26" s="3658"/>
      <c r="Q26" s="1351"/>
      <c r="R26" s="704"/>
      <c r="S26" s="705"/>
      <c r="T26" s="704"/>
      <c r="U26" s="705"/>
      <c r="V26" s="704"/>
      <c r="W26" s="705"/>
      <c r="X26" s="1354"/>
      <c r="Y26" s="3660"/>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658"/>
      <c r="Q27" s="1351" t="str">
        <f t="shared" ref="Q27:Q47" si="11">B27</f>
        <v>楼层</v>
      </c>
      <c r="R27" s="704" t="s">
        <v>14</v>
      </c>
      <c r="S27" s="705">
        <f>F27</f>
        <v>100</v>
      </c>
      <c r="T27" s="704" t="s">
        <v>14</v>
      </c>
      <c r="U27" s="705">
        <f>H27</f>
        <v>100</v>
      </c>
      <c r="V27" s="704" t="s">
        <v>14</v>
      </c>
      <c r="W27" s="705">
        <f>J27</f>
        <v>100</v>
      </c>
      <c r="X27" s="1354"/>
      <c r="Y27" s="3660"/>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0"/>
      <c r="M28" s="2711"/>
      <c r="N28" s="2711"/>
      <c r="O28" s="2711"/>
      <c r="P28" s="3658"/>
      <c r="Q28" s="1342" t="str">
        <f t="shared" si="11"/>
        <v>朝向</v>
      </c>
      <c r="R28" s="700" t="s">
        <v>14</v>
      </c>
      <c r="S28" s="701">
        <f>F28</f>
        <v>100</v>
      </c>
      <c r="T28" s="700" t="s">
        <v>14</v>
      </c>
      <c r="U28" s="701">
        <f>H28</f>
        <v>100</v>
      </c>
      <c r="V28" s="700" t="s">
        <v>14</v>
      </c>
      <c r="W28" s="701">
        <f>J28</f>
        <v>100</v>
      </c>
      <c r="X28" s="702"/>
      <c r="Y28" s="366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5"/>
      <c r="M29" s="2709"/>
      <c r="N29" s="2709"/>
      <c r="O29" s="2709"/>
      <c r="P29" s="3658"/>
      <c r="Q29" s="1351">
        <f t="shared" si="11"/>
        <v>111</v>
      </c>
      <c r="R29" s="704" t="s">
        <v>14</v>
      </c>
      <c r="S29" s="705">
        <f t="shared" ref="S29:S47" si="12">F29</f>
        <v>100</v>
      </c>
      <c r="T29" s="704" t="s">
        <v>14</v>
      </c>
      <c r="U29" s="705">
        <f t="shared" ref="U29:U47" si="13">H29</f>
        <v>100</v>
      </c>
      <c r="V29" s="704" t="s">
        <v>14</v>
      </c>
      <c r="W29" s="705">
        <f t="shared" ref="W29:W47" si="14">J29</f>
        <v>100</v>
      </c>
      <c r="X29" s="1354"/>
      <c r="Y29" s="366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5"/>
      <c r="M30" s="2709"/>
      <c r="N30" s="2709"/>
      <c r="O30" s="2709"/>
      <c r="P30" s="3658"/>
      <c r="Q30" s="1351">
        <f t="shared" si="11"/>
        <v>111</v>
      </c>
      <c r="R30" s="704" t="s">
        <v>14</v>
      </c>
      <c r="S30" s="705">
        <f t="shared" si="12"/>
        <v>100</v>
      </c>
      <c r="T30" s="704" t="s">
        <v>14</v>
      </c>
      <c r="U30" s="705">
        <f t="shared" si="13"/>
        <v>100</v>
      </c>
      <c r="V30" s="704" t="s">
        <v>14</v>
      </c>
      <c r="W30" s="705">
        <f t="shared" si="14"/>
        <v>100</v>
      </c>
      <c r="X30" s="1354"/>
      <c r="Y30" s="366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5"/>
      <c r="M31" s="2709"/>
      <c r="N31" s="2709"/>
      <c r="O31" s="2709"/>
      <c r="P31" s="3658"/>
      <c r="Q31" s="1351">
        <f t="shared" si="11"/>
        <v>111</v>
      </c>
      <c r="R31" s="704" t="s">
        <v>14</v>
      </c>
      <c r="S31" s="705">
        <f t="shared" si="12"/>
        <v>100</v>
      </c>
      <c r="T31" s="704" t="s">
        <v>14</v>
      </c>
      <c r="U31" s="705">
        <f t="shared" si="13"/>
        <v>100</v>
      </c>
      <c r="V31" s="704" t="s">
        <v>14</v>
      </c>
      <c r="W31" s="705">
        <f t="shared" si="14"/>
        <v>100</v>
      </c>
      <c r="X31" s="1354"/>
      <c r="Y31" s="366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15"/>
      <c r="M32" s="2709"/>
      <c r="N32" s="2709"/>
      <c r="O32" s="2709"/>
      <c r="P32" s="3658"/>
      <c r="Q32" s="1351">
        <f t="shared" si="11"/>
        <v>111</v>
      </c>
      <c r="R32" s="704" t="s">
        <v>14</v>
      </c>
      <c r="S32" s="705">
        <f t="shared" si="12"/>
        <v>100</v>
      </c>
      <c r="T32" s="704" t="s">
        <v>14</v>
      </c>
      <c r="U32" s="705">
        <f t="shared" si="13"/>
        <v>100</v>
      </c>
      <c r="V32" s="704" t="s">
        <v>14</v>
      </c>
      <c r="W32" s="705">
        <f t="shared" si="14"/>
        <v>100</v>
      </c>
      <c r="X32" s="1354"/>
      <c r="Y32" s="3660"/>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5"/>
      <c r="M33" s="2709"/>
      <c r="N33" s="2709"/>
      <c r="O33" s="2709"/>
      <c r="P33" s="3661" t="s">
        <v>1694</v>
      </c>
      <c r="Q33" s="1351" t="str">
        <f t="shared" si="11"/>
        <v>建筑类型</v>
      </c>
      <c r="R33" s="704" t="s">
        <v>14</v>
      </c>
      <c r="S33" s="705">
        <f t="shared" si="12"/>
        <v>100</v>
      </c>
      <c r="T33" s="704" t="s">
        <v>14</v>
      </c>
      <c r="U33" s="705">
        <f t="shared" si="13"/>
        <v>100</v>
      </c>
      <c r="V33" s="704" t="s">
        <v>14</v>
      </c>
      <c r="W33" s="705">
        <f t="shared" si="14"/>
        <v>100</v>
      </c>
      <c r="X33" s="1354"/>
      <c r="Y33" s="3664"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662"/>
      <c r="Q34" s="706" t="str">
        <f t="shared" si="11"/>
        <v>项目建筑规模</v>
      </c>
      <c r="R34" s="707" t="s">
        <v>14</v>
      </c>
      <c r="S34" s="708" t="e">
        <f t="shared" si="12"/>
        <v>#N/A</v>
      </c>
      <c r="T34" s="707" t="s">
        <v>14</v>
      </c>
      <c r="U34" s="708" t="e">
        <f t="shared" si="13"/>
        <v>#N/A</v>
      </c>
      <c r="V34" s="707" t="s">
        <v>14</v>
      </c>
      <c r="W34" s="708" t="e">
        <f t="shared" si="14"/>
        <v>#N/A</v>
      </c>
      <c r="X34" s="709"/>
      <c r="Y34" s="3664"/>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662"/>
      <c r="Q35" s="1351" t="str">
        <f t="shared" si="11"/>
        <v>建筑结构</v>
      </c>
      <c r="R35" s="704" t="s">
        <v>14</v>
      </c>
      <c r="S35" s="705">
        <f t="shared" si="12"/>
        <v>100</v>
      </c>
      <c r="T35" s="704" t="s">
        <v>14</v>
      </c>
      <c r="U35" s="705">
        <f t="shared" si="13"/>
        <v>100</v>
      </c>
      <c r="V35" s="704" t="s">
        <v>14</v>
      </c>
      <c r="W35" s="705">
        <f t="shared" si="14"/>
        <v>100</v>
      </c>
      <c r="X35" s="1354"/>
      <c r="Y35" s="3664"/>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662"/>
      <c r="Q36" s="1351" t="str">
        <f t="shared" si="11"/>
        <v>公共部分装修</v>
      </c>
      <c r="R36" s="704" t="s">
        <v>14</v>
      </c>
      <c r="S36" s="705">
        <f t="shared" si="12"/>
        <v>100</v>
      </c>
      <c r="T36" s="704" t="s">
        <v>14</v>
      </c>
      <c r="U36" s="705">
        <f t="shared" si="13"/>
        <v>100</v>
      </c>
      <c r="V36" s="704" t="s">
        <v>14</v>
      </c>
      <c r="W36" s="705">
        <f t="shared" si="14"/>
        <v>100</v>
      </c>
      <c r="X36" s="1354"/>
      <c r="Y36" s="3664"/>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662"/>
      <c r="Q37" s="1351" t="str">
        <f t="shared" si="11"/>
        <v>成新度</v>
      </c>
      <c r="R37" s="704" t="s">
        <v>14</v>
      </c>
      <c r="S37" s="705" t="e">
        <f t="shared" si="12"/>
        <v>#N/A</v>
      </c>
      <c r="T37" s="704" t="s">
        <v>14</v>
      </c>
      <c r="U37" s="705" t="e">
        <f t="shared" si="13"/>
        <v>#N/A</v>
      </c>
      <c r="V37" s="704" t="s">
        <v>14</v>
      </c>
      <c r="W37" s="705" t="e">
        <f t="shared" si="14"/>
        <v>#N/A</v>
      </c>
      <c r="X37" s="1354"/>
      <c r="Y37" s="3664"/>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62"/>
      <c r="Q38" s="1342" t="str">
        <f t="shared" si="11"/>
        <v>写字楼等级</v>
      </c>
      <c r="R38" s="700" t="s">
        <v>14</v>
      </c>
      <c r="S38" s="701">
        <f t="shared" si="12"/>
        <v>100</v>
      </c>
      <c r="T38" s="700" t="s">
        <v>14</v>
      </c>
      <c r="U38" s="701">
        <f t="shared" si="13"/>
        <v>100</v>
      </c>
      <c r="V38" s="700" t="s">
        <v>14</v>
      </c>
      <c r="W38" s="701">
        <f t="shared" si="14"/>
        <v>100</v>
      </c>
      <c r="X38" s="702"/>
      <c r="Y38" s="3664"/>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662" t="s">
        <v>1694</v>
      </c>
      <c r="Q39" s="1351" t="str">
        <f t="shared" si="11"/>
        <v>物业管理</v>
      </c>
      <c r="R39" s="704" t="s">
        <v>14</v>
      </c>
      <c r="S39" s="705">
        <f t="shared" si="12"/>
        <v>100</v>
      </c>
      <c r="T39" s="704" t="s">
        <v>14</v>
      </c>
      <c r="U39" s="705">
        <f t="shared" si="13"/>
        <v>100</v>
      </c>
      <c r="V39" s="704" t="s">
        <v>14</v>
      </c>
      <c r="W39" s="705">
        <f t="shared" si="14"/>
        <v>100</v>
      </c>
      <c r="X39" s="1354"/>
      <c r="Y39" s="3664"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662"/>
      <c r="Q40" s="1351" t="str">
        <f t="shared" si="11"/>
        <v>市政基础设施</v>
      </c>
      <c r="R40" s="704" t="s">
        <v>14</v>
      </c>
      <c r="S40" s="705">
        <f t="shared" si="12"/>
        <v>100</v>
      </c>
      <c r="T40" s="704" t="s">
        <v>14</v>
      </c>
      <c r="U40" s="705">
        <f t="shared" si="13"/>
        <v>100</v>
      </c>
      <c r="V40" s="704" t="s">
        <v>14</v>
      </c>
      <c r="W40" s="705">
        <f t="shared" si="14"/>
        <v>100</v>
      </c>
      <c r="X40" s="1354"/>
      <c r="Y40" s="3664"/>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2"/>
      <c r="Q41" s="1351" t="str">
        <f t="shared" si="11"/>
        <v>层高</v>
      </c>
      <c r="R41" s="704" t="s">
        <v>14</v>
      </c>
      <c r="S41" s="705">
        <f t="shared" si="12"/>
        <v>100</v>
      </c>
      <c r="T41" s="704" t="s">
        <v>14</v>
      </c>
      <c r="U41" s="705">
        <f t="shared" si="13"/>
        <v>100</v>
      </c>
      <c r="V41" s="704" t="s">
        <v>14</v>
      </c>
      <c r="W41" s="705">
        <f t="shared" si="14"/>
        <v>100</v>
      </c>
      <c r="X41" s="1354"/>
      <c r="Y41" s="3664"/>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2"/>
      <c r="Q42" s="706" t="str">
        <f t="shared" si="11"/>
        <v>单套建筑面积</v>
      </c>
      <c r="R42" s="707" t="s">
        <v>14</v>
      </c>
      <c r="S42" s="708">
        <f t="shared" si="12"/>
        <v>100</v>
      </c>
      <c r="T42" s="707" t="s">
        <v>14</v>
      </c>
      <c r="U42" s="708">
        <f t="shared" si="13"/>
        <v>100</v>
      </c>
      <c r="V42" s="707" t="s">
        <v>14</v>
      </c>
      <c r="W42" s="708">
        <f t="shared" si="14"/>
        <v>100</v>
      </c>
      <c r="X42" s="709"/>
      <c r="Y42" s="3664"/>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662"/>
      <c r="Q43" s="1351" t="str">
        <f t="shared" si="11"/>
        <v>内部装修</v>
      </c>
      <c r="R43" s="704" t="s">
        <v>14</v>
      </c>
      <c r="S43" s="705">
        <f t="shared" si="12"/>
        <v>100</v>
      </c>
      <c r="T43" s="704" t="s">
        <v>14</v>
      </c>
      <c r="U43" s="705">
        <f t="shared" si="13"/>
        <v>100</v>
      </c>
      <c r="V43" s="704" t="s">
        <v>14</v>
      </c>
      <c r="W43" s="705">
        <f t="shared" si="14"/>
        <v>100</v>
      </c>
      <c r="X43" s="1354"/>
      <c r="Y43" s="3664"/>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5"/>
      <c r="M44" s="2709"/>
      <c r="N44" s="2709"/>
      <c r="O44" s="2709"/>
      <c r="P44" s="3662"/>
      <c r="Q44" s="1351" t="str">
        <f t="shared" si="11"/>
        <v>内部装修维护情况</v>
      </c>
      <c r="R44" s="704" t="s">
        <v>14</v>
      </c>
      <c r="S44" s="705">
        <f t="shared" si="12"/>
        <v>100</v>
      </c>
      <c r="T44" s="704" t="s">
        <v>14</v>
      </c>
      <c r="U44" s="705">
        <f t="shared" si="13"/>
        <v>100</v>
      </c>
      <c r="V44" s="704" t="s">
        <v>14</v>
      </c>
      <c r="W44" s="705">
        <f t="shared" si="14"/>
        <v>100</v>
      </c>
      <c r="X44" s="1354"/>
      <c r="Y44" s="366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2"/>
      <c r="Q45" s="1342">
        <f t="shared" si="11"/>
        <v>111</v>
      </c>
      <c r="R45" s="700" t="s">
        <v>14</v>
      </c>
      <c r="S45" s="701">
        <f t="shared" si="12"/>
        <v>100</v>
      </c>
      <c r="T45" s="700" t="s">
        <v>14</v>
      </c>
      <c r="U45" s="701">
        <f t="shared" si="13"/>
        <v>100</v>
      </c>
      <c r="V45" s="700" t="s">
        <v>14</v>
      </c>
      <c r="W45" s="701">
        <f t="shared" si="14"/>
        <v>100</v>
      </c>
      <c r="X45" s="702"/>
      <c r="Y45" s="366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2"/>
      <c r="Q46" s="1351">
        <f t="shared" si="11"/>
        <v>111</v>
      </c>
      <c r="R46" s="704" t="s">
        <v>14</v>
      </c>
      <c r="S46" s="705">
        <f t="shared" si="12"/>
        <v>100</v>
      </c>
      <c r="T46" s="704" t="s">
        <v>14</v>
      </c>
      <c r="U46" s="705">
        <f t="shared" si="13"/>
        <v>100</v>
      </c>
      <c r="V46" s="704" t="s">
        <v>14</v>
      </c>
      <c r="W46" s="705">
        <f t="shared" si="14"/>
        <v>100</v>
      </c>
      <c r="X46" s="1354"/>
      <c r="Y46" s="366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63"/>
      <c r="Q47" s="1351">
        <f t="shared" si="11"/>
        <v>111</v>
      </c>
      <c r="R47" s="704" t="s">
        <v>14</v>
      </c>
      <c r="S47" s="705">
        <f t="shared" si="12"/>
        <v>100</v>
      </c>
      <c r="T47" s="704" t="s">
        <v>14</v>
      </c>
      <c r="U47" s="705">
        <f t="shared" si="13"/>
        <v>100</v>
      </c>
      <c r="V47" s="704" t="s">
        <v>14</v>
      </c>
      <c r="W47" s="705">
        <f t="shared" si="14"/>
        <v>100</v>
      </c>
      <c r="X47" s="1354"/>
      <c r="Y47" s="3665"/>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17"/>
      <c r="M48" s="2709"/>
      <c r="N48" s="2709"/>
      <c r="O48" s="2709"/>
      <c r="P48" s="3667" t="str">
        <f>A48</f>
        <v>成交单价（元/平方米）</v>
      </c>
      <c r="Q48" s="3652"/>
      <c r="R48" s="3653">
        <f>E48</f>
        <v>0</v>
      </c>
      <c r="S48" s="3653"/>
      <c r="T48" s="3653">
        <f>G48</f>
        <v>0</v>
      </c>
      <c r="U48" s="3653"/>
      <c r="V48" s="3653">
        <f>I48</f>
        <v>0</v>
      </c>
      <c r="W48" s="3653"/>
      <c r="X48" s="397"/>
      <c r="Y48" s="711"/>
      <c r="Z48" s="397"/>
      <c r="AA48" s="397"/>
      <c r="AB48" s="397"/>
      <c r="AC48" s="577"/>
    </row>
    <row r="49" spans="1:29" ht="15.75" thickBot="1">
      <c r="A49" s="437" t="s">
        <v>1791</v>
      </c>
      <c r="B49" s="438"/>
      <c r="C49" s="1159" t="e">
        <f>R50</f>
        <v>#DIV/0!</v>
      </c>
      <c r="D49" s="2316" t="s">
        <v>2136</v>
      </c>
      <c r="E49" s="1160" t="e">
        <f>R49</f>
        <v>#DIV/0!</v>
      </c>
      <c r="F49" s="2317"/>
      <c r="G49" s="1159" t="e">
        <f>T49</f>
        <v>#DIV/0!</v>
      </c>
      <c r="H49" s="2317"/>
      <c r="I49" s="1160" t="e">
        <f>V49</f>
        <v>#DIV/0!</v>
      </c>
      <c r="J49" s="2317"/>
      <c r="K49" s="2319">
        <f>F49+H49+J49</f>
        <v>0</v>
      </c>
      <c r="L49" s="2717"/>
      <c r="M49" s="2709"/>
      <c r="N49" s="2709"/>
      <c r="O49" s="2709"/>
      <c r="P49" s="3667" t="str">
        <f>A49</f>
        <v>比较价值（元/平方米）</v>
      </c>
      <c r="Q49" s="3652"/>
      <c r="R49" s="3653" t="e">
        <f>IF(F1="售价",ROUND(PRODUCT(R48,AA7:AA47),0),ROUND(PRODUCT(R48,AA7:AA47),1))</f>
        <v>#DIV/0!</v>
      </c>
      <c r="S49" s="3653"/>
      <c r="T49" s="3653" t="e">
        <f>IF(F1="售价",ROUND(PRODUCT(T48,AB7:AB47),0),ROUND(PRODUCT(T48,AB7:AB47),1))</f>
        <v>#DIV/0!</v>
      </c>
      <c r="U49" s="3653"/>
      <c r="V49" s="3653" t="e">
        <f>IF(F1="售价",ROUND(PRODUCT(V48,AC7:AC47),0),ROUND(PRODUCT(V48,AC7:AC47),1))</f>
        <v>#DIV/0!</v>
      </c>
      <c r="W49" s="3653"/>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5"/>
      <c r="Y50" s="1945"/>
      <c r="Z50" s="1945"/>
      <c r="AA50" s="1945"/>
      <c r="AB50" s="1945"/>
      <c r="AC50" s="1946"/>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2"/>
      <c r="Q59" s="2734"/>
      <c r="R59" s="2734"/>
      <c r="S59" s="2734"/>
      <c r="T59" s="2734"/>
      <c r="U59" s="2734"/>
      <c r="V59" s="2734"/>
      <c r="W59" s="2734"/>
      <c r="X59" s="2734"/>
      <c r="Y59" s="2734"/>
      <c r="Z59" s="2734"/>
      <c r="AA59" s="2734"/>
      <c r="AB59" s="2734"/>
      <c r="AC59" s="2734"/>
    </row>
    <row r="60" spans="1:29" s="108" customFormat="1" ht="15">
      <c r="A60" s="458"/>
      <c r="B60" s="459"/>
      <c r="C60" s="1182">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6"/>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7"/>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7"/>
      <c r="M119" s="1968"/>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7"/>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499.53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71" t="s">
        <v>1768</v>
      </c>
      <c r="D4" s="3672"/>
      <c r="E4" s="3673" t="s">
        <v>1769</v>
      </c>
      <c r="F4" s="3674"/>
      <c r="G4" s="3671" t="s">
        <v>1770</v>
      </c>
      <c r="H4" s="3672"/>
      <c r="I4" s="3671" t="s">
        <v>1771</v>
      </c>
      <c r="J4" s="3672"/>
      <c r="K4" s="559" t="s">
        <v>1772</v>
      </c>
      <c r="L4" s="912"/>
      <c r="M4" s="913"/>
      <c r="N4" s="913"/>
      <c r="O4" s="913"/>
      <c r="P4" s="3675" t="s">
        <v>1773</v>
      </c>
      <c r="Q4" s="3676"/>
      <c r="R4" s="3681" t="s">
        <v>1769</v>
      </c>
      <c r="S4" s="3682"/>
      <c r="T4" s="3681" t="s">
        <v>1770</v>
      </c>
      <c r="U4" s="3682"/>
      <c r="V4" s="3666" t="s">
        <v>1771</v>
      </c>
      <c r="W4" s="3666"/>
      <c r="X4" s="1354"/>
      <c r="Y4" s="3681" t="s">
        <v>1773</v>
      </c>
      <c r="Z4" s="3682"/>
      <c r="AA4" s="3668" t="s">
        <v>1769</v>
      </c>
      <c r="AB4" s="3669" t="s">
        <v>1770</v>
      </c>
      <c r="AC4" s="3668" t="s">
        <v>1771</v>
      </c>
    </row>
    <row r="5" spans="1:29" ht="15">
      <c r="A5" s="358"/>
      <c r="B5" s="359"/>
      <c r="C5" s="3689" t="s">
        <v>1671</v>
      </c>
      <c r="D5" s="3690"/>
      <c r="E5" s="3697" t="s">
        <v>1672</v>
      </c>
      <c r="F5" s="3698"/>
      <c r="G5" s="3689" t="s">
        <v>1673</v>
      </c>
      <c r="H5" s="3690"/>
      <c r="I5" s="3689" t="s">
        <v>1674</v>
      </c>
      <c r="J5" s="3690"/>
      <c r="K5" s="559"/>
      <c r="L5" s="912"/>
      <c r="M5" s="913"/>
      <c r="N5" s="913"/>
      <c r="O5" s="913"/>
      <c r="P5" s="3677"/>
      <c r="Q5" s="3678"/>
      <c r="R5" s="3683"/>
      <c r="S5" s="3684"/>
      <c r="T5" s="3683"/>
      <c r="U5" s="3684"/>
      <c r="V5" s="3666"/>
      <c r="W5" s="3666"/>
      <c r="X5" s="1354"/>
      <c r="Y5" s="3683"/>
      <c r="Z5" s="3684"/>
      <c r="AA5" s="3669"/>
      <c r="AB5" s="3669"/>
      <c r="AC5" s="3669"/>
    </row>
    <row r="6" spans="1:29" ht="15.75" thickBot="1">
      <c r="A6" s="360"/>
      <c r="B6" s="361"/>
      <c r="C6" s="3687" t="s">
        <v>1675</v>
      </c>
      <c r="D6" s="3688"/>
      <c r="E6" s="3695" t="s">
        <v>1675</v>
      </c>
      <c r="F6" s="3696"/>
      <c r="G6" s="3687" t="s">
        <v>1675</v>
      </c>
      <c r="H6" s="3688"/>
      <c r="I6" s="3687" t="s">
        <v>1675</v>
      </c>
      <c r="J6" s="3688"/>
      <c r="K6" s="559" t="s">
        <v>1676</v>
      </c>
      <c r="L6" s="912"/>
      <c r="M6" s="913"/>
      <c r="N6" s="913"/>
      <c r="O6" s="913"/>
      <c r="P6" s="3679"/>
      <c r="Q6" s="3680"/>
      <c r="R6" s="3683"/>
      <c r="S6" s="3684"/>
      <c r="T6" s="3685"/>
      <c r="U6" s="3686"/>
      <c r="V6" s="3666"/>
      <c r="W6" s="3666"/>
      <c r="X6" s="1354"/>
      <c r="Y6" s="3685"/>
      <c r="Z6" s="3686"/>
      <c r="AA6" s="3670"/>
      <c r="AB6" s="3670"/>
      <c r="AC6" s="3670"/>
    </row>
    <row r="7" spans="1:29" s="108" customFormat="1" ht="15.75" thickBot="1">
      <c r="A7" s="362" t="s">
        <v>1677</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4"/>
      <c r="M7" s="915"/>
      <c r="N7" s="915"/>
      <c r="O7" s="915"/>
      <c r="P7" s="3691" t="s">
        <v>1678</v>
      </c>
      <c r="Q7" s="3693"/>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1" t="s">
        <v>1681</v>
      </c>
      <c r="Q8" s="3692"/>
      <c r="R8" s="700" t="s">
        <v>14</v>
      </c>
      <c r="S8" s="701">
        <f t="shared" si="0"/>
        <v>100</v>
      </c>
      <c r="T8" s="700" t="s">
        <v>14</v>
      </c>
      <c r="U8" s="701">
        <f t="shared" si="1"/>
        <v>100</v>
      </c>
      <c r="V8" s="700" t="s">
        <v>14</v>
      </c>
      <c r="W8" s="701">
        <f t="shared" si="2"/>
        <v>100</v>
      </c>
      <c r="X8" s="702"/>
      <c r="Y8" s="3691" t="s">
        <v>1681</v>
      </c>
      <c r="Z8" s="369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2"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7"/>
      <c r="M10" s="918"/>
      <c r="N10" s="918"/>
      <c r="O10" s="919"/>
      <c r="P10" s="3652"/>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2"/>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2"/>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2"/>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2"/>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9" t="s">
        <v>1689</v>
      </c>
      <c r="Q15" s="1351" t="str">
        <f t="shared" si="6"/>
        <v>产业集聚程度</v>
      </c>
      <c r="R15" s="704" t="s">
        <v>14</v>
      </c>
      <c r="S15" s="705">
        <f t="shared" si="0"/>
        <v>100</v>
      </c>
      <c r="T15" s="704" t="s">
        <v>14</v>
      </c>
      <c r="U15" s="705">
        <f t="shared" si="1"/>
        <v>100</v>
      </c>
      <c r="V15" s="704" t="s">
        <v>14</v>
      </c>
      <c r="W15" s="705">
        <f t="shared" si="2"/>
        <v>100</v>
      </c>
      <c r="X15" s="1354"/>
      <c r="Y15" s="3659"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0"/>
      <c r="Q16" s="1351"/>
      <c r="R16" s="704"/>
      <c r="S16" s="705"/>
      <c r="T16" s="704"/>
      <c r="U16" s="705"/>
      <c r="V16" s="704"/>
      <c r="W16" s="705"/>
      <c r="X16" s="1354"/>
      <c r="Y16" s="3660"/>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0"/>
      <c r="Q17" s="1351" t="str">
        <f>B17</f>
        <v>交通便捷度</v>
      </c>
      <c r="R17" s="704" t="s">
        <v>14</v>
      </c>
      <c r="S17" s="705">
        <f>F17</f>
        <v>100</v>
      </c>
      <c r="T17" s="704" t="s">
        <v>14</v>
      </c>
      <c r="U17" s="705">
        <f>H17</f>
        <v>100</v>
      </c>
      <c r="V17" s="704" t="s">
        <v>14</v>
      </c>
      <c r="W17" s="705">
        <f>J17</f>
        <v>100</v>
      </c>
      <c r="X17" s="1354"/>
      <c r="Y17" s="366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0"/>
      <c r="Q18" s="1351"/>
      <c r="R18" s="704"/>
      <c r="S18" s="705"/>
      <c r="T18" s="704"/>
      <c r="U18" s="705"/>
      <c r="V18" s="704"/>
      <c r="W18" s="705"/>
      <c r="X18" s="1354"/>
      <c r="Y18" s="3660"/>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0"/>
      <c r="Q19" s="1351" t="str">
        <f>B19</f>
        <v>公共配套设施</v>
      </c>
      <c r="R19" s="704" t="s">
        <v>14</v>
      </c>
      <c r="S19" s="705">
        <f>F19</f>
        <v>100</v>
      </c>
      <c r="T19" s="704" t="s">
        <v>14</v>
      </c>
      <c r="U19" s="705">
        <f>H19</f>
        <v>100</v>
      </c>
      <c r="V19" s="704" t="s">
        <v>14</v>
      </c>
      <c r="W19" s="705">
        <f>J19</f>
        <v>100</v>
      </c>
      <c r="X19" s="1354"/>
      <c r="Y19" s="366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0"/>
      <c r="Q20" s="1351"/>
      <c r="R20" s="704"/>
      <c r="S20" s="705"/>
      <c r="T20" s="704"/>
      <c r="U20" s="705"/>
      <c r="V20" s="704"/>
      <c r="W20" s="705"/>
      <c r="X20" s="1354"/>
      <c r="Y20" s="3660"/>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0"/>
      <c r="Q21" s="1351" t="str">
        <f>B21</f>
        <v>基础设施水平</v>
      </c>
      <c r="R21" s="704" t="s">
        <v>14</v>
      </c>
      <c r="S21" s="705">
        <f>F21</f>
        <v>100</v>
      </c>
      <c r="T21" s="704" t="s">
        <v>14</v>
      </c>
      <c r="U21" s="705">
        <f>H21</f>
        <v>100</v>
      </c>
      <c r="V21" s="704" t="s">
        <v>14</v>
      </c>
      <c r="W21" s="705">
        <f>J21</f>
        <v>100</v>
      </c>
      <c r="X21" s="1354"/>
      <c r="Y21" s="366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0"/>
      <c r="Q22" s="1351"/>
      <c r="R22" s="704"/>
      <c r="S22" s="705"/>
      <c r="T22" s="704"/>
      <c r="U22" s="705"/>
      <c r="V22" s="704"/>
      <c r="W22" s="705"/>
      <c r="X22" s="1354"/>
      <c r="Y22" s="3660"/>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0"/>
      <c r="Q23" s="1351" t="str">
        <f>B23</f>
        <v>环境质量</v>
      </c>
      <c r="R23" s="704" t="s">
        <v>14</v>
      </c>
      <c r="S23" s="705">
        <f>F23</f>
        <v>100</v>
      </c>
      <c r="T23" s="704" t="s">
        <v>14</v>
      </c>
      <c r="U23" s="705">
        <f>H23</f>
        <v>100</v>
      </c>
      <c r="V23" s="704" t="s">
        <v>14</v>
      </c>
      <c r="W23" s="705">
        <f>J23</f>
        <v>100</v>
      </c>
      <c r="X23" s="1354"/>
      <c r="Y23" s="366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0"/>
      <c r="Q24" s="1351"/>
      <c r="R24" s="704"/>
      <c r="S24" s="705"/>
      <c r="T24" s="704"/>
      <c r="U24" s="705"/>
      <c r="V24" s="704"/>
      <c r="W24" s="705"/>
      <c r="X24" s="1354"/>
      <c r="Y24" s="366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0"/>
      <c r="Q25" s="1351">
        <f>B25</f>
        <v>111</v>
      </c>
      <c r="R25" s="704" t="s">
        <v>14</v>
      </c>
      <c r="S25" s="705">
        <f>F25</f>
        <v>100</v>
      </c>
      <c r="T25" s="704" t="s">
        <v>14</v>
      </c>
      <c r="U25" s="705">
        <f>H25</f>
        <v>100</v>
      </c>
      <c r="V25" s="704" t="s">
        <v>14</v>
      </c>
      <c r="W25" s="705">
        <f>J25</f>
        <v>100</v>
      </c>
      <c r="X25" s="1354"/>
      <c r="Y25" s="366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0"/>
      <c r="Q26" s="1351">
        <f t="shared" ref="Q26:Q40" si="11">B26</f>
        <v>111</v>
      </c>
      <c r="R26" s="704" t="s">
        <v>14</v>
      </c>
      <c r="S26" s="705">
        <f>F26</f>
        <v>100</v>
      </c>
      <c r="T26" s="704" t="s">
        <v>14</v>
      </c>
      <c r="U26" s="705">
        <f>H26</f>
        <v>100</v>
      </c>
      <c r="V26" s="704" t="s">
        <v>14</v>
      </c>
      <c r="W26" s="705">
        <f>J26</f>
        <v>100</v>
      </c>
      <c r="X26" s="1354"/>
      <c r="Y26" s="366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0"/>
      <c r="Q27" s="1342">
        <f t="shared" si="11"/>
        <v>111</v>
      </c>
      <c r="R27" s="700" t="s">
        <v>14</v>
      </c>
      <c r="S27" s="701">
        <f>F27</f>
        <v>100</v>
      </c>
      <c r="T27" s="700" t="s">
        <v>14</v>
      </c>
      <c r="U27" s="701">
        <f>H27</f>
        <v>100</v>
      </c>
      <c r="V27" s="700" t="s">
        <v>14</v>
      </c>
      <c r="W27" s="701">
        <f>J27</f>
        <v>100</v>
      </c>
      <c r="X27" s="702"/>
      <c r="Y27" s="366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0"/>
      <c r="Q28" s="1351">
        <f t="shared" si="11"/>
        <v>111</v>
      </c>
      <c r="R28" s="704" t="s">
        <v>14</v>
      </c>
      <c r="S28" s="705">
        <f t="shared" ref="S28:S40" si="12">F28</f>
        <v>100</v>
      </c>
      <c r="T28" s="704" t="s">
        <v>14</v>
      </c>
      <c r="U28" s="705">
        <f t="shared" ref="U28:U40" si="13">H28</f>
        <v>100</v>
      </c>
      <c r="V28" s="704" t="s">
        <v>14</v>
      </c>
      <c r="W28" s="705">
        <f t="shared" ref="W28:W40" si="14">J28</f>
        <v>100</v>
      </c>
      <c r="X28" s="1354"/>
      <c r="Y28" s="3660"/>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5" t="s">
        <v>1694</v>
      </c>
      <c r="Q29" s="1351" t="str">
        <f t="shared" si="11"/>
        <v>建筑类型</v>
      </c>
      <c r="R29" s="704" t="s">
        <v>14</v>
      </c>
      <c r="S29" s="705">
        <f t="shared" si="12"/>
        <v>100</v>
      </c>
      <c r="T29" s="704" t="s">
        <v>14</v>
      </c>
      <c r="U29" s="705">
        <f t="shared" si="13"/>
        <v>100</v>
      </c>
      <c r="V29" s="704" t="s">
        <v>14</v>
      </c>
      <c r="W29" s="705">
        <f t="shared" si="14"/>
        <v>100</v>
      </c>
      <c r="X29" s="1354"/>
      <c r="Y29" s="3664"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4"/>
      <c r="Q30" s="706" t="str">
        <f t="shared" si="11"/>
        <v>项目建筑规模</v>
      </c>
      <c r="R30" s="707" t="s">
        <v>14</v>
      </c>
      <c r="S30" s="708" t="e">
        <f t="shared" si="12"/>
        <v>#N/A</v>
      </c>
      <c r="T30" s="707" t="s">
        <v>14</v>
      </c>
      <c r="U30" s="708" t="e">
        <f t="shared" si="13"/>
        <v>#N/A</v>
      </c>
      <c r="V30" s="707" t="s">
        <v>14</v>
      </c>
      <c r="W30" s="708" t="e">
        <f t="shared" si="14"/>
        <v>#N/A</v>
      </c>
      <c r="X30" s="709"/>
      <c r="Y30" s="3664"/>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4"/>
      <c r="Q31" s="1351" t="str">
        <f t="shared" si="11"/>
        <v>建筑结构</v>
      </c>
      <c r="R31" s="704" t="s">
        <v>14</v>
      </c>
      <c r="S31" s="705">
        <f t="shared" si="12"/>
        <v>100</v>
      </c>
      <c r="T31" s="704" t="s">
        <v>14</v>
      </c>
      <c r="U31" s="705">
        <f t="shared" si="13"/>
        <v>100</v>
      </c>
      <c r="V31" s="704" t="s">
        <v>14</v>
      </c>
      <c r="W31" s="705">
        <f t="shared" si="14"/>
        <v>100</v>
      </c>
      <c r="X31" s="1354"/>
      <c r="Y31" s="3664"/>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4"/>
      <c r="Q32" s="1351" t="str">
        <f t="shared" si="11"/>
        <v>公共部分装修</v>
      </c>
      <c r="R32" s="704" t="s">
        <v>14</v>
      </c>
      <c r="S32" s="705">
        <f t="shared" si="12"/>
        <v>100</v>
      </c>
      <c r="T32" s="704" t="s">
        <v>14</v>
      </c>
      <c r="U32" s="705">
        <f t="shared" si="13"/>
        <v>100</v>
      </c>
      <c r="V32" s="704" t="s">
        <v>14</v>
      </c>
      <c r="W32" s="705">
        <f t="shared" si="14"/>
        <v>100</v>
      </c>
      <c r="X32" s="1354"/>
      <c r="Y32" s="3664"/>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4"/>
      <c r="Q33" s="1351" t="str">
        <f t="shared" si="11"/>
        <v>成新度</v>
      </c>
      <c r="R33" s="704" t="s">
        <v>14</v>
      </c>
      <c r="S33" s="705" t="e">
        <f t="shared" si="12"/>
        <v>#N/A</v>
      </c>
      <c r="T33" s="704" t="s">
        <v>14</v>
      </c>
      <c r="U33" s="705" t="e">
        <f t="shared" si="13"/>
        <v>#N/A</v>
      </c>
      <c r="V33" s="704" t="s">
        <v>14</v>
      </c>
      <c r="W33" s="705" t="e">
        <f t="shared" si="14"/>
        <v>#N/A</v>
      </c>
      <c r="X33" s="1354"/>
      <c r="Y33" s="3664"/>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4"/>
      <c r="Q34" s="1342" t="str">
        <f t="shared" si="11"/>
        <v>物业管理</v>
      </c>
      <c r="R34" s="700" t="s">
        <v>14</v>
      </c>
      <c r="S34" s="701">
        <f t="shared" si="12"/>
        <v>100</v>
      </c>
      <c r="T34" s="700" t="s">
        <v>14</v>
      </c>
      <c r="U34" s="701">
        <f t="shared" si="13"/>
        <v>100</v>
      </c>
      <c r="V34" s="700" t="s">
        <v>14</v>
      </c>
      <c r="W34" s="701">
        <f t="shared" si="14"/>
        <v>100</v>
      </c>
      <c r="X34" s="702"/>
      <c r="Y34" s="366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4" t="s">
        <v>1694</v>
      </c>
      <c r="Q35" s="1351" t="str">
        <f t="shared" si="11"/>
        <v>市政基础设施</v>
      </c>
      <c r="R35" s="704" t="s">
        <v>14</v>
      </c>
      <c r="S35" s="705">
        <f t="shared" si="12"/>
        <v>100</v>
      </c>
      <c r="T35" s="704" t="s">
        <v>14</v>
      </c>
      <c r="U35" s="705">
        <f t="shared" si="13"/>
        <v>100</v>
      </c>
      <c r="V35" s="704" t="s">
        <v>14</v>
      </c>
      <c r="W35" s="705">
        <f t="shared" si="14"/>
        <v>100</v>
      </c>
      <c r="X35" s="1354"/>
      <c r="Y35" s="3664"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4"/>
      <c r="Q36" s="1351" t="str">
        <f t="shared" si="11"/>
        <v>内部装修</v>
      </c>
      <c r="R36" s="704" t="s">
        <v>14</v>
      </c>
      <c r="S36" s="705">
        <f t="shared" si="12"/>
        <v>100</v>
      </c>
      <c r="T36" s="704" t="s">
        <v>14</v>
      </c>
      <c r="U36" s="705">
        <f t="shared" si="13"/>
        <v>100</v>
      </c>
      <c r="V36" s="704" t="s">
        <v>14</v>
      </c>
      <c r="W36" s="705">
        <f t="shared" si="14"/>
        <v>100</v>
      </c>
      <c r="X36" s="1354"/>
      <c r="Y36" s="3664"/>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4"/>
      <c r="Q37" s="1351" t="str">
        <f t="shared" si="11"/>
        <v>内部装修状况</v>
      </c>
      <c r="R37" s="704" t="s">
        <v>14</v>
      </c>
      <c r="S37" s="705">
        <f t="shared" si="12"/>
        <v>100</v>
      </c>
      <c r="T37" s="704" t="s">
        <v>14</v>
      </c>
      <c r="U37" s="705">
        <f t="shared" si="13"/>
        <v>100</v>
      </c>
      <c r="V37" s="704" t="s">
        <v>14</v>
      </c>
      <c r="W37" s="705">
        <f t="shared" si="14"/>
        <v>100</v>
      </c>
      <c r="X37" s="1354"/>
      <c r="Y37" s="366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4"/>
      <c r="Q38" s="706">
        <f t="shared" si="11"/>
        <v>111</v>
      </c>
      <c r="R38" s="707" t="s">
        <v>14</v>
      </c>
      <c r="S38" s="708">
        <f t="shared" si="12"/>
        <v>100</v>
      </c>
      <c r="T38" s="707" t="s">
        <v>14</v>
      </c>
      <c r="U38" s="708">
        <f t="shared" si="13"/>
        <v>100</v>
      </c>
      <c r="V38" s="707" t="s">
        <v>14</v>
      </c>
      <c r="W38" s="708">
        <f t="shared" si="14"/>
        <v>100</v>
      </c>
      <c r="X38" s="709"/>
      <c r="Y38" s="366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4"/>
      <c r="Q39" s="1351">
        <f t="shared" si="11"/>
        <v>111</v>
      </c>
      <c r="R39" s="704" t="s">
        <v>14</v>
      </c>
      <c r="S39" s="705">
        <f t="shared" si="12"/>
        <v>100</v>
      </c>
      <c r="T39" s="704" t="s">
        <v>14</v>
      </c>
      <c r="U39" s="705">
        <f t="shared" si="13"/>
        <v>100</v>
      </c>
      <c r="V39" s="704" t="s">
        <v>14</v>
      </c>
      <c r="W39" s="705">
        <f t="shared" si="14"/>
        <v>100</v>
      </c>
      <c r="X39" s="1354"/>
      <c r="Y39" s="366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5"/>
      <c r="Q40" s="1351">
        <f t="shared" si="11"/>
        <v>111</v>
      </c>
      <c r="R40" s="704" t="s">
        <v>14</v>
      </c>
      <c r="S40" s="705">
        <f t="shared" si="12"/>
        <v>100</v>
      </c>
      <c r="T40" s="704" t="s">
        <v>14</v>
      </c>
      <c r="U40" s="705">
        <f t="shared" si="13"/>
        <v>100</v>
      </c>
      <c r="V40" s="704" t="s">
        <v>14</v>
      </c>
      <c r="W40" s="705">
        <f t="shared" si="14"/>
        <v>100</v>
      </c>
      <c r="X40" s="1354"/>
      <c r="Y40" s="3665"/>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52" t="str">
        <f>A41</f>
        <v>成交单价（元/平方米）</v>
      </c>
      <c r="Q41" s="3652"/>
      <c r="R41" s="3653">
        <f>E41</f>
        <v>0</v>
      </c>
      <c r="S41" s="3653"/>
      <c r="T41" s="3653">
        <f>G41</f>
        <v>0</v>
      </c>
      <c r="U41" s="3653"/>
      <c r="V41" s="3653">
        <f>I41</f>
        <v>0</v>
      </c>
      <c r="W41" s="3653"/>
      <c r="X41" s="689"/>
      <c r="Y41" s="711"/>
      <c r="Z41" s="689"/>
      <c r="AA41" s="689"/>
      <c r="AB41" s="689"/>
      <c r="AC41" s="689"/>
    </row>
    <row r="42" spans="1:29" ht="15.75" thickBot="1">
      <c r="A42" s="437" t="s">
        <v>1791</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54" t="str">
        <f>A43</f>
        <v>估价对象XX用房的比较价值（楼面单价，元/平方米）</v>
      </c>
      <c r="Q43" s="3655"/>
      <c r="R43" s="3656" t="e">
        <f>IF(F1="售价",ROUND(IF(D42="简单平均",AVERAGE(R42:V42),R42*F42+T42*H42+V42*J42),0),ROUND(IF(D42="简单平均",AVERAGE(R42:V42),R42*F42+T42*H42+V42*J42),1))</f>
        <v>#DIV/0!</v>
      </c>
      <c r="S43" s="3656"/>
      <c r="T43" s="3656"/>
      <c r="U43" s="3656"/>
      <c r="V43" s="3656"/>
      <c r="W43" s="3656"/>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受贵公司委托，我公司对北京市门头沟区城子大街90号院17号楼1层17-2房地产抵押价值进行了预评估。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估价对象为北京市门头沟区城子大街90号院17号楼1层17-2房地产，为所有。根据《国有土地使用证》[]，估价对象（分摊）出让国有建设用地使用权面积为0平方米，建筑面积为499.53平方米。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城子大街90号院17号楼1层17-2房地产,属开发建设的，该项目尚在开发建设中。根据《国有土地使用证》[]，估价对象（分摊）出让国有建设用地使用权面积为0平方米，规划建筑面积为499.53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26"/>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671" t="s">
        <v>1768</v>
      </c>
      <c r="D4" s="3672"/>
      <c r="E4" s="3673" t="s">
        <v>1769</v>
      </c>
      <c r="F4" s="3674"/>
      <c r="G4" s="3671" t="s">
        <v>1770</v>
      </c>
      <c r="H4" s="3672"/>
      <c r="I4" s="3671" t="s">
        <v>1771</v>
      </c>
      <c r="J4" s="3672"/>
      <c r="K4" s="559" t="s">
        <v>1772</v>
      </c>
      <c r="L4" s="2708"/>
      <c r="M4" s="2709"/>
      <c r="N4" s="2709"/>
      <c r="O4" s="2709"/>
      <c r="P4" s="3675" t="s">
        <v>1773</v>
      </c>
      <c r="Q4" s="3676"/>
      <c r="R4" s="3681" t="s">
        <v>1769</v>
      </c>
      <c r="S4" s="3682"/>
      <c r="T4" s="3681" t="s">
        <v>1770</v>
      </c>
      <c r="U4" s="3682"/>
      <c r="V4" s="3666" t="s">
        <v>1771</v>
      </c>
      <c r="W4" s="3666"/>
      <c r="X4" s="1354"/>
      <c r="Y4" s="3681" t="s">
        <v>1773</v>
      </c>
      <c r="Z4" s="3682"/>
      <c r="AA4" s="3668" t="s">
        <v>1769</v>
      </c>
      <c r="AB4" s="3669" t="s">
        <v>1770</v>
      </c>
      <c r="AC4" s="3668" t="s">
        <v>1771</v>
      </c>
    </row>
    <row r="5" spans="1:29" ht="15">
      <c r="A5" s="358"/>
      <c r="B5" s="359"/>
      <c r="C5" s="3689" t="s">
        <v>1671</v>
      </c>
      <c r="D5" s="3690"/>
      <c r="E5" s="3697" t="s">
        <v>1672</v>
      </c>
      <c r="F5" s="3698"/>
      <c r="G5" s="3689" t="s">
        <v>1673</v>
      </c>
      <c r="H5" s="3690"/>
      <c r="I5" s="3689" t="s">
        <v>1674</v>
      </c>
      <c r="J5" s="3690"/>
      <c r="K5" s="559"/>
      <c r="L5" s="2708"/>
      <c r="M5" s="2709"/>
      <c r="N5" s="2709"/>
      <c r="O5" s="2709"/>
      <c r="P5" s="3677"/>
      <c r="Q5" s="3678"/>
      <c r="R5" s="3683"/>
      <c r="S5" s="3684"/>
      <c r="T5" s="3683"/>
      <c r="U5" s="3684"/>
      <c r="V5" s="3666"/>
      <c r="W5" s="3666"/>
      <c r="X5" s="1354"/>
      <c r="Y5" s="3683"/>
      <c r="Z5" s="3684"/>
      <c r="AA5" s="3669"/>
      <c r="AB5" s="3669"/>
      <c r="AC5" s="3669"/>
    </row>
    <row r="6" spans="1:29" ht="15.75" thickBot="1">
      <c r="A6" s="360"/>
      <c r="B6" s="361"/>
      <c r="C6" s="3687" t="s">
        <v>1675</v>
      </c>
      <c r="D6" s="3688"/>
      <c r="E6" s="3695" t="s">
        <v>1675</v>
      </c>
      <c r="F6" s="3696"/>
      <c r="G6" s="3687" t="s">
        <v>1675</v>
      </c>
      <c r="H6" s="3688"/>
      <c r="I6" s="3687" t="s">
        <v>1675</v>
      </c>
      <c r="J6" s="3688"/>
      <c r="K6" s="559" t="s">
        <v>1676</v>
      </c>
      <c r="L6" s="2708"/>
      <c r="M6" s="2709"/>
      <c r="N6" s="2709"/>
      <c r="O6" s="2709"/>
      <c r="P6" s="3679"/>
      <c r="Q6" s="3680"/>
      <c r="R6" s="3683"/>
      <c r="S6" s="3684"/>
      <c r="T6" s="3685"/>
      <c r="U6" s="3686"/>
      <c r="V6" s="3666"/>
      <c r="W6" s="3666"/>
      <c r="X6" s="1354"/>
      <c r="Y6" s="3685"/>
      <c r="Z6" s="3686"/>
      <c r="AA6" s="3670"/>
      <c r="AB6" s="3670"/>
      <c r="AC6" s="3670"/>
    </row>
    <row r="7" spans="1:29" s="108" customFormat="1" ht="15.75" thickBot="1">
      <c r="A7" s="362" t="s">
        <v>1677</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1" t="s">
        <v>1678</v>
      </c>
      <c r="Q7" s="3693"/>
      <c r="R7" s="700" t="s">
        <v>14</v>
      </c>
      <c r="S7" s="701">
        <f t="shared" ref="S7:S14" si="0">F7</f>
        <v>0</v>
      </c>
      <c r="T7" s="700" t="s">
        <v>14</v>
      </c>
      <c r="U7" s="701">
        <f t="shared" ref="U7:U14" si="1">H7</f>
        <v>0</v>
      </c>
      <c r="V7" s="700" t="s">
        <v>14</v>
      </c>
      <c r="W7" s="701">
        <f t="shared" ref="W7:W14"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1" t="s">
        <v>1681</v>
      </c>
      <c r="Q8" s="3692"/>
      <c r="R8" s="700" t="s">
        <v>14</v>
      </c>
      <c r="S8" s="701">
        <f t="shared" si="0"/>
        <v>100</v>
      </c>
      <c r="T8" s="700" t="s">
        <v>14</v>
      </c>
      <c r="U8" s="701">
        <f t="shared" si="1"/>
        <v>100</v>
      </c>
      <c r="V8" s="700" t="s">
        <v>14</v>
      </c>
      <c r="W8" s="701">
        <f t="shared" si="2"/>
        <v>100</v>
      </c>
      <c r="X8" s="702"/>
      <c r="Y8" s="3691" t="s">
        <v>1681</v>
      </c>
      <c r="Z8" s="369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2" t="s">
        <v>1684</v>
      </c>
      <c r="Q9" s="1342" t="str">
        <f t="shared" ref="Q9:Q14" si="6">B9</f>
        <v>用途</v>
      </c>
      <c r="R9" s="700" t="s">
        <v>14</v>
      </c>
      <c r="S9" s="701">
        <f t="shared" si="0"/>
        <v>100</v>
      </c>
      <c r="T9" s="700" t="s">
        <v>14</v>
      </c>
      <c r="U9" s="701">
        <f t="shared" si="1"/>
        <v>100</v>
      </c>
      <c r="V9" s="700" t="s">
        <v>14</v>
      </c>
      <c r="W9" s="701">
        <f t="shared" si="2"/>
        <v>100</v>
      </c>
      <c r="X9" s="702"/>
      <c r="Y9" s="3551" t="s">
        <v>1685</v>
      </c>
      <c r="Z9" s="52" t="str">
        <f t="shared" ref="Z9:Z14" si="7">Q9</f>
        <v>用途</v>
      </c>
      <c r="AA9" s="703">
        <f t="shared" si="3"/>
        <v>1</v>
      </c>
      <c r="AB9" s="703">
        <f t="shared" si="4"/>
        <v>1</v>
      </c>
      <c r="AC9" s="703">
        <f t="shared" si="5"/>
        <v>1</v>
      </c>
    </row>
    <row r="10" spans="1:29" s="378" customFormat="1" ht="27">
      <c r="A10" s="588"/>
      <c r="B10" s="589"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52"/>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2"/>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2"/>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2"/>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
      <c r="A14" s="355" t="s">
        <v>1688</v>
      </c>
      <c r="B14" s="576"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59" t="s">
        <v>1689</v>
      </c>
      <c r="Q14" s="1351" t="str">
        <f t="shared" si="6"/>
        <v>交通便捷度</v>
      </c>
      <c r="R14" s="704" t="s">
        <v>14</v>
      </c>
      <c r="S14" s="705">
        <f t="shared" si="0"/>
        <v>100</v>
      </c>
      <c r="T14" s="704" t="s">
        <v>14</v>
      </c>
      <c r="U14" s="705">
        <f t="shared" si="1"/>
        <v>100</v>
      </c>
      <c r="V14" s="704" t="s">
        <v>14</v>
      </c>
      <c r="W14" s="705">
        <f t="shared" si="2"/>
        <v>100</v>
      </c>
      <c r="X14" s="1354"/>
      <c r="Y14" s="3659"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5"/>
      <c r="M15" s="2709"/>
      <c r="N15" s="2709"/>
      <c r="O15" s="2709"/>
      <c r="P15" s="3660"/>
      <c r="Q15" s="1351"/>
      <c r="R15" s="704"/>
      <c r="S15" s="705"/>
      <c r="T15" s="704"/>
      <c r="U15" s="705"/>
      <c r="V15" s="704"/>
      <c r="W15" s="705"/>
      <c r="X15" s="1354"/>
      <c r="Y15" s="3660"/>
      <c r="Z15" s="1355"/>
      <c r="AA15" s="1352">
        <v>1</v>
      </c>
      <c r="AB15" s="1352">
        <v>1</v>
      </c>
      <c r="AC15" s="1352">
        <v>1</v>
      </c>
    </row>
    <row r="16" spans="1:29" ht="15">
      <c r="A16" s="358"/>
      <c r="B16" s="578"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0"/>
      <c r="Q16" s="1351" t="str">
        <f>B16</f>
        <v>公共配套设施</v>
      </c>
      <c r="R16" s="704" t="s">
        <v>14</v>
      </c>
      <c r="S16" s="705">
        <f>F16</f>
        <v>100</v>
      </c>
      <c r="T16" s="704" t="s">
        <v>14</v>
      </c>
      <c r="U16" s="705">
        <f>H16</f>
        <v>100</v>
      </c>
      <c r="V16" s="704" t="s">
        <v>14</v>
      </c>
      <c r="W16" s="705">
        <f>J16</f>
        <v>100</v>
      </c>
      <c r="X16" s="1354"/>
      <c r="Y16" s="366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5"/>
      <c r="M17" s="2709"/>
      <c r="N17" s="2709"/>
      <c r="O17" s="2709"/>
      <c r="P17" s="3660"/>
      <c r="Q17" s="1351"/>
      <c r="R17" s="704"/>
      <c r="S17" s="705"/>
      <c r="T17" s="704"/>
      <c r="U17" s="705"/>
      <c r="V17" s="704"/>
      <c r="W17" s="705"/>
      <c r="X17" s="1354"/>
      <c r="Y17" s="3660"/>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0"/>
      <c r="Q18" s="1351" t="str">
        <f>B18</f>
        <v>基础设施水平</v>
      </c>
      <c r="R18" s="704" t="s">
        <v>14</v>
      </c>
      <c r="S18" s="705">
        <f>F18</f>
        <v>100</v>
      </c>
      <c r="T18" s="704" t="s">
        <v>14</v>
      </c>
      <c r="U18" s="705">
        <f>H18</f>
        <v>100</v>
      </c>
      <c r="V18" s="704" t="s">
        <v>14</v>
      </c>
      <c r="W18" s="705">
        <f>J18</f>
        <v>100</v>
      </c>
      <c r="X18" s="1354"/>
      <c r="Y18" s="366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5"/>
      <c r="M19" s="2709"/>
      <c r="N19" s="2709"/>
      <c r="O19" s="2709"/>
      <c r="P19" s="3660"/>
      <c r="Q19" s="1351"/>
      <c r="R19" s="704"/>
      <c r="S19" s="705"/>
      <c r="T19" s="704"/>
      <c r="U19" s="705"/>
      <c r="V19" s="704"/>
      <c r="W19" s="705"/>
      <c r="X19" s="1354"/>
      <c r="Y19" s="3660"/>
      <c r="Z19" s="1355"/>
      <c r="AA19" s="1352">
        <v>1</v>
      </c>
      <c r="AB19" s="1352">
        <v>1</v>
      </c>
      <c r="AC19" s="1352">
        <v>1</v>
      </c>
    </row>
    <row r="20" spans="1:29" ht="15">
      <c r="A20" s="358"/>
      <c r="B20" s="578" t="s">
        <v>1832</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0"/>
      <c r="Q20" s="1351" t="str">
        <f>B20</f>
        <v>自然及人文环境</v>
      </c>
      <c r="R20" s="704" t="s">
        <v>14</v>
      </c>
      <c r="S20" s="705">
        <f>F20</f>
        <v>100</v>
      </c>
      <c r="T20" s="704" t="s">
        <v>14</v>
      </c>
      <c r="U20" s="705">
        <f>H20</f>
        <v>100</v>
      </c>
      <c r="V20" s="704" t="s">
        <v>14</v>
      </c>
      <c r="W20" s="705">
        <f>J20</f>
        <v>100</v>
      </c>
      <c r="X20" s="1354"/>
      <c r="Y20" s="366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5"/>
      <c r="M21" s="2709"/>
      <c r="N21" s="2709"/>
      <c r="O21" s="2709"/>
      <c r="P21" s="3660"/>
      <c r="Q21" s="1351"/>
      <c r="R21" s="704"/>
      <c r="S21" s="705"/>
      <c r="T21" s="704"/>
      <c r="U21" s="705"/>
      <c r="V21" s="704"/>
      <c r="W21" s="705"/>
      <c r="X21" s="1354"/>
      <c r="Y21" s="3660"/>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0"/>
      <c r="Q22" s="1351" t="str">
        <f>B22</f>
        <v>楼层</v>
      </c>
      <c r="R22" s="704" t="s">
        <v>14</v>
      </c>
      <c r="S22" s="705">
        <f>F22</f>
        <v>100</v>
      </c>
      <c r="T22" s="704" t="s">
        <v>14</v>
      </c>
      <c r="U22" s="705">
        <f>H22</f>
        <v>100</v>
      </c>
      <c r="V22" s="704" t="s">
        <v>14</v>
      </c>
      <c r="W22" s="705">
        <f>J22</f>
        <v>100</v>
      </c>
      <c r="X22" s="1354"/>
      <c r="Y22" s="366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0"/>
      <c r="Q23" s="1351">
        <f>B23</f>
        <v>111</v>
      </c>
      <c r="R23" s="704" t="s">
        <v>14</v>
      </c>
      <c r="S23" s="705">
        <f>F23</f>
        <v>100</v>
      </c>
      <c r="T23" s="704" t="s">
        <v>14</v>
      </c>
      <c r="U23" s="705">
        <f>H23</f>
        <v>100</v>
      </c>
      <c r="V23" s="704" t="s">
        <v>14</v>
      </c>
      <c r="W23" s="705">
        <f>J23</f>
        <v>100</v>
      </c>
      <c r="X23" s="1354"/>
      <c r="Y23" s="366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0"/>
      <c r="Q24" s="1351">
        <f t="shared" ref="Q24:Q36" si="11">B24</f>
        <v>111</v>
      </c>
      <c r="R24" s="704" t="s">
        <v>14</v>
      </c>
      <c r="S24" s="705">
        <f>F24</f>
        <v>100</v>
      </c>
      <c r="T24" s="704" t="s">
        <v>14</v>
      </c>
      <c r="U24" s="705">
        <f>H24</f>
        <v>100</v>
      </c>
      <c r="V24" s="704" t="s">
        <v>14</v>
      </c>
      <c r="W24" s="705">
        <f>J24</f>
        <v>100</v>
      </c>
      <c r="X24" s="1354"/>
      <c r="Y24" s="366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660"/>
      <c r="Q25" s="1342">
        <f t="shared" si="11"/>
        <v>111</v>
      </c>
      <c r="R25" s="700" t="s">
        <v>14</v>
      </c>
      <c r="S25" s="701">
        <f>F25</f>
        <v>100</v>
      </c>
      <c r="T25" s="700" t="s">
        <v>14</v>
      </c>
      <c r="U25" s="701">
        <f>H25</f>
        <v>100</v>
      </c>
      <c r="V25" s="700" t="s">
        <v>14</v>
      </c>
      <c r="W25" s="701">
        <f>J25</f>
        <v>100</v>
      </c>
      <c r="X25" s="702"/>
      <c r="Y25" s="3660"/>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35"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4"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664"/>
      <c r="Q27" s="706" t="str">
        <f t="shared" si="11"/>
        <v>项目停车位配比</v>
      </c>
      <c r="R27" s="707" t="s">
        <v>14</v>
      </c>
      <c r="S27" s="708">
        <f t="shared" si="12"/>
        <v>100</v>
      </c>
      <c r="T27" s="707" t="s">
        <v>14</v>
      </c>
      <c r="U27" s="708">
        <f t="shared" si="13"/>
        <v>100</v>
      </c>
      <c r="V27" s="707" t="s">
        <v>14</v>
      </c>
      <c r="W27" s="708">
        <f t="shared" si="14"/>
        <v>100</v>
      </c>
      <c r="X27" s="709"/>
      <c r="Y27" s="3664"/>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64"/>
      <c r="Q28" s="1351" t="str">
        <f t="shared" si="11"/>
        <v>公共部分装修</v>
      </c>
      <c r="R28" s="704" t="s">
        <v>14</v>
      </c>
      <c r="S28" s="705">
        <f t="shared" si="12"/>
        <v>100</v>
      </c>
      <c r="T28" s="704" t="s">
        <v>14</v>
      </c>
      <c r="U28" s="705">
        <f t="shared" si="13"/>
        <v>100</v>
      </c>
      <c r="V28" s="704" t="s">
        <v>14</v>
      </c>
      <c r="W28" s="705">
        <f t="shared" si="14"/>
        <v>100</v>
      </c>
      <c r="X28" s="1354"/>
      <c r="Y28" s="3664"/>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64"/>
      <c r="Q29" s="1351" t="str">
        <f t="shared" si="11"/>
        <v>成新率</v>
      </c>
      <c r="R29" s="704" t="s">
        <v>14</v>
      </c>
      <c r="S29" s="705" t="e">
        <f t="shared" si="12"/>
        <v>#N/A</v>
      </c>
      <c r="T29" s="704" t="s">
        <v>14</v>
      </c>
      <c r="U29" s="705" t="e">
        <f t="shared" si="13"/>
        <v>#N/A</v>
      </c>
      <c r="V29" s="704" t="s">
        <v>14</v>
      </c>
      <c r="W29" s="705" t="e">
        <f t="shared" si="14"/>
        <v>#N/A</v>
      </c>
      <c r="X29" s="1354"/>
      <c r="Y29" s="3664"/>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664"/>
      <c r="Q30" s="1351" t="str">
        <f t="shared" si="11"/>
        <v>物业等级</v>
      </c>
      <c r="R30" s="704" t="s">
        <v>14</v>
      </c>
      <c r="S30" s="705">
        <f t="shared" si="12"/>
        <v>100</v>
      </c>
      <c r="T30" s="704" t="s">
        <v>14</v>
      </c>
      <c r="U30" s="705">
        <f t="shared" si="13"/>
        <v>100</v>
      </c>
      <c r="V30" s="704" t="s">
        <v>14</v>
      </c>
      <c r="W30" s="705">
        <f t="shared" si="14"/>
        <v>100</v>
      </c>
      <c r="X30" s="1354"/>
      <c r="Y30" s="3664"/>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64"/>
      <c r="Q31" s="1342" t="str">
        <f t="shared" si="11"/>
        <v>停车位面积</v>
      </c>
      <c r="R31" s="700" t="s">
        <v>14</v>
      </c>
      <c r="S31" s="701" t="e">
        <f t="shared" si="12"/>
        <v>#N/A</v>
      </c>
      <c r="T31" s="700" t="s">
        <v>14</v>
      </c>
      <c r="U31" s="701" t="e">
        <f t="shared" si="13"/>
        <v>#N/A</v>
      </c>
      <c r="V31" s="700" t="s">
        <v>14</v>
      </c>
      <c r="W31" s="701" t="e">
        <f t="shared" si="14"/>
        <v>#N/A</v>
      </c>
      <c r="X31" s="702"/>
      <c r="Y31" s="3664"/>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64" t="s">
        <v>1694</v>
      </c>
      <c r="Q32" s="1351" t="str">
        <f t="shared" si="11"/>
        <v>车位类型</v>
      </c>
      <c r="R32" s="704" t="s">
        <v>14</v>
      </c>
      <c r="S32" s="705">
        <f t="shared" si="12"/>
        <v>100</v>
      </c>
      <c r="T32" s="704" t="s">
        <v>14</v>
      </c>
      <c r="U32" s="705">
        <f t="shared" si="13"/>
        <v>100</v>
      </c>
      <c r="V32" s="704" t="s">
        <v>14</v>
      </c>
      <c r="W32" s="705">
        <f t="shared" si="14"/>
        <v>100</v>
      </c>
      <c r="X32" s="1354"/>
      <c r="Y32" s="3664"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64"/>
      <c r="Q33" s="1351" t="str">
        <f t="shared" si="11"/>
        <v>是否直接入户</v>
      </c>
      <c r="R33" s="704" t="s">
        <v>14</v>
      </c>
      <c r="S33" s="705">
        <f t="shared" si="12"/>
        <v>100</v>
      </c>
      <c r="T33" s="704" t="s">
        <v>14</v>
      </c>
      <c r="U33" s="705">
        <f t="shared" si="13"/>
        <v>100</v>
      </c>
      <c r="V33" s="704" t="s">
        <v>14</v>
      </c>
      <c r="W33" s="705">
        <f t="shared" si="14"/>
        <v>100</v>
      </c>
      <c r="X33" s="1354"/>
      <c r="Y33" s="366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64"/>
      <c r="Q34" s="1351">
        <f t="shared" si="11"/>
        <v>111</v>
      </c>
      <c r="R34" s="704" t="s">
        <v>14</v>
      </c>
      <c r="S34" s="705">
        <f t="shared" si="12"/>
        <v>100</v>
      </c>
      <c r="T34" s="704" t="s">
        <v>14</v>
      </c>
      <c r="U34" s="705">
        <f t="shared" si="13"/>
        <v>100</v>
      </c>
      <c r="V34" s="704" t="s">
        <v>14</v>
      </c>
      <c r="W34" s="705">
        <f t="shared" si="14"/>
        <v>100</v>
      </c>
      <c r="X34" s="1354"/>
      <c r="Y34" s="366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64"/>
      <c r="Q35" s="706">
        <f t="shared" si="11"/>
        <v>111</v>
      </c>
      <c r="R35" s="707" t="s">
        <v>14</v>
      </c>
      <c r="S35" s="708">
        <f t="shared" si="12"/>
        <v>100</v>
      </c>
      <c r="T35" s="707" t="s">
        <v>14</v>
      </c>
      <c r="U35" s="708">
        <f t="shared" si="13"/>
        <v>100</v>
      </c>
      <c r="V35" s="707" t="s">
        <v>14</v>
      </c>
      <c r="W35" s="708">
        <f t="shared" si="14"/>
        <v>100</v>
      </c>
      <c r="X35" s="709"/>
      <c r="Y35" s="366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64"/>
      <c r="Q36" s="1351">
        <f t="shared" si="11"/>
        <v>111</v>
      </c>
      <c r="R36" s="704" t="s">
        <v>14</v>
      </c>
      <c r="S36" s="705">
        <f t="shared" si="12"/>
        <v>100</v>
      </c>
      <c r="T36" s="704" t="s">
        <v>14</v>
      </c>
      <c r="U36" s="705">
        <f t="shared" si="13"/>
        <v>100</v>
      </c>
      <c r="V36" s="704" t="s">
        <v>14</v>
      </c>
      <c r="W36" s="705">
        <f t="shared" si="14"/>
        <v>100</v>
      </c>
      <c r="X36" s="1354"/>
      <c r="Y36" s="3664"/>
      <c r="Z36" s="1355">
        <f t="shared" si="15"/>
        <v>111</v>
      </c>
      <c r="AA36" s="1352">
        <f t="shared" si="3"/>
        <v>1</v>
      </c>
      <c r="AB36" s="1352">
        <f t="shared" si="4"/>
        <v>1</v>
      </c>
      <c r="AC36" s="1352">
        <f t="shared" si="5"/>
        <v>1</v>
      </c>
    </row>
    <row r="37" spans="1:29" ht="15">
      <c r="A37" s="430" t="s">
        <v>1842</v>
      </c>
      <c r="B37" s="1972" t="s">
        <v>3350</v>
      </c>
      <c r="C37" s="1153" t="s">
        <v>0</v>
      </c>
      <c r="D37" s="1154"/>
      <c r="E37" s="1155"/>
      <c r="F37" s="1156"/>
      <c r="G37" s="1157"/>
      <c r="H37" s="1158"/>
      <c r="I37" s="1155"/>
      <c r="J37" s="1158"/>
      <c r="K37" s="567"/>
      <c r="L37" s="2717"/>
      <c r="M37" s="2718"/>
      <c r="N37" s="2709"/>
      <c r="O37" s="2718"/>
      <c r="P37" s="3652" t="str">
        <f>A37</f>
        <v>成交单价</v>
      </c>
      <c r="Q37" s="3652"/>
      <c r="R37" s="3653">
        <f>E37</f>
        <v>0</v>
      </c>
      <c r="S37" s="3653"/>
      <c r="T37" s="3653">
        <f>G37</f>
        <v>0</v>
      </c>
      <c r="U37" s="3653"/>
      <c r="V37" s="3653">
        <f>I37</f>
        <v>0</v>
      </c>
      <c r="W37" s="3653"/>
      <c r="X37" s="689"/>
      <c r="Y37" s="711"/>
      <c r="Z37" s="689"/>
      <c r="AA37" s="689"/>
      <c r="AB37" s="689"/>
      <c r="AC37" s="689"/>
    </row>
    <row r="38" spans="1:29" ht="15.75" thickBot="1">
      <c r="A38" s="437" t="s">
        <v>1843</v>
      </c>
      <c r="B38" s="438" t="str">
        <f>B37</f>
        <v>元/平方米</v>
      </c>
      <c r="C38" s="1159" t="e">
        <f>R39</f>
        <v>#DIV/0!</v>
      </c>
      <c r="D38" s="2316" t="s">
        <v>2136</v>
      </c>
      <c r="E38" s="1160" t="e">
        <f>R38</f>
        <v>#DIV/0!</v>
      </c>
      <c r="F38" s="2317"/>
      <c r="G38" s="1159" t="e">
        <f>T38</f>
        <v>#DIV/0!</v>
      </c>
      <c r="H38" s="2317"/>
      <c r="I38" s="1160" t="e">
        <f>V38</f>
        <v>#DIV/0!</v>
      </c>
      <c r="J38" s="2317"/>
      <c r="K38" s="2319">
        <f>F38+H38+J38</f>
        <v>0</v>
      </c>
      <c r="L38" s="2717"/>
      <c r="M38" s="2718"/>
      <c r="N38" s="2718"/>
      <c r="O38" s="2718"/>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654" t="str">
        <f>A39</f>
        <v>估价对象XX用房的比较价值（楼面单价，元/平方米）</v>
      </c>
      <c r="Q39" s="3655"/>
      <c r="R39" s="3736" t="e">
        <f>IF(F1="售价",ROUND(IF(D38="简单平均",AVERAGE(R38:W38),R38*F38+T38*H38+V38*J38),0),ROUND(IF(D38="简单平均",AVERAGE(R38:V38),R38*F38+T38*H38+V38*J38),1))</f>
        <v>#DIV/0!</v>
      </c>
      <c r="S39" s="3736"/>
      <c r="T39" s="3736"/>
      <c r="U39" s="3736"/>
      <c r="V39" s="3736"/>
      <c r="W39" s="3736"/>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2"/>
      <c r="Q48" s="2734"/>
      <c r="R48" s="2734"/>
      <c r="S48" s="2734"/>
      <c r="T48" s="2734"/>
      <c r="U48" s="2734"/>
      <c r="V48" s="2734"/>
      <c r="W48" s="2734"/>
      <c r="X48" s="2734"/>
      <c r="Y48" s="2734"/>
      <c r="Z48" s="2734"/>
      <c r="AA48" s="2734"/>
      <c r="AB48" s="2734"/>
      <c r="AC48" s="2734"/>
    </row>
    <row r="49" spans="1:29" s="108" customFormat="1" ht="15">
      <c r="A49" s="458"/>
      <c r="B49" s="459"/>
      <c r="C49" s="1176">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3330</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671" t="s">
        <v>1768</v>
      </c>
      <c r="D4" s="3672"/>
      <c r="E4" s="3673" t="s">
        <v>1769</v>
      </c>
      <c r="F4" s="3674"/>
      <c r="G4" s="3671" t="s">
        <v>1770</v>
      </c>
      <c r="H4" s="3672"/>
      <c r="I4" s="3671" t="s">
        <v>1771</v>
      </c>
      <c r="J4" s="3672"/>
      <c r="K4" s="559" t="s">
        <v>1772</v>
      </c>
      <c r="L4" s="2708"/>
      <c r="M4" s="2709"/>
      <c r="N4" s="2709"/>
      <c r="O4" s="2709"/>
      <c r="P4" s="3675" t="s">
        <v>1773</v>
      </c>
      <c r="Q4" s="3676"/>
      <c r="R4" s="3681" t="s">
        <v>1769</v>
      </c>
      <c r="S4" s="3682"/>
      <c r="T4" s="3681" t="s">
        <v>1770</v>
      </c>
      <c r="U4" s="3682"/>
      <c r="V4" s="3666" t="s">
        <v>1771</v>
      </c>
      <c r="W4" s="3666"/>
      <c r="X4" s="1354"/>
      <c r="Y4" s="3681" t="s">
        <v>1773</v>
      </c>
      <c r="Z4" s="3682"/>
      <c r="AA4" s="3668" t="s">
        <v>1769</v>
      </c>
      <c r="AB4" s="3669" t="s">
        <v>1770</v>
      </c>
      <c r="AC4" s="3668" t="s">
        <v>1771</v>
      </c>
    </row>
    <row r="5" spans="1:29" ht="15">
      <c r="A5" s="358"/>
      <c r="B5" s="359"/>
      <c r="C5" s="3689" t="s">
        <v>1671</v>
      </c>
      <c r="D5" s="3690"/>
      <c r="E5" s="3697" t="s">
        <v>1672</v>
      </c>
      <c r="F5" s="3698"/>
      <c r="G5" s="3689" t="s">
        <v>1673</v>
      </c>
      <c r="H5" s="3690"/>
      <c r="I5" s="3689" t="s">
        <v>1674</v>
      </c>
      <c r="J5" s="3690"/>
      <c r="K5" s="559"/>
      <c r="L5" s="2708"/>
      <c r="M5" s="2709"/>
      <c r="N5" s="2709"/>
      <c r="O5" s="2709"/>
      <c r="P5" s="3677"/>
      <c r="Q5" s="3678"/>
      <c r="R5" s="3683"/>
      <c r="S5" s="3684"/>
      <c r="T5" s="3683"/>
      <c r="U5" s="3684"/>
      <c r="V5" s="3666"/>
      <c r="W5" s="3666"/>
      <c r="X5" s="1354"/>
      <c r="Y5" s="3683"/>
      <c r="Z5" s="3684"/>
      <c r="AA5" s="3669"/>
      <c r="AB5" s="3669"/>
      <c r="AC5" s="3669"/>
    </row>
    <row r="6" spans="1:29" ht="15.75" thickBot="1">
      <c r="A6" s="360"/>
      <c r="B6" s="361"/>
      <c r="C6" s="3687" t="s">
        <v>1675</v>
      </c>
      <c r="D6" s="3688"/>
      <c r="E6" s="3695" t="s">
        <v>1675</v>
      </c>
      <c r="F6" s="3696"/>
      <c r="G6" s="3687" t="s">
        <v>1675</v>
      </c>
      <c r="H6" s="3688"/>
      <c r="I6" s="3687" t="s">
        <v>1675</v>
      </c>
      <c r="J6" s="3688"/>
      <c r="K6" s="559" t="s">
        <v>1676</v>
      </c>
      <c r="L6" s="2708"/>
      <c r="M6" s="2709"/>
      <c r="N6" s="2709"/>
      <c r="O6" s="2709"/>
      <c r="P6" s="3679"/>
      <c r="Q6" s="3680"/>
      <c r="R6" s="3683"/>
      <c r="S6" s="3684"/>
      <c r="T6" s="3685"/>
      <c r="U6" s="3686"/>
      <c r="V6" s="3666"/>
      <c r="W6" s="3666"/>
      <c r="X6" s="1354"/>
      <c r="Y6" s="3685"/>
      <c r="Z6" s="3686"/>
      <c r="AA6" s="3670"/>
      <c r="AB6" s="3670"/>
      <c r="AC6" s="3670"/>
    </row>
    <row r="7" spans="1:29" s="108" customFormat="1" ht="15.75" thickBot="1">
      <c r="A7" s="362" t="s">
        <v>1677</v>
      </c>
      <c r="B7" s="363"/>
      <c r="C7" s="364">
        <f>'数据-取费表'!B2</f>
        <v>45058</v>
      </c>
      <c r="D7" s="365">
        <v>100</v>
      </c>
      <c r="E7" s="366"/>
      <c r="F7" s="367">
        <f>SUMIF(46:46,YEAR(E7)&amp;"-"&amp;MONTH(E7),47:47)</f>
        <v>0</v>
      </c>
      <c r="G7" s="1973"/>
      <c r="H7" s="365">
        <f>SUMIF(46:46,YEAR(G7)&amp;"-"&amp;MONTH(G7),47:47)</f>
        <v>0</v>
      </c>
      <c r="I7" s="366"/>
      <c r="J7" s="365">
        <f>SUMIF(46:46,YEAR(I7)&amp;"-"&amp;MONTH(I7),47:47)</f>
        <v>0</v>
      </c>
      <c r="K7" s="560"/>
      <c r="L7" s="2710"/>
      <c r="M7" s="2711"/>
      <c r="N7" s="2711"/>
      <c r="O7" s="2711"/>
      <c r="P7" s="3691" t="s">
        <v>1678</v>
      </c>
      <c r="Q7" s="3693"/>
      <c r="R7" s="700" t="s">
        <v>14</v>
      </c>
      <c r="S7" s="701">
        <f t="shared" ref="S7:S14" si="0">F7</f>
        <v>0</v>
      </c>
      <c r="T7" s="700" t="s">
        <v>14</v>
      </c>
      <c r="U7" s="701">
        <f t="shared" ref="U7:U14" si="1">H7</f>
        <v>0</v>
      </c>
      <c r="V7" s="700" t="s">
        <v>14</v>
      </c>
      <c r="W7" s="701">
        <f t="shared" ref="W7:W14"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1" t="s">
        <v>1681</v>
      </c>
      <c r="Q8" s="3692"/>
      <c r="R8" s="700" t="s">
        <v>14</v>
      </c>
      <c r="S8" s="701">
        <f t="shared" si="0"/>
        <v>100</v>
      </c>
      <c r="T8" s="700" t="s">
        <v>14</v>
      </c>
      <c r="U8" s="701">
        <f t="shared" si="1"/>
        <v>100</v>
      </c>
      <c r="V8" s="700" t="s">
        <v>14</v>
      </c>
      <c r="W8" s="701">
        <f t="shared" si="2"/>
        <v>100</v>
      </c>
      <c r="X8" s="702"/>
      <c r="Y8" s="3691" t="s">
        <v>1681</v>
      </c>
      <c r="Z8" s="369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2" t="s">
        <v>1684</v>
      </c>
      <c r="Q9" s="1342" t="str">
        <f t="shared" ref="Q9:Q14" si="6">B9</f>
        <v>用途</v>
      </c>
      <c r="R9" s="700" t="s">
        <v>14</v>
      </c>
      <c r="S9" s="701">
        <f t="shared" si="0"/>
        <v>100</v>
      </c>
      <c r="T9" s="700" t="s">
        <v>14</v>
      </c>
      <c r="U9" s="701">
        <f t="shared" si="1"/>
        <v>100</v>
      </c>
      <c r="V9" s="700" t="s">
        <v>14</v>
      </c>
      <c r="W9" s="701">
        <f t="shared" si="2"/>
        <v>100</v>
      </c>
      <c r="X9" s="702"/>
      <c r="Y9" s="3551" t="s">
        <v>1685</v>
      </c>
      <c r="Z9" s="52" t="str">
        <f t="shared" ref="Z9:Z14" si="7">Q9</f>
        <v>用途</v>
      </c>
      <c r="AA9" s="703">
        <f t="shared" si="3"/>
        <v>1</v>
      </c>
      <c r="AB9" s="703">
        <f t="shared" si="4"/>
        <v>1</v>
      </c>
      <c r="AC9" s="703">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52"/>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2"/>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2"/>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5"/>
      <c r="M13" s="2709"/>
      <c r="N13" s="2709"/>
      <c r="O13" s="2767"/>
      <c r="P13" s="3652"/>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59" t="s">
        <v>1689</v>
      </c>
      <c r="Q14" s="1351" t="str">
        <f t="shared" si="6"/>
        <v>交通便捷度</v>
      </c>
      <c r="R14" s="704" t="s">
        <v>14</v>
      </c>
      <c r="S14" s="705">
        <f t="shared" si="0"/>
        <v>100</v>
      </c>
      <c r="T14" s="704" t="s">
        <v>14</v>
      </c>
      <c r="U14" s="705">
        <f t="shared" si="1"/>
        <v>100</v>
      </c>
      <c r="V14" s="704" t="s">
        <v>14</v>
      </c>
      <c r="W14" s="705">
        <f t="shared" si="2"/>
        <v>100</v>
      </c>
      <c r="X14" s="1354"/>
      <c r="Y14" s="3659"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5"/>
      <c r="M15" s="2709"/>
      <c r="N15" s="2709"/>
      <c r="O15" s="2767"/>
      <c r="P15" s="3660"/>
      <c r="Q15" s="1351"/>
      <c r="R15" s="704"/>
      <c r="S15" s="705"/>
      <c r="T15" s="704"/>
      <c r="U15" s="705"/>
      <c r="V15" s="704"/>
      <c r="W15" s="705"/>
      <c r="X15" s="1354"/>
      <c r="Y15" s="3660"/>
      <c r="Z15" s="1355"/>
      <c r="AA15" s="1352">
        <v>1</v>
      </c>
      <c r="AB15" s="1352">
        <v>1</v>
      </c>
      <c r="AC15" s="1352">
        <v>1</v>
      </c>
    </row>
    <row r="16" spans="1:29" ht="1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0"/>
      <c r="Q16" s="1351" t="str">
        <f>B16</f>
        <v>公共配套设施</v>
      </c>
      <c r="R16" s="704" t="s">
        <v>14</v>
      </c>
      <c r="S16" s="705">
        <f>F16</f>
        <v>100</v>
      </c>
      <c r="T16" s="704" t="s">
        <v>14</v>
      </c>
      <c r="U16" s="705">
        <f>H16</f>
        <v>100</v>
      </c>
      <c r="V16" s="704" t="s">
        <v>14</v>
      </c>
      <c r="W16" s="705">
        <f>J16</f>
        <v>100</v>
      </c>
      <c r="X16" s="1354"/>
      <c r="Y16" s="366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5"/>
      <c r="M17" s="2709"/>
      <c r="N17" s="2709"/>
      <c r="O17" s="2767"/>
      <c r="P17" s="3660"/>
      <c r="Q17" s="1351"/>
      <c r="R17" s="704"/>
      <c r="S17" s="705"/>
      <c r="T17" s="704"/>
      <c r="U17" s="705"/>
      <c r="V17" s="704"/>
      <c r="W17" s="705"/>
      <c r="X17" s="1354"/>
      <c r="Y17" s="3660"/>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0"/>
      <c r="Q18" s="1351" t="str">
        <f>B18</f>
        <v>基础设施水平</v>
      </c>
      <c r="R18" s="704" t="s">
        <v>14</v>
      </c>
      <c r="S18" s="705">
        <f>F18</f>
        <v>100</v>
      </c>
      <c r="T18" s="704" t="s">
        <v>14</v>
      </c>
      <c r="U18" s="705">
        <f>H18</f>
        <v>100</v>
      </c>
      <c r="V18" s="704" t="s">
        <v>14</v>
      </c>
      <c r="W18" s="705">
        <f>J18</f>
        <v>100</v>
      </c>
      <c r="X18" s="1354"/>
      <c r="Y18" s="366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5"/>
      <c r="M19" s="2709"/>
      <c r="N19" s="2709"/>
      <c r="O19" s="2767"/>
      <c r="P19" s="3660"/>
      <c r="Q19" s="1351"/>
      <c r="R19" s="704"/>
      <c r="S19" s="705"/>
      <c r="T19" s="704"/>
      <c r="U19" s="705"/>
      <c r="V19" s="704"/>
      <c r="W19" s="705"/>
      <c r="X19" s="1354"/>
      <c r="Y19" s="3660"/>
      <c r="Z19" s="1355"/>
      <c r="AA19" s="1352">
        <v>1</v>
      </c>
      <c r="AB19" s="1352">
        <v>1</v>
      </c>
      <c r="AC19" s="1352">
        <v>1</v>
      </c>
    </row>
    <row r="20" spans="1:29" ht="15">
      <c r="A20" s="379"/>
      <c r="B20" s="402" t="s">
        <v>1832</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0"/>
      <c r="Q20" s="1351" t="str">
        <f>B20</f>
        <v>自然及人文环境</v>
      </c>
      <c r="R20" s="704" t="s">
        <v>14</v>
      </c>
      <c r="S20" s="705">
        <f>F20</f>
        <v>100</v>
      </c>
      <c r="T20" s="704" t="s">
        <v>14</v>
      </c>
      <c r="U20" s="705">
        <f>H20</f>
        <v>100</v>
      </c>
      <c r="V20" s="704" t="s">
        <v>14</v>
      </c>
      <c r="W20" s="705">
        <f>J20</f>
        <v>100</v>
      </c>
      <c r="X20" s="1354"/>
      <c r="Y20" s="366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5"/>
      <c r="M21" s="2709"/>
      <c r="N21" s="2709"/>
      <c r="O21" s="2767"/>
      <c r="P21" s="3660"/>
      <c r="Q21" s="1351"/>
      <c r="R21" s="704"/>
      <c r="S21" s="705"/>
      <c r="T21" s="704"/>
      <c r="U21" s="705"/>
      <c r="V21" s="704"/>
      <c r="W21" s="705"/>
      <c r="X21" s="1354"/>
      <c r="Y21" s="3660"/>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0"/>
      <c r="Q22" s="1351" t="str">
        <f>B22</f>
        <v>楼层</v>
      </c>
      <c r="R22" s="704" t="s">
        <v>14</v>
      </c>
      <c r="S22" s="705">
        <f>F22</f>
        <v>100</v>
      </c>
      <c r="T22" s="704" t="s">
        <v>14</v>
      </c>
      <c r="U22" s="705">
        <f>H22</f>
        <v>100</v>
      </c>
      <c r="V22" s="704" t="s">
        <v>14</v>
      </c>
      <c r="W22" s="705">
        <f>J22</f>
        <v>100</v>
      </c>
      <c r="X22" s="1354"/>
      <c r="Y22" s="366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0"/>
      <c r="Q23" s="1351">
        <f>B23</f>
        <v>111</v>
      </c>
      <c r="R23" s="704" t="s">
        <v>14</v>
      </c>
      <c r="S23" s="705">
        <f>F23</f>
        <v>100</v>
      </c>
      <c r="T23" s="704" t="s">
        <v>14</v>
      </c>
      <c r="U23" s="705">
        <f>H23</f>
        <v>100</v>
      </c>
      <c r="V23" s="704" t="s">
        <v>14</v>
      </c>
      <c r="W23" s="705">
        <f>J23</f>
        <v>100</v>
      </c>
      <c r="X23" s="1354"/>
      <c r="Y23" s="366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0"/>
      <c r="Q24" s="1351">
        <f t="shared" ref="Q24:Q34" si="11">B24</f>
        <v>111</v>
      </c>
      <c r="R24" s="704" t="s">
        <v>14</v>
      </c>
      <c r="S24" s="705">
        <f>F24</f>
        <v>100</v>
      </c>
      <c r="T24" s="704" t="s">
        <v>14</v>
      </c>
      <c r="U24" s="705">
        <f>H24</f>
        <v>100</v>
      </c>
      <c r="V24" s="704" t="s">
        <v>14</v>
      </c>
      <c r="W24" s="705">
        <f>J24</f>
        <v>100</v>
      </c>
      <c r="X24" s="1354"/>
      <c r="Y24" s="366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0"/>
      <c r="M25" s="2711"/>
      <c r="N25" s="2711"/>
      <c r="O25" s="2765"/>
      <c r="P25" s="3660"/>
      <c r="Q25" s="1342">
        <f t="shared" si="11"/>
        <v>111</v>
      </c>
      <c r="R25" s="700" t="s">
        <v>14</v>
      </c>
      <c r="S25" s="701">
        <f>F25</f>
        <v>100</v>
      </c>
      <c r="T25" s="700" t="s">
        <v>14</v>
      </c>
      <c r="U25" s="701">
        <f>H25</f>
        <v>100</v>
      </c>
      <c r="V25" s="700" t="s">
        <v>14</v>
      </c>
      <c r="W25" s="701">
        <f>J25</f>
        <v>100</v>
      </c>
      <c r="X25" s="702"/>
      <c r="Y25" s="3660"/>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15"/>
      <c r="M26" s="2709"/>
      <c r="N26" s="2709"/>
      <c r="O26" s="2767"/>
      <c r="P26" s="3735"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4"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64"/>
      <c r="Q27" s="706" t="str">
        <f t="shared" si="11"/>
        <v>成新率</v>
      </c>
      <c r="R27" s="707" t="s">
        <v>14</v>
      </c>
      <c r="S27" s="708" t="e">
        <f t="shared" si="12"/>
        <v>#N/A</v>
      </c>
      <c r="T27" s="707" t="s">
        <v>14</v>
      </c>
      <c r="U27" s="708" t="e">
        <f t="shared" si="13"/>
        <v>#N/A</v>
      </c>
      <c r="V27" s="707" t="s">
        <v>14</v>
      </c>
      <c r="W27" s="708" t="e">
        <f t="shared" si="14"/>
        <v>#N/A</v>
      </c>
      <c r="X27" s="709"/>
      <c r="Y27" s="3664"/>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64"/>
      <c r="Q28" s="1351" t="str">
        <f t="shared" si="11"/>
        <v>物业等级</v>
      </c>
      <c r="R28" s="704" t="s">
        <v>14</v>
      </c>
      <c r="S28" s="705">
        <f t="shared" si="12"/>
        <v>100</v>
      </c>
      <c r="T28" s="704" t="s">
        <v>14</v>
      </c>
      <c r="U28" s="705">
        <f t="shared" si="13"/>
        <v>100</v>
      </c>
      <c r="V28" s="704" t="s">
        <v>14</v>
      </c>
      <c r="W28" s="705">
        <f t="shared" si="14"/>
        <v>100</v>
      </c>
      <c r="X28" s="1354"/>
      <c r="Y28" s="3664"/>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664"/>
      <c r="Q29" s="1351" t="str">
        <f t="shared" si="11"/>
        <v>有无电梯</v>
      </c>
      <c r="R29" s="704" t="s">
        <v>14</v>
      </c>
      <c r="S29" s="705">
        <f t="shared" si="12"/>
        <v>100</v>
      </c>
      <c r="T29" s="704" t="s">
        <v>14</v>
      </c>
      <c r="U29" s="705">
        <f t="shared" si="13"/>
        <v>100</v>
      </c>
      <c r="V29" s="704" t="s">
        <v>14</v>
      </c>
      <c r="W29" s="705">
        <f t="shared" si="14"/>
        <v>100</v>
      </c>
      <c r="X29" s="1354"/>
      <c r="Y29" s="3664"/>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64"/>
      <c r="Q30" s="1351" t="str">
        <f t="shared" si="11"/>
        <v>建筑面积</v>
      </c>
      <c r="R30" s="704" t="s">
        <v>14</v>
      </c>
      <c r="S30" s="705" t="e">
        <f t="shared" si="12"/>
        <v>#N/A</v>
      </c>
      <c r="T30" s="704" t="s">
        <v>14</v>
      </c>
      <c r="U30" s="705" t="e">
        <f t="shared" si="13"/>
        <v>#N/A</v>
      </c>
      <c r="V30" s="704" t="s">
        <v>14</v>
      </c>
      <c r="W30" s="705" t="e">
        <f t="shared" si="14"/>
        <v>#N/A</v>
      </c>
      <c r="X30" s="1354"/>
      <c r="Y30" s="3664"/>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664"/>
      <c r="Q31" s="1342" t="str">
        <f t="shared" si="11"/>
        <v>是否封闭</v>
      </c>
      <c r="R31" s="700" t="s">
        <v>14</v>
      </c>
      <c r="S31" s="701">
        <f t="shared" si="12"/>
        <v>100</v>
      </c>
      <c r="T31" s="700" t="s">
        <v>14</v>
      </c>
      <c r="U31" s="701">
        <f t="shared" si="13"/>
        <v>100</v>
      </c>
      <c r="V31" s="700" t="s">
        <v>14</v>
      </c>
      <c r="W31" s="701">
        <f t="shared" si="14"/>
        <v>100</v>
      </c>
      <c r="X31" s="702"/>
      <c r="Y31" s="366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64" t="s">
        <v>1694</v>
      </c>
      <c r="Q32" s="1351">
        <f t="shared" si="11"/>
        <v>111</v>
      </c>
      <c r="R32" s="704" t="s">
        <v>14</v>
      </c>
      <c r="S32" s="705">
        <f t="shared" si="12"/>
        <v>100</v>
      </c>
      <c r="T32" s="704" t="s">
        <v>14</v>
      </c>
      <c r="U32" s="705">
        <f t="shared" si="13"/>
        <v>100</v>
      </c>
      <c r="V32" s="704" t="s">
        <v>14</v>
      </c>
      <c r="W32" s="705">
        <f t="shared" si="14"/>
        <v>100</v>
      </c>
      <c r="X32" s="1354"/>
      <c r="Y32" s="3664"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64"/>
      <c r="Q33" s="1351">
        <f t="shared" si="11"/>
        <v>111</v>
      </c>
      <c r="R33" s="704" t="s">
        <v>14</v>
      </c>
      <c r="S33" s="705">
        <f t="shared" si="12"/>
        <v>100</v>
      </c>
      <c r="T33" s="704" t="s">
        <v>14</v>
      </c>
      <c r="U33" s="705">
        <f t="shared" si="13"/>
        <v>100</v>
      </c>
      <c r="V33" s="704" t="s">
        <v>14</v>
      </c>
      <c r="W33" s="705">
        <f t="shared" si="14"/>
        <v>100</v>
      </c>
      <c r="X33" s="1354"/>
      <c r="Y33" s="366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5"/>
      <c r="M34" s="2709"/>
      <c r="N34" s="2709"/>
      <c r="O34" s="2767"/>
      <c r="P34" s="3664"/>
      <c r="Q34" s="1351">
        <f t="shared" si="11"/>
        <v>111</v>
      </c>
      <c r="R34" s="704" t="s">
        <v>14</v>
      </c>
      <c r="S34" s="705">
        <f t="shared" si="12"/>
        <v>100</v>
      </c>
      <c r="T34" s="704" t="s">
        <v>14</v>
      </c>
      <c r="U34" s="705">
        <f t="shared" si="13"/>
        <v>100</v>
      </c>
      <c r="V34" s="704" t="s">
        <v>14</v>
      </c>
      <c r="W34" s="705">
        <f t="shared" si="14"/>
        <v>100</v>
      </c>
      <c r="X34" s="1354"/>
      <c r="Y34" s="3664"/>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7"/>
      <c r="M35" s="2718"/>
      <c r="N35" s="2709"/>
      <c r="O35" s="2718"/>
      <c r="P35" s="3652" t="str">
        <f>A35</f>
        <v>成交单价（元/平方米）</v>
      </c>
      <c r="Q35" s="3652"/>
      <c r="R35" s="3653">
        <f>E35</f>
        <v>0</v>
      </c>
      <c r="S35" s="3653"/>
      <c r="T35" s="3653">
        <f>G35</f>
        <v>0</v>
      </c>
      <c r="U35" s="3653"/>
      <c r="V35" s="3653">
        <f>I35</f>
        <v>0</v>
      </c>
      <c r="W35" s="3653"/>
      <c r="X35" s="689"/>
      <c r="Y35" s="711"/>
      <c r="Z35" s="689"/>
      <c r="AA35" s="689"/>
      <c r="AB35" s="689"/>
      <c r="AC35" s="689"/>
    </row>
    <row r="36" spans="1:30" ht="15.75" thickBot="1">
      <c r="A36" s="437" t="s">
        <v>1791</v>
      </c>
      <c r="B36" s="438"/>
      <c r="C36" s="1159" t="e">
        <f>R37</f>
        <v>#DIV/0!</v>
      </c>
      <c r="D36" s="2316" t="s">
        <v>2136</v>
      </c>
      <c r="E36" s="1160" t="e">
        <f>R36</f>
        <v>#DIV/0!</v>
      </c>
      <c r="F36" s="2317"/>
      <c r="G36" s="1159" t="e">
        <f>T36</f>
        <v>#DIV/0!</v>
      </c>
      <c r="H36" s="2317"/>
      <c r="I36" s="1160" t="e">
        <f>V36</f>
        <v>#DIV/0!</v>
      </c>
      <c r="J36" s="2317"/>
      <c r="K36" s="2319">
        <f>F36+H36+J36</f>
        <v>0</v>
      </c>
      <c r="L36" s="2717"/>
      <c r="M36" s="2718"/>
      <c r="N36" s="2709"/>
      <c r="O36" s="2718"/>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654" t="str">
        <f>A37</f>
        <v>估价对象XX用房的比较价值（楼面单价，元/平方米）</v>
      </c>
      <c r="Q37" s="3655"/>
      <c r="R37" s="3736" t="e">
        <f>IF(F1="售价",ROUND(IF(D36="简单平均",AVERAGE(R36:W36),R36*F36+T36*H36+V36*J36),0),ROUND(IF(D36="简单平均",AVERAGE(R36:V36),R36*F36+T36*H36+V36*J36),1))</f>
        <v>#DIV/0!</v>
      </c>
      <c r="S37" s="3736"/>
      <c r="T37" s="3736"/>
      <c r="U37" s="3736"/>
      <c r="V37" s="3736"/>
      <c r="W37" s="3736"/>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2">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671" t="s">
        <v>1768</v>
      </c>
      <c r="D4" s="3672"/>
      <c r="E4" s="3673" t="s">
        <v>1769</v>
      </c>
      <c r="F4" s="3674"/>
      <c r="G4" s="3671" t="s">
        <v>1770</v>
      </c>
      <c r="H4" s="3672"/>
      <c r="I4" s="3671" t="s">
        <v>1771</v>
      </c>
      <c r="J4" s="3672"/>
      <c r="K4" s="559" t="s">
        <v>1772</v>
      </c>
      <c r="L4" s="2708"/>
      <c r="M4" s="2709"/>
      <c r="N4" s="2709"/>
      <c r="O4" s="2709"/>
      <c r="P4" s="3675" t="s">
        <v>1773</v>
      </c>
      <c r="Q4" s="3676"/>
      <c r="R4" s="3681" t="s">
        <v>1769</v>
      </c>
      <c r="S4" s="3682"/>
      <c r="T4" s="3681" t="s">
        <v>1770</v>
      </c>
      <c r="U4" s="3682"/>
      <c r="V4" s="3666" t="s">
        <v>1771</v>
      </c>
      <c r="W4" s="3666"/>
      <c r="X4" s="1354"/>
      <c r="Y4" s="3681" t="s">
        <v>1773</v>
      </c>
      <c r="Z4" s="3682"/>
      <c r="AA4" s="3668" t="s">
        <v>1769</v>
      </c>
      <c r="AB4" s="3669" t="s">
        <v>1770</v>
      </c>
      <c r="AC4" s="3668" t="s">
        <v>1771</v>
      </c>
    </row>
    <row r="5" spans="1:30" ht="15">
      <c r="A5" s="358"/>
      <c r="B5" s="359"/>
      <c r="C5" s="3689" t="s">
        <v>1671</v>
      </c>
      <c r="D5" s="3690"/>
      <c r="E5" s="3697" t="s">
        <v>1672</v>
      </c>
      <c r="F5" s="3698"/>
      <c r="G5" s="3689" t="s">
        <v>1673</v>
      </c>
      <c r="H5" s="3690"/>
      <c r="I5" s="3689" t="s">
        <v>1674</v>
      </c>
      <c r="J5" s="3690"/>
      <c r="K5" s="559"/>
      <c r="L5" s="2708"/>
      <c r="M5" s="2709"/>
      <c r="N5" s="2709"/>
      <c r="O5" s="2709"/>
      <c r="P5" s="3677"/>
      <c r="Q5" s="3678"/>
      <c r="R5" s="3683"/>
      <c r="S5" s="3684"/>
      <c r="T5" s="3683"/>
      <c r="U5" s="3684"/>
      <c r="V5" s="3666"/>
      <c r="W5" s="3666"/>
      <c r="X5" s="1354"/>
      <c r="Y5" s="3683"/>
      <c r="Z5" s="3684"/>
      <c r="AA5" s="3669"/>
      <c r="AB5" s="3669"/>
      <c r="AC5" s="3669"/>
    </row>
    <row r="6" spans="1:30" ht="15.75" thickBot="1">
      <c r="A6" s="360"/>
      <c r="B6" s="361"/>
      <c r="C6" s="3687" t="s">
        <v>1675</v>
      </c>
      <c r="D6" s="3688"/>
      <c r="E6" s="3695" t="s">
        <v>1675</v>
      </c>
      <c r="F6" s="3696"/>
      <c r="G6" s="3687" t="s">
        <v>1675</v>
      </c>
      <c r="H6" s="3688"/>
      <c r="I6" s="3687" t="s">
        <v>1675</v>
      </c>
      <c r="J6" s="3688"/>
      <c r="K6" s="559" t="s">
        <v>1676</v>
      </c>
      <c r="L6" s="2708"/>
      <c r="M6" s="2709"/>
      <c r="N6" s="2709"/>
      <c r="O6" s="2709"/>
      <c r="P6" s="3679"/>
      <c r="Q6" s="3680"/>
      <c r="R6" s="3683"/>
      <c r="S6" s="3684"/>
      <c r="T6" s="3685"/>
      <c r="U6" s="3686"/>
      <c r="V6" s="3666"/>
      <c r="W6" s="3666"/>
      <c r="X6" s="1354"/>
      <c r="Y6" s="3685"/>
      <c r="Z6" s="3686"/>
      <c r="AA6" s="3670"/>
      <c r="AB6" s="3670"/>
      <c r="AC6" s="3670"/>
    </row>
    <row r="7" spans="1:30" s="108" customFormat="1" ht="15.75" thickBot="1">
      <c r="A7" s="362" t="s">
        <v>1677</v>
      </c>
      <c r="B7" s="363"/>
      <c r="C7" s="364">
        <f>'数据-取费表'!B2</f>
        <v>45058</v>
      </c>
      <c r="D7" s="365">
        <v>100</v>
      </c>
      <c r="E7" s="366"/>
      <c r="F7" s="367">
        <f>SUMIF(69:69,YEAR(E7)&amp;"-"&amp;INT((MONTH(E7)+2)/3),70:70)</f>
        <v>0</v>
      </c>
      <c r="G7" s="1973"/>
      <c r="H7" s="365">
        <f>SUMIF(69:69,YEAR(G7)&amp;"-"&amp;INT((MONTH(G7)+2)/3),70:70)</f>
        <v>0</v>
      </c>
      <c r="I7" s="1973"/>
      <c r="J7" s="365">
        <f>SUMIF(69:69,YEAR(I7)&amp;"-"&amp;INT((MONTH(I7)+2)/3),70:70)</f>
        <v>0</v>
      </c>
      <c r="K7" s="560"/>
      <c r="L7" s="2710"/>
      <c r="M7" s="2711"/>
      <c r="N7" s="2711"/>
      <c r="O7" s="2711"/>
      <c r="P7" s="3691" t="s">
        <v>1678</v>
      </c>
      <c r="Q7" s="3693"/>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1" t="s">
        <v>1681</v>
      </c>
      <c r="Q8" s="3692"/>
      <c r="R8" s="700" t="s">
        <v>14</v>
      </c>
      <c r="S8" s="701">
        <f t="shared" si="0"/>
        <v>0</v>
      </c>
      <c r="T8" s="700" t="s">
        <v>14</v>
      </c>
      <c r="U8" s="701">
        <f t="shared" si="1"/>
        <v>0</v>
      </c>
      <c r="V8" s="700" t="s">
        <v>14</v>
      </c>
      <c r="W8" s="701">
        <f t="shared" si="2"/>
        <v>0</v>
      </c>
      <c r="X8" s="702"/>
      <c r="Y8" s="3691" t="s">
        <v>1681</v>
      </c>
      <c r="Z8" s="3692"/>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0"/>
      <c r="M9" s="2711"/>
      <c r="N9" s="2711"/>
      <c r="O9" s="2765"/>
      <c r="P9" s="3652"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107</v>
      </c>
      <c r="G10" s="414"/>
      <c r="H10" s="127">
        <f>ROUND(100/'数据-取费表'!G16,0)</f>
        <v>107</v>
      </c>
      <c r="I10" s="414"/>
      <c r="J10" s="127">
        <f>ROUND(100/'数据-取费表'!G16,0)</f>
        <v>107</v>
      </c>
      <c r="K10" s="619"/>
      <c r="L10" s="2712"/>
      <c r="M10" s="2713"/>
      <c r="N10" s="2713"/>
      <c r="O10" s="2766"/>
      <c r="P10" s="3652"/>
      <c r="Q10" s="1342" t="str">
        <f t="shared" si="6"/>
        <v>土地使用年限（年）</v>
      </c>
      <c r="R10" s="700" t="s">
        <v>14</v>
      </c>
      <c r="S10" s="701">
        <f t="shared" si="0"/>
        <v>107</v>
      </c>
      <c r="T10" s="700" t="s">
        <v>14</v>
      </c>
      <c r="U10" s="701">
        <f t="shared" si="1"/>
        <v>107</v>
      </c>
      <c r="V10" s="700" t="s">
        <v>14</v>
      </c>
      <c r="W10" s="701">
        <f t="shared" si="2"/>
        <v>107</v>
      </c>
      <c r="X10" s="702"/>
      <c r="Y10" s="3551"/>
      <c r="Z10" s="52" t="str">
        <f t="shared" si="7"/>
        <v>土地使用年限（年）</v>
      </c>
      <c r="AA10" s="703">
        <f t="shared" si="3"/>
        <v>0.93457943925233644</v>
      </c>
      <c r="AB10" s="703">
        <f t="shared" si="4"/>
        <v>0.93457943925233644</v>
      </c>
      <c r="AC10" s="703">
        <f t="shared" si="5"/>
        <v>0.93457943925233644</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652"/>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652"/>
      <c r="Q12" s="1342" t="str">
        <f t="shared" si="6"/>
        <v>配建</v>
      </c>
      <c r="R12" s="700" t="s">
        <v>14</v>
      </c>
      <c r="S12" s="701">
        <f t="shared" si="0"/>
        <v>100</v>
      </c>
      <c r="T12" s="700" t="s">
        <v>14</v>
      </c>
      <c r="U12" s="701">
        <f t="shared" si="1"/>
        <v>100</v>
      </c>
      <c r="V12" s="700" t="s">
        <v>14</v>
      </c>
      <c r="W12" s="701">
        <f t="shared" si="2"/>
        <v>100</v>
      </c>
      <c r="X12" s="702"/>
      <c r="Y12" s="355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652"/>
      <c r="Q13" s="1342">
        <f t="shared" si="6"/>
        <v>111</v>
      </c>
      <c r="R13" s="700" t="s">
        <v>14</v>
      </c>
      <c r="S13" s="701">
        <f t="shared" si="0"/>
        <v>100</v>
      </c>
      <c r="T13" s="700" t="s">
        <v>14</v>
      </c>
      <c r="U13" s="701">
        <f t="shared" si="1"/>
        <v>100</v>
      </c>
      <c r="V13" s="700" t="s">
        <v>14</v>
      </c>
      <c r="W13" s="701">
        <f t="shared" si="2"/>
        <v>100</v>
      </c>
      <c r="X13" s="702"/>
      <c r="Y13" s="355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652"/>
      <c r="Q14" s="1342">
        <f t="shared" si="6"/>
        <v>111</v>
      </c>
      <c r="R14" s="700" t="s">
        <v>14</v>
      </c>
      <c r="S14" s="701">
        <f t="shared" si="0"/>
        <v>100</v>
      </c>
      <c r="T14" s="700" t="s">
        <v>14</v>
      </c>
      <c r="U14" s="701">
        <f t="shared" si="1"/>
        <v>100</v>
      </c>
      <c r="V14" s="700" t="s">
        <v>14</v>
      </c>
      <c r="W14" s="701">
        <f t="shared" si="2"/>
        <v>100</v>
      </c>
      <c r="X14" s="702"/>
      <c r="Y14" s="3551"/>
      <c r="Z14" s="52">
        <f t="shared" si="7"/>
        <v>111</v>
      </c>
      <c r="AA14" s="703">
        <f>D14/F14</f>
        <v>1</v>
      </c>
      <c r="AB14" s="703">
        <f>D14/H14</f>
        <v>1</v>
      </c>
      <c r="AC14" s="703">
        <f>D14/J14</f>
        <v>1</v>
      </c>
    </row>
    <row r="15" spans="1:30" ht="15">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659" t="s">
        <v>1689</v>
      </c>
      <c r="Q15" s="1351" t="str">
        <f t="shared" si="6"/>
        <v>居住社区成熟度</v>
      </c>
      <c r="R15" s="704" t="s">
        <v>14</v>
      </c>
      <c r="S15" s="705">
        <f t="shared" si="0"/>
        <v>100</v>
      </c>
      <c r="T15" s="704" t="s">
        <v>14</v>
      </c>
      <c r="U15" s="705">
        <f t="shared" si="1"/>
        <v>100</v>
      </c>
      <c r="V15" s="704" t="s">
        <v>14</v>
      </c>
      <c r="W15" s="705">
        <f t="shared" si="2"/>
        <v>100</v>
      </c>
      <c r="X15" s="1354"/>
      <c r="Y15" s="3659"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5"/>
      <c r="M16" s="2709"/>
      <c r="N16" s="2709"/>
      <c r="O16" s="2767"/>
      <c r="P16" s="3660"/>
      <c r="Q16" s="1351"/>
      <c r="R16" s="704"/>
      <c r="S16" s="705"/>
      <c r="T16" s="704"/>
      <c r="U16" s="705"/>
      <c r="V16" s="704"/>
      <c r="W16" s="705"/>
      <c r="X16" s="1354"/>
      <c r="Y16" s="3660"/>
      <c r="Z16" s="1355"/>
      <c r="AA16" s="1352">
        <v>1</v>
      </c>
      <c r="AB16" s="1352">
        <v>1</v>
      </c>
      <c r="AC16" s="1352">
        <v>1</v>
      </c>
    </row>
    <row r="17" spans="1:29" ht="15">
      <c r="A17" s="379"/>
      <c r="B17" s="402" t="s">
        <v>1775</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660"/>
      <c r="Q17" s="1351" t="str">
        <f>B17</f>
        <v>商业繁华度</v>
      </c>
      <c r="R17" s="704" t="s">
        <v>14</v>
      </c>
      <c r="S17" s="705">
        <f>F17</f>
        <v>100</v>
      </c>
      <c r="T17" s="704" t="s">
        <v>14</v>
      </c>
      <c r="U17" s="705">
        <f>H17</f>
        <v>100</v>
      </c>
      <c r="V17" s="704" t="s">
        <v>14</v>
      </c>
      <c r="W17" s="705">
        <f>J17</f>
        <v>100</v>
      </c>
      <c r="X17" s="1354"/>
      <c r="Y17" s="366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5"/>
      <c r="M18" s="2709"/>
      <c r="N18" s="2709"/>
      <c r="O18" s="2767"/>
      <c r="P18" s="3660"/>
      <c r="Q18" s="1351"/>
      <c r="R18" s="704"/>
      <c r="S18" s="705"/>
      <c r="T18" s="704"/>
      <c r="U18" s="705"/>
      <c r="V18" s="704"/>
      <c r="W18" s="705"/>
      <c r="X18" s="1354"/>
      <c r="Y18" s="3660"/>
      <c r="Z18" s="1355"/>
      <c r="AA18" s="1352">
        <v>1</v>
      </c>
      <c r="AB18" s="1352">
        <v>1</v>
      </c>
      <c r="AC18" s="1352">
        <v>1</v>
      </c>
    </row>
    <row r="19" spans="1:29" ht="15">
      <c r="A19" s="379"/>
      <c r="B19" s="402" t="s">
        <v>1809</v>
      </c>
      <c r="C19" s="1954"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660"/>
      <c r="Q19" s="1351" t="str">
        <f>B19</f>
        <v>办公集聚程度</v>
      </c>
      <c r="R19" s="704" t="s">
        <v>14</v>
      </c>
      <c r="S19" s="705">
        <f>F19</f>
        <v>100</v>
      </c>
      <c r="T19" s="704" t="s">
        <v>14</v>
      </c>
      <c r="U19" s="705">
        <f>H19</f>
        <v>100</v>
      </c>
      <c r="V19" s="704" t="s">
        <v>14</v>
      </c>
      <c r="W19" s="705">
        <f>J19</f>
        <v>100</v>
      </c>
      <c r="X19" s="1354"/>
      <c r="Y19" s="366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5"/>
      <c r="M20" s="2709"/>
      <c r="N20" s="2709"/>
      <c r="O20" s="2767"/>
      <c r="P20" s="3660"/>
      <c r="Q20" s="1351"/>
      <c r="R20" s="704"/>
      <c r="S20" s="705"/>
      <c r="T20" s="704"/>
      <c r="U20" s="705"/>
      <c r="V20" s="704"/>
      <c r="W20" s="705"/>
      <c r="X20" s="1354"/>
      <c r="Y20" s="3660"/>
      <c r="Z20" s="1355"/>
      <c r="AA20" s="1352">
        <v>1</v>
      </c>
      <c r="AB20" s="1352">
        <v>1</v>
      </c>
      <c r="AC20" s="1352">
        <v>1</v>
      </c>
    </row>
    <row r="21" spans="1:29" ht="15">
      <c r="A21" s="379"/>
      <c r="B21" s="402" t="s">
        <v>1831</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660"/>
      <c r="Q21" s="1351" t="str">
        <f>B21</f>
        <v>交通便捷度</v>
      </c>
      <c r="R21" s="704" t="s">
        <v>14</v>
      </c>
      <c r="S21" s="705">
        <f>F21</f>
        <v>100</v>
      </c>
      <c r="T21" s="704" t="s">
        <v>14</v>
      </c>
      <c r="U21" s="705">
        <f>H21</f>
        <v>100</v>
      </c>
      <c r="V21" s="704" t="s">
        <v>14</v>
      </c>
      <c r="W21" s="705">
        <f>J21</f>
        <v>100</v>
      </c>
      <c r="X21" s="1354"/>
      <c r="Y21" s="366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5"/>
      <c r="M22" s="2709"/>
      <c r="N22" s="2709"/>
      <c r="O22" s="2767"/>
      <c r="P22" s="3660"/>
      <c r="Q22" s="1351"/>
      <c r="R22" s="704"/>
      <c r="S22" s="705"/>
      <c r="T22" s="704"/>
      <c r="U22" s="705"/>
      <c r="V22" s="704"/>
      <c r="W22" s="705"/>
      <c r="X22" s="1354"/>
      <c r="Y22" s="3660"/>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660"/>
      <c r="Q23" s="1351" t="str">
        <f t="shared" ref="Q23:Q37" si="8">B23</f>
        <v>区域土地利用方向</v>
      </c>
      <c r="R23" s="704" t="s">
        <v>14</v>
      </c>
      <c r="S23" s="705">
        <f>F23</f>
        <v>100</v>
      </c>
      <c r="T23" s="704" t="s">
        <v>14</v>
      </c>
      <c r="U23" s="705">
        <f>H23</f>
        <v>100</v>
      </c>
      <c r="V23" s="704" t="s">
        <v>14</v>
      </c>
      <c r="W23" s="705">
        <f>J23</f>
        <v>100</v>
      </c>
      <c r="X23" s="1354"/>
      <c r="Y23" s="366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5"/>
      <c r="M24" s="2709"/>
      <c r="N24" s="2709"/>
      <c r="O24" s="2767"/>
      <c r="P24" s="3660"/>
      <c r="Q24" s="1351"/>
      <c r="R24" s="704"/>
      <c r="S24" s="705"/>
      <c r="T24" s="704"/>
      <c r="U24" s="705"/>
      <c r="V24" s="704"/>
      <c r="W24" s="705"/>
      <c r="X24" s="1354"/>
      <c r="Y24" s="3660"/>
      <c r="Z24" s="1355"/>
      <c r="AA24" s="1352"/>
      <c r="AB24" s="1352"/>
      <c r="AC24" s="1352"/>
    </row>
    <row r="25" spans="1:29" ht="27">
      <c r="A25" s="358"/>
      <c r="B25" s="1130" t="s">
        <v>1870</v>
      </c>
      <c r="C25" s="1954"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660"/>
      <c r="Q25" s="1351" t="str">
        <f t="shared" si="8"/>
        <v>自然及人文环境状况</v>
      </c>
      <c r="R25" s="704" t="s">
        <v>14</v>
      </c>
      <c r="S25" s="705">
        <f>F25</f>
        <v>100</v>
      </c>
      <c r="T25" s="704" t="s">
        <v>14</v>
      </c>
      <c r="U25" s="705">
        <f>H25</f>
        <v>100</v>
      </c>
      <c r="V25" s="704" t="s">
        <v>14</v>
      </c>
      <c r="W25" s="705">
        <f>J25</f>
        <v>100</v>
      </c>
      <c r="X25" s="1354"/>
      <c r="Y25" s="366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5"/>
      <c r="M26" s="2709"/>
      <c r="N26" s="2709"/>
      <c r="O26" s="2767"/>
      <c r="P26" s="3660"/>
      <c r="Q26" s="1351"/>
      <c r="R26" s="704"/>
      <c r="S26" s="705"/>
      <c r="T26" s="704"/>
      <c r="U26" s="705"/>
      <c r="V26" s="704"/>
      <c r="W26" s="705"/>
      <c r="X26" s="1354"/>
      <c r="Y26" s="3660"/>
      <c r="Z26" s="1355"/>
      <c r="AA26" s="1352">
        <v>1</v>
      </c>
      <c r="AB26" s="1352">
        <v>1</v>
      </c>
      <c r="AC26" s="1352">
        <v>1</v>
      </c>
    </row>
    <row r="27" spans="1:29" s="108" customFormat="1" ht="15">
      <c r="A27" s="596"/>
      <c r="B27" s="1130" t="s">
        <v>1776</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660"/>
      <c r="Q27" s="1342" t="str">
        <f t="shared" si="8"/>
        <v>公共配套设施</v>
      </c>
      <c r="R27" s="700" t="s">
        <v>14</v>
      </c>
      <c r="S27" s="701">
        <f>F27</f>
        <v>100</v>
      </c>
      <c r="T27" s="700" t="s">
        <v>14</v>
      </c>
      <c r="U27" s="701">
        <f>H27</f>
        <v>100</v>
      </c>
      <c r="V27" s="700" t="s">
        <v>14</v>
      </c>
      <c r="W27" s="701">
        <f>J27</f>
        <v>100</v>
      </c>
      <c r="X27" s="702"/>
      <c r="Y27" s="366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0"/>
      <c r="M28" s="2711"/>
      <c r="N28" s="2711"/>
      <c r="O28" s="2765"/>
      <c r="P28" s="3660"/>
      <c r="Q28" s="1342"/>
      <c r="R28" s="700"/>
      <c r="S28" s="701"/>
      <c r="T28" s="700"/>
      <c r="U28" s="701"/>
      <c r="V28" s="700"/>
      <c r="W28" s="701"/>
      <c r="X28" s="702"/>
      <c r="Y28" s="3660"/>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660"/>
      <c r="Q29" s="1342" t="str">
        <f t="shared" ref="Q29" si="9">B29</f>
        <v>基础设施水平</v>
      </c>
      <c r="R29" s="700" t="s">
        <v>14</v>
      </c>
      <c r="S29" s="701">
        <f>F29</f>
        <v>100</v>
      </c>
      <c r="T29" s="700" t="s">
        <v>14</v>
      </c>
      <c r="U29" s="701">
        <f>H29</f>
        <v>100</v>
      </c>
      <c r="V29" s="700" t="s">
        <v>14</v>
      </c>
      <c r="W29" s="701">
        <f>J29</f>
        <v>100</v>
      </c>
      <c r="X29" s="702"/>
      <c r="Y29" s="366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0"/>
      <c r="M30" s="2711"/>
      <c r="N30" s="2711"/>
      <c r="O30" s="2765"/>
      <c r="P30" s="3660"/>
      <c r="Q30" s="1342"/>
      <c r="R30" s="700"/>
      <c r="S30" s="701"/>
      <c r="T30" s="700"/>
      <c r="U30" s="701"/>
      <c r="V30" s="700"/>
      <c r="W30" s="701"/>
      <c r="X30" s="702"/>
      <c r="Y30" s="3660"/>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66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0"/>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660"/>
      <c r="Q32" s="1351" t="str">
        <f t="shared" si="8"/>
        <v>毗邻道路的类型与等级</v>
      </c>
      <c r="R32" s="704" t="s">
        <v>14</v>
      </c>
      <c r="S32" s="705">
        <f t="shared" si="10"/>
        <v>100</v>
      </c>
      <c r="T32" s="704" t="s">
        <v>14</v>
      </c>
      <c r="U32" s="705">
        <f t="shared" si="11"/>
        <v>100</v>
      </c>
      <c r="V32" s="704" t="s">
        <v>14</v>
      </c>
      <c r="W32" s="705">
        <f t="shared" si="12"/>
        <v>100</v>
      </c>
      <c r="X32" s="1354"/>
      <c r="Y32" s="366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5"/>
      <c r="M33" s="2709"/>
      <c r="N33" s="2709"/>
      <c r="O33" s="2767"/>
      <c r="P33" s="3660"/>
      <c r="Q33" s="1351"/>
      <c r="R33" s="704"/>
      <c r="S33" s="705"/>
      <c r="T33" s="704"/>
      <c r="U33" s="705"/>
      <c r="V33" s="704"/>
      <c r="W33" s="705"/>
      <c r="X33" s="1354"/>
      <c r="Y33" s="3660"/>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660"/>
      <c r="Q34" s="1351" t="str">
        <f t="shared" si="8"/>
        <v>土地级别</v>
      </c>
      <c r="R34" s="704" t="s">
        <v>14</v>
      </c>
      <c r="S34" s="705">
        <f t="shared" si="10"/>
        <v>100</v>
      </c>
      <c r="T34" s="704" t="s">
        <v>14</v>
      </c>
      <c r="U34" s="705">
        <f t="shared" si="11"/>
        <v>100</v>
      </c>
      <c r="V34" s="704" t="s">
        <v>14</v>
      </c>
      <c r="W34" s="705">
        <f t="shared" si="12"/>
        <v>100</v>
      </c>
      <c r="X34" s="1354"/>
      <c r="Y34" s="366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660"/>
      <c r="Q35" s="1351">
        <f t="shared" si="8"/>
        <v>111</v>
      </c>
      <c r="R35" s="704" t="s">
        <v>14</v>
      </c>
      <c r="S35" s="705">
        <f t="shared" si="10"/>
        <v>100</v>
      </c>
      <c r="T35" s="704" t="s">
        <v>14</v>
      </c>
      <c r="U35" s="705">
        <f t="shared" si="11"/>
        <v>100</v>
      </c>
      <c r="V35" s="704" t="s">
        <v>14</v>
      </c>
      <c r="W35" s="705">
        <f t="shared" si="12"/>
        <v>100</v>
      </c>
      <c r="X35" s="1354"/>
      <c r="Y35" s="366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735" t="s">
        <v>1694</v>
      </c>
      <c r="Q36" s="1351">
        <f t="shared" si="8"/>
        <v>111</v>
      </c>
      <c r="R36" s="704" t="s">
        <v>14</v>
      </c>
      <c r="S36" s="705">
        <f t="shared" si="10"/>
        <v>100</v>
      </c>
      <c r="T36" s="704" t="s">
        <v>14</v>
      </c>
      <c r="U36" s="705">
        <f t="shared" si="11"/>
        <v>100</v>
      </c>
      <c r="V36" s="704" t="s">
        <v>14</v>
      </c>
      <c r="W36" s="705">
        <f t="shared" si="12"/>
        <v>100</v>
      </c>
      <c r="X36" s="1354"/>
      <c r="Y36" s="3664"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664"/>
      <c r="Q37" s="1351">
        <f t="shared" si="8"/>
        <v>111</v>
      </c>
      <c r="R37" s="707" t="s">
        <v>14</v>
      </c>
      <c r="S37" s="708">
        <f t="shared" si="10"/>
        <v>100</v>
      </c>
      <c r="T37" s="707" t="s">
        <v>14</v>
      </c>
      <c r="U37" s="708">
        <f t="shared" si="11"/>
        <v>100</v>
      </c>
      <c r="V37" s="707" t="s">
        <v>14</v>
      </c>
      <c r="W37" s="708">
        <f t="shared" si="12"/>
        <v>100</v>
      </c>
      <c r="X37" s="709"/>
      <c r="Y37" s="3664"/>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664"/>
      <c r="Q38" s="1351" t="str">
        <f>B38</f>
        <v>宗地面积</v>
      </c>
      <c r="R38" s="704" t="s">
        <v>14</v>
      </c>
      <c r="S38" s="705" t="e">
        <f t="shared" si="10"/>
        <v>#N/A</v>
      </c>
      <c r="T38" s="704" t="s">
        <v>14</v>
      </c>
      <c r="U38" s="705" t="e">
        <f t="shared" si="11"/>
        <v>#N/A</v>
      </c>
      <c r="V38" s="704" t="s">
        <v>14</v>
      </c>
      <c r="W38" s="705" t="e">
        <f t="shared" si="12"/>
        <v>#N/A</v>
      </c>
      <c r="X38" s="1354"/>
      <c r="Y38" s="3664"/>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5"/>
      <c r="M39" s="2709"/>
      <c r="N39" s="2709"/>
      <c r="O39" s="2767"/>
      <c r="P39" s="3664"/>
      <c r="Q39" s="1351" t="str">
        <f t="shared" ref="Q39:Q45" si="14">B39</f>
        <v>宗地形状</v>
      </c>
      <c r="R39" s="704" t="s">
        <v>14</v>
      </c>
      <c r="S39" s="705">
        <f t="shared" si="10"/>
        <v>100</v>
      </c>
      <c r="T39" s="704" t="s">
        <v>14</v>
      </c>
      <c r="U39" s="705">
        <f t="shared" si="11"/>
        <v>100</v>
      </c>
      <c r="V39" s="704" t="s">
        <v>14</v>
      </c>
      <c r="W39" s="705">
        <f t="shared" si="12"/>
        <v>100</v>
      </c>
      <c r="X39" s="1354"/>
      <c r="Y39" s="3664"/>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5"/>
      <c r="M40" s="2709"/>
      <c r="N40" s="2709"/>
      <c r="O40" s="2767"/>
      <c r="P40" s="3664"/>
      <c r="Q40" s="1351" t="str">
        <f t="shared" si="14"/>
        <v>临街宽度及深度</v>
      </c>
      <c r="R40" s="704" t="s">
        <v>14</v>
      </c>
      <c r="S40" s="705">
        <f t="shared" si="10"/>
        <v>100</v>
      </c>
      <c r="T40" s="704" t="s">
        <v>14</v>
      </c>
      <c r="U40" s="705">
        <f t="shared" si="11"/>
        <v>100</v>
      </c>
      <c r="V40" s="704" t="s">
        <v>14</v>
      </c>
      <c r="W40" s="705">
        <f t="shared" si="12"/>
        <v>100</v>
      </c>
      <c r="X40" s="1354"/>
      <c r="Y40" s="3664"/>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0"/>
      <c r="M41" s="2711"/>
      <c r="N41" s="2711"/>
      <c r="O41" s="2765"/>
      <c r="P41" s="3664"/>
      <c r="Q41" s="1351" t="str">
        <f t="shared" si="14"/>
        <v>宗地开发程度</v>
      </c>
      <c r="R41" s="700" t="s">
        <v>14</v>
      </c>
      <c r="S41" s="701">
        <f t="shared" si="10"/>
        <v>100</v>
      </c>
      <c r="T41" s="700" t="s">
        <v>14</v>
      </c>
      <c r="U41" s="701">
        <f t="shared" si="11"/>
        <v>100</v>
      </c>
      <c r="V41" s="700" t="s">
        <v>14</v>
      </c>
      <c r="W41" s="701">
        <f t="shared" si="12"/>
        <v>100</v>
      </c>
      <c r="X41" s="702"/>
      <c r="Y41" s="3664"/>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5"/>
      <c r="M42" s="2709"/>
      <c r="N42" s="2709"/>
      <c r="O42" s="2767"/>
      <c r="P42" s="3664" t="s">
        <v>1694</v>
      </c>
      <c r="Q42" s="1351" t="str">
        <f t="shared" si="14"/>
        <v>工程地质条件</v>
      </c>
      <c r="R42" s="704" t="s">
        <v>14</v>
      </c>
      <c r="S42" s="705">
        <f t="shared" si="10"/>
        <v>100</v>
      </c>
      <c r="T42" s="704" t="s">
        <v>14</v>
      </c>
      <c r="U42" s="705">
        <f t="shared" si="11"/>
        <v>100</v>
      </c>
      <c r="V42" s="704" t="s">
        <v>14</v>
      </c>
      <c r="W42" s="705">
        <f t="shared" si="12"/>
        <v>100</v>
      </c>
      <c r="X42" s="1354"/>
      <c r="Y42" s="3664"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664"/>
      <c r="Q43" s="1351">
        <f t="shared" si="14"/>
        <v>111</v>
      </c>
      <c r="R43" s="704" t="s">
        <v>14</v>
      </c>
      <c r="S43" s="705">
        <f t="shared" si="10"/>
        <v>100</v>
      </c>
      <c r="T43" s="704" t="s">
        <v>14</v>
      </c>
      <c r="U43" s="705">
        <f t="shared" si="11"/>
        <v>100</v>
      </c>
      <c r="V43" s="704" t="s">
        <v>14</v>
      </c>
      <c r="W43" s="705">
        <f t="shared" si="12"/>
        <v>100</v>
      </c>
      <c r="X43" s="1354"/>
      <c r="Y43" s="366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664"/>
      <c r="Q44" s="1351">
        <f t="shared" si="14"/>
        <v>111</v>
      </c>
      <c r="R44" s="704" t="s">
        <v>14</v>
      </c>
      <c r="S44" s="705">
        <f t="shared" si="10"/>
        <v>100</v>
      </c>
      <c r="T44" s="704" t="s">
        <v>14</v>
      </c>
      <c r="U44" s="705">
        <f t="shared" si="11"/>
        <v>100</v>
      </c>
      <c r="V44" s="704" t="s">
        <v>14</v>
      </c>
      <c r="W44" s="705">
        <f t="shared" si="12"/>
        <v>100</v>
      </c>
      <c r="X44" s="1354"/>
      <c r="Y44" s="366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664"/>
      <c r="Q45" s="1351">
        <f t="shared" si="14"/>
        <v>111</v>
      </c>
      <c r="R45" s="707" t="s">
        <v>14</v>
      </c>
      <c r="S45" s="708">
        <f t="shared" si="10"/>
        <v>100</v>
      </c>
      <c r="T45" s="707" t="s">
        <v>14</v>
      </c>
      <c r="U45" s="708">
        <f t="shared" si="11"/>
        <v>100</v>
      </c>
      <c r="V45" s="707" t="s">
        <v>14</v>
      </c>
      <c r="W45" s="708">
        <f t="shared" si="12"/>
        <v>100</v>
      </c>
      <c r="X45" s="709"/>
      <c r="Y45" s="3664"/>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17"/>
      <c r="M46" s="2718"/>
      <c r="N46" s="2709"/>
      <c r="O46" s="2718"/>
      <c r="P46" s="3652" t="str">
        <f>A46</f>
        <v>成交单价</v>
      </c>
      <c r="Q46" s="3652"/>
      <c r="R46" s="3666">
        <f>E46</f>
        <v>0</v>
      </c>
      <c r="S46" s="3666"/>
      <c r="T46" s="3666">
        <f>G46</f>
        <v>0</v>
      </c>
      <c r="U46" s="3666"/>
      <c r="V46" s="3666">
        <f>I46</f>
        <v>0</v>
      </c>
      <c r="W46" s="3666"/>
      <c r="X46" s="689"/>
      <c r="Y46" s="711"/>
      <c r="Z46" s="689"/>
      <c r="AA46" s="689"/>
      <c r="AB46" s="689"/>
      <c r="AC46" s="689"/>
    </row>
    <row r="47" spans="1:29" ht="15.75" thickBot="1">
      <c r="A47" s="437" t="s">
        <v>1791</v>
      </c>
      <c r="B47" s="630"/>
      <c r="C47" s="440" t="e">
        <f>R48</f>
        <v>#DIV/0!</v>
      </c>
      <c r="D47" s="2316" t="s">
        <v>2136</v>
      </c>
      <c r="E47" s="440" t="e">
        <f>R47</f>
        <v>#DIV/0!</v>
      </c>
      <c r="F47" s="2317"/>
      <c r="G47" s="439" t="e">
        <f>T47</f>
        <v>#DIV/0!</v>
      </c>
      <c r="H47" s="2317"/>
      <c r="I47" s="440" t="e">
        <f>V47</f>
        <v>#DIV/0!</v>
      </c>
      <c r="J47" s="2317"/>
      <c r="K47" s="2319">
        <f>F47+H47+J47</f>
        <v>0</v>
      </c>
      <c r="L47" s="2717"/>
      <c r="M47" s="2718"/>
      <c r="N47" s="2718"/>
      <c r="O47" s="2718"/>
      <c r="P47" s="3652" t="str">
        <f>A47</f>
        <v>比较价值（元/平方米）</v>
      </c>
      <c r="Q47" s="3652"/>
      <c r="R47" s="3737" t="e">
        <f>ROUND(PRODUCT(R46,AA7:AA45),0)</f>
        <v>#DIV/0!</v>
      </c>
      <c r="S47" s="3737"/>
      <c r="T47" s="3737" t="e">
        <f>ROUND(PRODUCT(T46,AB7:AB45),0)</f>
        <v>#DIV/0!</v>
      </c>
      <c r="U47" s="3737"/>
      <c r="V47" s="3737" t="e">
        <f>ROUND(PRODUCT(V46,AC7:AC45),0)</f>
        <v>#DIV/0!</v>
      </c>
      <c r="W47" s="3737"/>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7"/>
      <c r="M48" s="2718"/>
      <c r="N48" s="2718"/>
      <c r="O48" s="2718"/>
      <c r="P48" s="3654" t="str">
        <f>A48</f>
        <v>估价对象XX用房的比较价值（楼面单价，元/平方米）</v>
      </c>
      <c r="Q48" s="3655"/>
      <c r="R48" s="3738" t="e">
        <f>ROUND(IF(D47="简单平均",AVERAGE(R47:W47),R47*F47+T47*H47+V47*J47),0)</f>
        <v>#DIV/0!</v>
      </c>
      <c r="S48" s="3738"/>
      <c r="T48" s="3738"/>
      <c r="U48" s="3738"/>
      <c r="V48" s="3738"/>
      <c r="W48" s="3738"/>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82" t="s">
        <v>1881</v>
      </c>
      <c r="D55" s="1983" t="s">
        <v>1882</v>
      </c>
      <c r="E55" s="633" t="s">
        <v>1883</v>
      </c>
      <c r="F55" s="889" t="s">
        <v>1884</v>
      </c>
      <c r="G55" s="3671" t="s">
        <v>1885</v>
      </c>
      <c r="H55" s="3739"/>
      <c r="I55" s="135" t="s">
        <v>1886</v>
      </c>
      <c r="J55" s="1984">
        <f>项目基本情况!F35</f>
        <v>0</v>
      </c>
      <c r="K55" s="1985"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t="e">
        <f>C48</f>
        <v>#DIV/0!</v>
      </c>
      <c r="C56" s="637">
        <v>1</v>
      </c>
      <c r="D56" s="943">
        <v>1</v>
      </c>
      <c r="E56" s="637">
        <f>'数据-汇总表'!E8+'数据-汇总表'!E9</f>
        <v>499.53</v>
      </c>
      <c r="F56" s="885" t="e">
        <f t="shared" ref="F56:F64" si="15">ROUND(B56*E56/10000,0)</f>
        <v>#DIV/0!</v>
      </c>
      <c r="G56" s="3667"/>
      <c r="H56" s="3652"/>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1889</v>
      </c>
      <c r="B57" s="218" t="e">
        <f>ROUND($C$48*C57*D57,0)</f>
        <v>#DIV/0!</v>
      </c>
      <c r="C57" s="171">
        <f t="shared" ref="C57:C64" si="16">IF($C$55="北京市系数",I57,J57)</f>
        <v>0</v>
      </c>
      <c r="D57" s="944">
        <v>0.25</v>
      </c>
      <c r="E57" s="641"/>
      <c r="F57" s="885" t="e">
        <f t="shared" si="15"/>
        <v>#DIV/0!</v>
      </c>
      <c r="G57" s="2999" t="s">
        <v>1890</v>
      </c>
      <c r="H57" s="886">
        <f>项目基本情况!B37</f>
        <v>0</v>
      </c>
      <c r="I57" s="890">
        <f>SUMIF(修正!A57:A68,H57,修正!B57:B68)</f>
        <v>0</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1891</v>
      </c>
      <c r="B58" s="218" t="e">
        <f t="shared" ref="B58:B64" si="17">ROUND($C$48*C58*D58,0)</f>
        <v>#DIV/0!</v>
      </c>
      <c r="C58" s="171">
        <f t="shared" si="16"/>
        <v>0</v>
      </c>
      <c r="D58" s="944">
        <v>0.25</v>
      </c>
      <c r="E58" s="641"/>
      <c r="F58" s="885" t="e">
        <f t="shared" si="15"/>
        <v>#DIV/0!</v>
      </c>
      <c r="G58" s="3000"/>
      <c r="H58" s="886">
        <f>项目基本情况!B37</f>
        <v>0</v>
      </c>
      <c r="I58" s="890">
        <f>SUMIF(修正!A57:A68,H58,修正!C57:C68)</f>
        <v>0</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1892</v>
      </c>
      <c r="B59" s="218" t="e">
        <f t="shared" si="17"/>
        <v>#DIV/0!</v>
      </c>
      <c r="C59" s="171">
        <f t="shared" si="16"/>
        <v>0</v>
      </c>
      <c r="D59" s="944">
        <v>0.25</v>
      </c>
      <c r="E59" s="641"/>
      <c r="F59" s="885" t="e">
        <f t="shared" si="15"/>
        <v>#DIV/0!</v>
      </c>
      <c r="G59" s="3000"/>
      <c r="H59" s="886">
        <f>项目基本情况!B37</f>
        <v>0</v>
      </c>
      <c r="I59" s="890">
        <f>SUMIF(修正!A57:A68,H59,修正!D57:D68)</f>
        <v>0</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1901</v>
      </c>
      <c r="B65" s="643" t="s">
        <v>22</v>
      </c>
      <c r="C65" s="643" t="s">
        <v>23</v>
      </c>
      <c r="D65" s="643" t="s">
        <v>392</v>
      </c>
      <c r="E65" s="643">
        <f>IF(B46="楼面地价",SUM(E56:E64),'数据-汇总表'!D3)</f>
        <v>499.53</v>
      </c>
      <c r="F65" s="644" t="e">
        <f>IF(B46="楼面地价",SUM(F56:F64),ROUND(C48*E65/10000,0))</f>
        <v>#DIV/0!</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2"/>
      <c r="O68" s="2762"/>
      <c r="P68" s="2762"/>
      <c r="Q68" s="2732"/>
      <c r="R68" s="2718"/>
      <c r="S68" s="2718"/>
      <c r="T68" s="2718"/>
      <c r="U68" s="2718"/>
      <c r="V68" s="2718"/>
      <c r="W68" s="2718"/>
      <c r="X68" s="2718"/>
      <c r="Y68" s="2718"/>
      <c r="Z68" s="2718"/>
      <c r="AA68" s="2718"/>
      <c r="AB68" s="2718"/>
      <c r="AC68" s="2718"/>
    </row>
    <row r="69" spans="1:29" s="457" customFormat="1" ht="15">
      <c r="A69" s="1988" t="s">
        <v>1902</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671" t="s">
        <v>1768</v>
      </c>
      <c r="D4" s="3672"/>
      <c r="E4" s="3673" t="s">
        <v>1769</v>
      </c>
      <c r="F4" s="3674"/>
      <c r="G4" s="3671" t="s">
        <v>1770</v>
      </c>
      <c r="H4" s="3672"/>
      <c r="I4" s="3671" t="s">
        <v>1771</v>
      </c>
      <c r="J4" s="3672"/>
      <c r="K4" s="559" t="s">
        <v>1772</v>
      </c>
      <c r="L4" s="2708"/>
      <c r="M4" s="2709"/>
      <c r="N4" s="2709"/>
      <c r="O4" s="2709"/>
      <c r="P4" s="3675" t="s">
        <v>1773</v>
      </c>
      <c r="Q4" s="3676"/>
      <c r="R4" s="3681" t="s">
        <v>1769</v>
      </c>
      <c r="S4" s="3682"/>
      <c r="T4" s="3681" t="s">
        <v>1770</v>
      </c>
      <c r="U4" s="3682"/>
      <c r="V4" s="3666" t="s">
        <v>1771</v>
      </c>
      <c r="W4" s="3666"/>
      <c r="X4" s="1354"/>
      <c r="Y4" s="3681" t="s">
        <v>1773</v>
      </c>
      <c r="Z4" s="3682"/>
      <c r="AA4" s="3668" t="s">
        <v>1769</v>
      </c>
      <c r="AB4" s="3669" t="s">
        <v>1770</v>
      </c>
      <c r="AC4" s="3668" t="s">
        <v>1771</v>
      </c>
    </row>
    <row r="5" spans="1:29" ht="15">
      <c r="A5" s="358"/>
      <c r="B5" s="359"/>
      <c r="C5" s="3689" t="s">
        <v>1671</v>
      </c>
      <c r="D5" s="3690"/>
      <c r="E5" s="3697" t="s">
        <v>1672</v>
      </c>
      <c r="F5" s="3698"/>
      <c r="G5" s="3689" t="s">
        <v>1673</v>
      </c>
      <c r="H5" s="3690"/>
      <c r="I5" s="3689" t="s">
        <v>1674</v>
      </c>
      <c r="J5" s="3690"/>
      <c r="K5" s="559"/>
      <c r="L5" s="2708"/>
      <c r="M5" s="2709"/>
      <c r="N5" s="2709"/>
      <c r="O5" s="2709"/>
      <c r="P5" s="3677"/>
      <c r="Q5" s="3678"/>
      <c r="R5" s="3683"/>
      <c r="S5" s="3684"/>
      <c r="T5" s="3683"/>
      <c r="U5" s="3684"/>
      <c r="V5" s="3666"/>
      <c r="W5" s="3666"/>
      <c r="X5" s="1354"/>
      <c r="Y5" s="3683"/>
      <c r="Z5" s="3684"/>
      <c r="AA5" s="3669"/>
      <c r="AB5" s="3669"/>
      <c r="AC5" s="3669"/>
    </row>
    <row r="6" spans="1:29" ht="15.75" thickBot="1">
      <c r="A6" s="360"/>
      <c r="B6" s="361"/>
      <c r="C6" s="3740" t="s">
        <v>1917</v>
      </c>
      <c r="D6" s="3741"/>
      <c r="E6" s="3742" t="s">
        <v>1917</v>
      </c>
      <c r="F6" s="3743"/>
      <c r="G6" s="3740" t="s">
        <v>1917</v>
      </c>
      <c r="H6" s="3741"/>
      <c r="I6" s="3740" t="s">
        <v>1917</v>
      </c>
      <c r="J6" s="3741"/>
      <c r="K6" s="559" t="s">
        <v>1676</v>
      </c>
      <c r="L6" s="2708"/>
      <c r="M6" s="2709"/>
      <c r="N6" s="2709"/>
      <c r="O6" s="2709"/>
      <c r="P6" s="3679"/>
      <c r="Q6" s="3680"/>
      <c r="R6" s="3683"/>
      <c r="S6" s="3684"/>
      <c r="T6" s="3685"/>
      <c r="U6" s="3686"/>
      <c r="V6" s="3666"/>
      <c r="W6" s="3666"/>
      <c r="X6" s="1354"/>
      <c r="Y6" s="3685"/>
      <c r="Z6" s="3686"/>
      <c r="AA6" s="3670"/>
      <c r="AB6" s="3670"/>
      <c r="AC6" s="3670"/>
    </row>
    <row r="7" spans="1:29" s="108" customFormat="1" ht="15.75" thickBot="1">
      <c r="A7" s="362" t="s">
        <v>1677</v>
      </c>
      <c r="B7" s="363"/>
      <c r="C7" s="364">
        <f>'数据-取费表'!B2</f>
        <v>45058</v>
      </c>
      <c r="D7" s="365">
        <v>100</v>
      </c>
      <c r="E7" s="366"/>
      <c r="F7" s="367">
        <f>SUMIF(65:65,YEAR(E7)&amp;"-"&amp;INT((MONTH(E7)+2)/3),66:66)</f>
        <v>0</v>
      </c>
      <c r="G7" s="1973"/>
      <c r="H7" s="365">
        <f>SUMIF(65:65,YEAR(G7)&amp;"-"&amp;INT((MONTH(G7)+2)/3),66:66)</f>
        <v>0</v>
      </c>
      <c r="I7" s="1973"/>
      <c r="J7" s="365">
        <f>SUMIF(65:65,YEAR(I7)&amp;"-"&amp;INT((MONTH(I7)+2)/3),66:66)</f>
        <v>0</v>
      </c>
      <c r="K7" s="560"/>
      <c r="L7" s="2710"/>
      <c r="M7" s="2711"/>
      <c r="N7" s="2711"/>
      <c r="O7" s="2711"/>
      <c r="P7" s="3691" t="s">
        <v>1678</v>
      </c>
      <c r="Q7" s="3693"/>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1" t="s">
        <v>1681</v>
      </c>
      <c r="Q8" s="3692"/>
      <c r="R8" s="700" t="s">
        <v>14</v>
      </c>
      <c r="S8" s="701">
        <f t="shared" si="0"/>
        <v>0</v>
      </c>
      <c r="T8" s="700" t="s">
        <v>14</v>
      </c>
      <c r="U8" s="701">
        <f t="shared" si="1"/>
        <v>0</v>
      </c>
      <c r="V8" s="700" t="s">
        <v>14</v>
      </c>
      <c r="W8" s="701">
        <f t="shared" si="2"/>
        <v>0</v>
      </c>
      <c r="X8" s="702"/>
      <c r="Y8" s="3691" t="s">
        <v>1681</v>
      </c>
      <c r="Z8" s="3692"/>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0"/>
      <c r="M9" s="2711"/>
      <c r="N9" s="2711"/>
      <c r="O9" s="2765"/>
      <c r="P9" s="3652" t="s">
        <v>1684</v>
      </c>
      <c r="Q9" s="1342" t="str">
        <f t="shared" ref="Q9:Q15" si="6">B9</f>
        <v>用途</v>
      </c>
      <c r="R9" s="700" t="s">
        <v>14</v>
      </c>
      <c r="S9" s="701">
        <f t="shared" si="0"/>
        <v>100</v>
      </c>
      <c r="T9" s="700" t="s">
        <v>14</v>
      </c>
      <c r="U9" s="701">
        <f t="shared" si="1"/>
        <v>100</v>
      </c>
      <c r="V9" s="700" t="s">
        <v>14</v>
      </c>
      <c r="W9" s="701">
        <f t="shared" si="2"/>
        <v>100</v>
      </c>
      <c r="X9" s="702"/>
      <c r="Y9" s="355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107</v>
      </c>
      <c r="G10" s="383"/>
      <c r="H10" s="127">
        <f>ROUND(100/'数据-取费表'!G16,0)</f>
        <v>107</v>
      </c>
      <c r="I10" s="383"/>
      <c r="J10" s="127">
        <f>ROUND(100/'数据-取费表'!G16,0)</f>
        <v>107</v>
      </c>
      <c r="K10" s="619"/>
      <c r="L10" s="2712"/>
      <c r="M10" s="2713"/>
      <c r="N10" s="2713"/>
      <c r="O10" s="2766"/>
      <c r="P10" s="3652"/>
      <c r="Q10" s="1342" t="str">
        <f t="shared" si="6"/>
        <v>土地使用年限（年）</v>
      </c>
      <c r="R10" s="700" t="s">
        <v>14</v>
      </c>
      <c r="S10" s="701">
        <f t="shared" si="0"/>
        <v>107</v>
      </c>
      <c r="T10" s="700" t="s">
        <v>14</v>
      </c>
      <c r="U10" s="701">
        <f t="shared" si="1"/>
        <v>107</v>
      </c>
      <c r="V10" s="700" t="s">
        <v>14</v>
      </c>
      <c r="W10" s="701">
        <f t="shared" si="2"/>
        <v>107</v>
      </c>
      <c r="X10" s="702"/>
      <c r="Y10" s="3551"/>
      <c r="Z10" s="52" t="str">
        <f t="shared" si="7"/>
        <v>土地使用年限（年）</v>
      </c>
      <c r="AA10" s="703">
        <f t="shared" si="3"/>
        <v>0.93457943925233644</v>
      </c>
      <c r="AB10" s="703">
        <f t="shared" si="4"/>
        <v>0.93457943925233644</v>
      </c>
      <c r="AC10" s="703">
        <f t="shared" si="5"/>
        <v>0.93457943925233644</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652"/>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652"/>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652"/>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652"/>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659" t="s">
        <v>1689</v>
      </c>
      <c r="Q15" s="1351" t="str">
        <f t="shared" si="6"/>
        <v>产业集聚程度</v>
      </c>
      <c r="R15" s="704" t="s">
        <v>14</v>
      </c>
      <c r="S15" s="705">
        <f t="shared" si="0"/>
        <v>100</v>
      </c>
      <c r="T15" s="704" t="s">
        <v>14</v>
      </c>
      <c r="U15" s="705">
        <f t="shared" si="1"/>
        <v>100</v>
      </c>
      <c r="V15" s="704" t="s">
        <v>14</v>
      </c>
      <c r="W15" s="705">
        <f t="shared" si="2"/>
        <v>100</v>
      </c>
      <c r="X15" s="1354"/>
      <c r="Y15" s="3659"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5"/>
      <c r="M16" s="2709"/>
      <c r="N16" s="2709"/>
      <c r="O16" s="2767"/>
      <c r="P16" s="3660"/>
      <c r="Q16" s="1351"/>
      <c r="R16" s="704"/>
      <c r="S16" s="705"/>
      <c r="T16" s="704"/>
      <c r="U16" s="705"/>
      <c r="V16" s="704"/>
      <c r="W16" s="705"/>
      <c r="X16" s="1354"/>
      <c r="Y16" s="3660"/>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660"/>
      <c r="Q17" s="1351" t="str">
        <f>B17</f>
        <v>交通便捷度</v>
      </c>
      <c r="R17" s="704" t="s">
        <v>14</v>
      </c>
      <c r="S17" s="705">
        <f>F17</f>
        <v>100</v>
      </c>
      <c r="T17" s="704" t="s">
        <v>14</v>
      </c>
      <c r="U17" s="705">
        <f>H17</f>
        <v>100</v>
      </c>
      <c r="V17" s="704" t="s">
        <v>14</v>
      </c>
      <c r="W17" s="705">
        <f>J17</f>
        <v>100</v>
      </c>
      <c r="X17" s="1354"/>
      <c r="Y17" s="366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5"/>
      <c r="M18" s="2709"/>
      <c r="N18" s="2709"/>
      <c r="O18" s="2767"/>
      <c r="P18" s="3660"/>
      <c r="Q18" s="1351"/>
      <c r="R18" s="704"/>
      <c r="S18" s="705"/>
      <c r="T18" s="704"/>
      <c r="U18" s="705"/>
      <c r="V18" s="704"/>
      <c r="W18" s="705"/>
      <c r="X18" s="1354"/>
      <c r="Y18" s="3660"/>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660"/>
      <c r="Q19" s="1351" t="str">
        <f t="shared" ref="Q19:Q33" si="8">B19</f>
        <v>区域土地利用方向</v>
      </c>
      <c r="R19" s="704" t="s">
        <v>14</v>
      </c>
      <c r="S19" s="705">
        <f>F19</f>
        <v>100</v>
      </c>
      <c r="T19" s="704" t="s">
        <v>14</v>
      </c>
      <c r="U19" s="705">
        <f>H19</f>
        <v>100</v>
      </c>
      <c r="V19" s="704" t="s">
        <v>14</v>
      </c>
      <c r="W19" s="705">
        <f>J19</f>
        <v>100</v>
      </c>
      <c r="X19" s="1354"/>
      <c r="Y19" s="366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5"/>
      <c r="M20" s="2709"/>
      <c r="N20" s="2709"/>
      <c r="O20" s="2767"/>
      <c r="P20" s="3660"/>
      <c r="Q20" s="1351"/>
      <c r="R20" s="704"/>
      <c r="S20" s="705"/>
      <c r="T20" s="704"/>
      <c r="U20" s="705"/>
      <c r="V20" s="704"/>
      <c r="W20" s="705"/>
      <c r="X20" s="1354"/>
      <c r="Y20" s="3660"/>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660"/>
      <c r="Q21" s="1351" t="str">
        <f t="shared" si="8"/>
        <v>环境状况</v>
      </c>
      <c r="R21" s="704" t="s">
        <v>14</v>
      </c>
      <c r="S21" s="705">
        <f>F21</f>
        <v>100</v>
      </c>
      <c r="T21" s="704" t="s">
        <v>14</v>
      </c>
      <c r="U21" s="705">
        <f>H21</f>
        <v>100</v>
      </c>
      <c r="V21" s="704" t="s">
        <v>14</v>
      </c>
      <c r="W21" s="705">
        <f>J21</f>
        <v>100</v>
      </c>
      <c r="X21" s="1354"/>
      <c r="Y21" s="366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5"/>
      <c r="M22" s="2709"/>
      <c r="N22" s="2709"/>
      <c r="O22" s="2767"/>
      <c r="P22" s="3660"/>
      <c r="Q22" s="1351"/>
      <c r="R22" s="704"/>
      <c r="S22" s="705"/>
      <c r="T22" s="704"/>
      <c r="U22" s="705"/>
      <c r="V22" s="704"/>
      <c r="W22" s="705"/>
      <c r="X22" s="1354"/>
      <c r="Y22" s="3660"/>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660"/>
      <c r="Q23" s="1342" t="str">
        <f t="shared" si="8"/>
        <v>公共配套设施</v>
      </c>
      <c r="R23" s="700" t="s">
        <v>14</v>
      </c>
      <c r="S23" s="701">
        <f>F23</f>
        <v>100</v>
      </c>
      <c r="T23" s="700" t="s">
        <v>14</v>
      </c>
      <c r="U23" s="701">
        <f>H23</f>
        <v>100</v>
      </c>
      <c r="V23" s="700" t="s">
        <v>14</v>
      </c>
      <c r="W23" s="701">
        <f>J23</f>
        <v>100</v>
      </c>
      <c r="X23" s="702"/>
      <c r="Y23" s="366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0"/>
      <c r="M24" s="2711"/>
      <c r="N24" s="2711"/>
      <c r="O24" s="2765"/>
      <c r="P24" s="3660"/>
      <c r="Q24" s="1342"/>
      <c r="R24" s="700"/>
      <c r="S24" s="701"/>
      <c r="T24" s="700"/>
      <c r="U24" s="701"/>
      <c r="V24" s="700"/>
      <c r="W24" s="701"/>
      <c r="X24" s="702"/>
      <c r="Y24" s="3660"/>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660"/>
      <c r="Q25" s="1342" t="str">
        <f t="shared" ref="Q25" si="9">B25</f>
        <v>基础设施水平</v>
      </c>
      <c r="R25" s="700" t="s">
        <v>14</v>
      </c>
      <c r="S25" s="701">
        <f>F25</f>
        <v>100</v>
      </c>
      <c r="T25" s="700" t="s">
        <v>14</v>
      </c>
      <c r="U25" s="701">
        <f>H25</f>
        <v>100</v>
      </c>
      <c r="V25" s="700" t="s">
        <v>14</v>
      </c>
      <c r="W25" s="701">
        <f>J25</f>
        <v>100</v>
      </c>
      <c r="X25" s="702"/>
      <c r="Y25" s="366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0"/>
      <c r="M26" s="2711"/>
      <c r="N26" s="2711"/>
      <c r="O26" s="2765"/>
      <c r="P26" s="3660"/>
      <c r="Q26" s="1342"/>
      <c r="R26" s="700"/>
      <c r="S26" s="701"/>
      <c r="T26" s="700"/>
      <c r="U26" s="701"/>
      <c r="V26" s="700"/>
      <c r="W26" s="701"/>
      <c r="X26" s="702"/>
      <c r="Y26" s="3660"/>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66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0"/>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660"/>
      <c r="Q28" s="1351" t="str">
        <f t="shared" si="8"/>
        <v>毗邻道路的类型与等级</v>
      </c>
      <c r="R28" s="704" t="s">
        <v>14</v>
      </c>
      <c r="S28" s="705">
        <f t="shared" si="10"/>
        <v>100</v>
      </c>
      <c r="T28" s="704" t="s">
        <v>14</v>
      </c>
      <c r="U28" s="705">
        <f t="shared" si="11"/>
        <v>100</v>
      </c>
      <c r="V28" s="704" t="s">
        <v>14</v>
      </c>
      <c r="W28" s="705">
        <f t="shared" si="12"/>
        <v>100</v>
      </c>
      <c r="X28" s="1354"/>
      <c r="Y28" s="366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5"/>
      <c r="M29" s="2709"/>
      <c r="N29" s="2709"/>
      <c r="O29" s="2767"/>
      <c r="P29" s="3660"/>
      <c r="Q29" s="1351"/>
      <c r="R29" s="704"/>
      <c r="S29" s="705"/>
      <c r="T29" s="704"/>
      <c r="U29" s="705"/>
      <c r="V29" s="704"/>
      <c r="W29" s="705"/>
      <c r="X29" s="1354"/>
      <c r="Y29" s="3660"/>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660"/>
      <c r="Q30" s="1351" t="str">
        <f t="shared" si="8"/>
        <v>土地级别</v>
      </c>
      <c r="R30" s="704" t="s">
        <v>14</v>
      </c>
      <c r="S30" s="705">
        <f t="shared" si="10"/>
        <v>100</v>
      </c>
      <c r="T30" s="704" t="s">
        <v>14</v>
      </c>
      <c r="U30" s="705">
        <f t="shared" si="11"/>
        <v>100</v>
      </c>
      <c r="V30" s="704" t="s">
        <v>14</v>
      </c>
      <c r="W30" s="705">
        <f t="shared" si="12"/>
        <v>100</v>
      </c>
      <c r="X30" s="1354"/>
      <c r="Y30" s="366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0"/>
      <c r="Q31" s="1351">
        <f t="shared" si="8"/>
        <v>111</v>
      </c>
      <c r="R31" s="704" t="s">
        <v>14</v>
      </c>
      <c r="S31" s="705">
        <f t="shared" si="10"/>
        <v>100</v>
      </c>
      <c r="T31" s="704" t="s">
        <v>14</v>
      </c>
      <c r="U31" s="705">
        <f t="shared" si="11"/>
        <v>100</v>
      </c>
      <c r="V31" s="704" t="s">
        <v>14</v>
      </c>
      <c r="W31" s="705">
        <f t="shared" si="12"/>
        <v>100</v>
      </c>
      <c r="X31" s="1354"/>
      <c r="Y31" s="366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735" t="s">
        <v>1694</v>
      </c>
      <c r="Q32" s="1351">
        <f t="shared" si="8"/>
        <v>111</v>
      </c>
      <c r="R32" s="704" t="s">
        <v>14</v>
      </c>
      <c r="S32" s="705">
        <f t="shared" si="10"/>
        <v>100</v>
      </c>
      <c r="T32" s="704" t="s">
        <v>14</v>
      </c>
      <c r="U32" s="705">
        <f t="shared" si="11"/>
        <v>100</v>
      </c>
      <c r="V32" s="704" t="s">
        <v>14</v>
      </c>
      <c r="W32" s="705">
        <f t="shared" si="12"/>
        <v>100</v>
      </c>
      <c r="X32" s="1354"/>
      <c r="Y32" s="3664"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664"/>
      <c r="Q33" s="1351">
        <f t="shared" si="8"/>
        <v>111</v>
      </c>
      <c r="R33" s="707" t="s">
        <v>14</v>
      </c>
      <c r="S33" s="708">
        <f t="shared" si="10"/>
        <v>100</v>
      </c>
      <c r="T33" s="707" t="s">
        <v>14</v>
      </c>
      <c r="U33" s="708">
        <f t="shared" si="11"/>
        <v>100</v>
      </c>
      <c r="V33" s="707" t="s">
        <v>14</v>
      </c>
      <c r="W33" s="708">
        <f t="shared" si="12"/>
        <v>100</v>
      </c>
      <c r="X33" s="709"/>
      <c r="Y33" s="3664"/>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664"/>
      <c r="Q34" s="1351" t="str">
        <f>B34</f>
        <v>宗地面积</v>
      </c>
      <c r="R34" s="704" t="s">
        <v>14</v>
      </c>
      <c r="S34" s="705" t="e">
        <f t="shared" si="10"/>
        <v>#N/A</v>
      </c>
      <c r="T34" s="704" t="s">
        <v>14</v>
      </c>
      <c r="U34" s="705" t="e">
        <f t="shared" si="11"/>
        <v>#N/A</v>
      </c>
      <c r="V34" s="704" t="s">
        <v>14</v>
      </c>
      <c r="W34" s="705" t="e">
        <f t="shared" si="12"/>
        <v>#N/A</v>
      </c>
      <c r="X34" s="1354"/>
      <c r="Y34" s="3664"/>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5"/>
      <c r="M35" s="2709"/>
      <c r="N35" s="2709"/>
      <c r="O35" s="2767"/>
      <c r="P35" s="3664"/>
      <c r="Q35" s="1351" t="str">
        <f t="shared" ref="Q35:Q40" si="14">B35</f>
        <v>宗地形状</v>
      </c>
      <c r="R35" s="704" t="s">
        <v>14</v>
      </c>
      <c r="S35" s="705">
        <f t="shared" si="10"/>
        <v>100</v>
      </c>
      <c r="T35" s="704" t="s">
        <v>14</v>
      </c>
      <c r="U35" s="705">
        <f t="shared" si="11"/>
        <v>100</v>
      </c>
      <c r="V35" s="704" t="s">
        <v>14</v>
      </c>
      <c r="W35" s="705">
        <f t="shared" si="12"/>
        <v>100</v>
      </c>
      <c r="X35" s="1354"/>
      <c r="Y35" s="3664"/>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0"/>
      <c r="M36" s="2711"/>
      <c r="N36" s="2711"/>
      <c r="O36" s="2765"/>
      <c r="P36" s="3664"/>
      <c r="Q36" s="1351" t="str">
        <f t="shared" si="14"/>
        <v>宗地开发程度</v>
      </c>
      <c r="R36" s="700" t="s">
        <v>14</v>
      </c>
      <c r="S36" s="701">
        <f t="shared" si="10"/>
        <v>100</v>
      </c>
      <c r="T36" s="700" t="s">
        <v>14</v>
      </c>
      <c r="U36" s="701">
        <f t="shared" si="11"/>
        <v>100</v>
      </c>
      <c r="V36" s="700" t="s">
        <v>14</v>
      </c>
      <c r="W36" s="701">
        <f t="shared" si="12"/>
        <v>100</v>
      </c>
      <c r="X36" s="702"/>
      <c r="Y36" s="3664"/>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5"/>
      <c r="M37" s="2709"/>
      <c r="N37" s="2709"/>
      <c r="O37" s="2767"/>
      <c r="P37" s="3664" t="s">
        <v>1694</v>
      </c>
      <c r="Q37" s="1351" t="str">
        <f t="shared" si="14"/>
        <v>工程地质条件</v>
      </c>
      <c r="R37" s="704" t="s">
        <v>14</v>
      </c>
      <c r="S37" s="705">
        <f t="shared" si="10"/>
        <v>100</v>
      </c>
      <c r="T37" s="704" t="s">
        <v>14</v>
      </c>
      <c r="U37" s="705">
        <f t="shared" si="11"/>
        <v>100</v>
      </c>
      <c r="V37" s="704" t="s">
        <v>14</v>
      </c>
      <c r="W37" s="705">
        <f t="shared" si="12"/>
        <v>100</v>
      </c>
      <c r="X37" s="1354"/>
      <c r="Y37" s="3664"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664"/>
      <c r="Q38" s="1351">
        <f t="shared" si="14"/>
        <v>111</v>
      </c>
      <c r="R38" s="704" t="s">
        <v>14</v>
      </c>
      <c r="S38" s="705">
        <f t="shared" si="10"/>
        <v>100</v>
      </c>
      <c r="T38" s="704" t="s">
        <v>14</v>
      </c>
      <c r="U38" s="705">
        <f t="shared" si="11"/>
        <v>100</v>
      </c>
      <c r="V38" s="704" t="s">
        <v>14</v>
      </c>
      <c r="W38" s="705">
        <f t="shared" si="12"/>
        <v>100</v>
      </c>
      <c r="X38" s="1354"/>
      <c r="Y38" s="366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664"/>
      <c r="Q39" s="1351">
        <f t="shared" si="14"/>
        <v>111</v>
      </c>
      <c r="R39" s="704" t="s">
        <v>14</v>
      </c>
      <c r="S39" s="705">
        <f t="shared" si="10"/>
        <v>100</v>
      </c>
      <c r="T39" s="704" t="s">
        <v>14</v>
      </c>
      <c r="U39" s="705">
        <f t="shared" si="11"/>
        <v>100</v>
      </c>
      <c r="V39" s="704" t="s">
        <v>14</v>
      </c>
      <c r="W39" s="705">
        <f t="shared" si="12"/>
        <v>100</v>
      </c>
      <c r="X39" s="1354"/>
      <c r="Y39" s="366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664"/>
      <c r="Q40" s="1351">
        <f t="shared" si="14"/>
        <v>111</v>
      </c>
      <c r="R40" s="707" t="s">
        <v>14</v>
      </c>
      <c r="S40" s="708">
        <f t="shared" si="10"/>
        <v>100</v>
      </c>
      <c r="T40" s="707" t="s">
        <v>14</v>
      </c>
      <c r="U40" s="708">
        <f t="shared" si="11"/>
        <v>100</v>
      </c>
      <c r="V40" s="707" t="s">
        <v>14</v>
      </c>
      <c r="W40" s="708">
        <f t="shared" si="12"/>
        <v>100</v>
      </c>
      <c r="X40" s="709"/>
      <c r="Y40" s="3664"/>
      <c r="Z40" s="710">
        <f t="shared" si="13"/>
        <v>111</v>
      </c>
      <c r="AA40" s="1352">
        <f t="shared" si="3"/>
        <v>1</v>
      </c>
      <c r="AB40" s="1352">
        <f t="shared" si="4"/>
        <v>1</v>
      </c>
      <c r="AC40" s="1352">
        <f t="shared" si="5"/>
        <v>1</v>
      </c>
    </row>
    <row r="41" spans="1:31" ht="15">
      <c r="A41" s="430" t="s">
        <v>1842</v>
      </c>
      <c r="B41" s="1981" t="s">
        <v>1920</v>
      </c>
      <c r="C41" s="629" t="s">
        <v>0</v>
      </c>
      <c r="D41" s="432"/>
      <c r="E41" s="433"/>
      <c r="F41" s="434"/>
      <c r="G41" s="435"/>
      <c r="H41" s="436"/>
      <c r="I41" s="433"/>
      <c r="J41" s="436"/>
      <c r="K41" s="713"/>
      <c r="L41" s="2717"/>
      <c r="M41" s="2709"/>
      <c r="N41" s="2709"/>
      <c r="O41" s="2718"/>
      <c r="P41" s="3652" t="str">
        <f>A41</f>
        <v>成交单价</v>
      </c>
      <c r="Q41" s="3652"/>
      <c r="R41" s="3666">
        <f>E41</f>
        <v>0</v>
      </c>
      <c r="S41" s="3666"/>
      <c r="T41" s="3666">
        <f>G41</f>
        <v>0</v>
      </c>
      <c r="U41" s="3666"/>
      <c r="V41" s="3666">
        <f>I41</f>
        <v>0</v>
      </c>
      <c r="W41" s="3666"/>
      <c r="X41" s="689"/>
      <c r="Y41" s="711"/>
      <c r="Z41" s="689"/>
      <c r="AA41" s="689"/>
      <c r="AB41" s="689"/>
      <c r="AC41" s="689"/>
    </row>
    <row r="42" spans="1:31" ht="15.75" thickBot="1">
      <c r="A42" s="437" t="s">
        <v>1791</v>
      </c>
      <c r="B42" s="630"/>
      <c r="C42" s="440" t="e">
        <f>R43</f>
        <v>#DIV/0!</v>
      </c>
      <c r="D42" s="2316" t="s">
        <v>2136</v>
      </c>
      <c r="E42" s="440" t="e">
        <f>R42</f>
        <v>#DIV/0!</v>
      </c>
      <c r="F42" s="2317"/>
      <c r="G42" s="439" t="e">
        <f>T42</f>
        <v>#DIV/0!</v>
      </c>
      <c r="H42" s="2317"/>
      <c r="I42" s="440" t="e">
        <f>V42</f>
        <v>#DIV/0!</v>
      </c>
      <c r="J42" s="2317"/>
      <c r="K42" s="2319">
        <f>F42+H42+J42</f>
        <v>0</v>
      </c>
      <c r="L42" s="2717"/>
      <c r="M42" s="2709"/>
      <c r="N42" s="2709"/>
      <c r="O42" s="2718"/>
      <c r="P42" s="3652" t="str">
        <f>A42</f>
        <v>比较价值（元/平方米）</v>
      </c>
      <c r="Q42" s="3652"/>
      <c r="R42" s="3737" t="e">
        <f>ROUND(PRODUCT(R41,AA7:AA40),0)</f>
        <v>#DIV/0!</v>
      </c>
      <c r="S42" s="3737"/>
      <c r="T42" s="3737" t="e">
        <f>ROUND(PRODUCT(T41,AB7:AB40),0)</f>
        <v>#DIV/0!</v>
      </c>
      <c r="U42" s="3737"/>
      <c r="V42" s="3737" t="e">
        <f>ROUND(PRODUCT(V41,AC7:AC40),0)</f>
        <v>#DIV/0!</v>
      </c>
      <c r="W42" s="3737"/>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654" t="str">
        <f>A43</f>
        <v>估价对象XX用房的比较价值（楼面单价，元/平方米）</v>
      </c>
      <c r="Q43" s="3655"/>
      <c r="R43" s="3738" t="e">
        <f>ROUND(IF(D42="简单平均",AVERAGE(R42:W42),R42*F42+T42*H42+V42*J42),0)</f>
        <v>#DIV/0!</v>
      </c>
      <c r="S43" s="3738"/>
      <c r="T43" s="3738"/>
      <c r="U43" s="3738"/>
      <c r="V43" s="3738"/>
      <c r="W43" s="3738"/>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82" t="s">
        <v>1881</v>
      </c>
      <c r="D50" s="1983" t="s">
        <v>1882</v>
      </c>
      <c r="E50" s="633" t="s">
        <v>1883</v>
      </c>
      <c r="F50" s="634" t="s">
        <v>1884</v>
      </c>
      <c r="G50" s="3671" t="s">
        <v>1885</v>
      </c>
      <c r="H50" s="3739"/>
      <c r="I50" s="1355" t="s">
        <v>1921</v>
      </c>
      <c r="J50" s="1355">
        <f>项目基本情况!F35</f>
        <v>0</v>
      </c>
      <c r="K50" s="1985"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499.53</v>
      </c>
      <c r="F51" s="638" t="e">
        <f t="shared" ref="F51:F60" si="15">ROUND(B51*E51/10000,0)</f>
        <v>#DIV/0!</v>
      </c>
      <c r="G51" s="3667"/>
      <c r="H51" s="3652"/>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1889</v>
      </c>
      <c r="B52" s="218" t="e">
        <f>ROUND($C$43*C52*D52,0)</f>
        <v>#DIV/0!</v>
      </c>
      <c r="C52" s="171">
        <f t="shared" ref="C52:C60" si="16">IF($C$50="北京市系数",I52,J52)</f>
        <v>0</v>
      </c>
      <c r="D52" s="944">
        <v>0.25</v>
      </c>
      <c r="E52" s="641"/>
      <c r="F52" s="638" t="e">
        <f t="shared" si="15"/>
        <v>#DIV/0!</v>
      </c>
      <c r="G52" s="2999" t="s">
        <v>1890</v>
      </c>
      <c r="H52" s="886">
        <f>项目基本情况!B37</f>
        <v>0</v>
      </c>
      <c r="I52" s="772">
        <f>SUMIF(修正!A57:A68,H52,修正!B57:B68)</f>
        <v>0</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1891</v>
      </c>
      <c r="B53" s="218" t="e">
        <f t="shared" ref="B53:B60" si="17">ROUND($C$43*C53*D53,0)</f>
        <v>#DIV/0!</v>
      </c>
      <c r="C53" s="171">
        <f t="shared" si="16"/>
        <v>0</v>
      </c>
      <c r="D53" s="944">
        <v>0.25</v>
      </c>
      <c r="E53" s="641"/>
      <c r="F53" s="638" t="e">
        <f t="shared" si="15"/>
        <v>#DIV/0!</v>
      </c>
      <c r="G53" s="3000"/>
      <c r="H53" s="886">
        <f>项目基本情况!B37</f>
        <v>0</v>
      </c>
      <c r="I53" s="772">
        <f>SUMIF(修正!A57:A68,H53,修正!C57:C68)</f>
        <v>0</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1892</v>
      </c>
      <c r="B54" s="218" t="e">
        <f t="shared" si="17"/>
        <v>#DIV/0!</v>
      </c>
      <c r="C54" s="171">
        <f t="shared" si="16"/>
        <v>0</v>
      </c>
      <c r="D54" s="944">
        <v>0.25</v>
      </c>
      <c r="E54" s="641"/>
      <c r="F54" s="638" t="e">
        <f t="shared" si="15"/>
        <v>#DIV/0!</v>
      </c>
      <c r="G54" s="3000"/>
      <c r="H54" s="886">
        <f>项目基本情况!B37</f>
        <v>0</v>
      </c>
      <c r="I54" s="772">
        <f>SUMIF(修正!A57:A68,H54,修正!D57:D68)</f>
        <v>0</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4"/>
      <c r="E55" s="641"/>
      <c r="F55" s="638"/>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1899</v>
      </c>
      <c r="B59" s="218" t="e">
        <f t="shared" si="17"/>
        <v>#DIV/0!</v>
      </c>
      <c r="C59" s="171">
        <f t="shared" si="16"/>
        <v>0</v>
      </c>
      <c r="D59" s="944">
        <v>0.25</v>
      </c>
      <c r="E59" s="217">
        <f>'数据-汇总表'!E14</f>
        <v>0</v>
      </c>
      <c r="F59" s="638" t="e">
        <f t="shared" si="15"/>
        <v>#DIV/0!</v>
      </c>
      <c r="G59" s="1986" t="s">
        <v>1890</v>
      </c>
      <c r="H59" s="886">
        <f>项目基本情况!B37</f>
        <v>0</v>
      </c>
      <c r="I59" s="772">
        <f>SUMIF(修正!A57:A68,H59,修正!G57:G68)</f>
        <v>0</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2"/>
      <c r="Q64" s="2732"/>
      <c r="R64" s="2718"/>
      <c r="S64" s="2718"/>
      <c r="T64" s="2718"/>
      <c r="U64" s="2718"/>
      <c r="V64" s="2718"/>
      <c r="W64" s="2718"/>
      <c r="X64" s="2718"/>
      <c r="Y64" s="2718"/>
      <c r="Z64" s="2718"/>
      <c r="AA64" s="2718"/>
      <c r="AB64" s="2718"/>
      <c r="AC64" s="2718"/>
      <c r="AD64" s="2718"/>
      <c r="AE64" s="2718"/>
    </row>
    <row r="65" spans="1:31" s="457" customFormat="1" ht="15">
      <c r="A65" s="1988" t="s">
        <v>1902</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47" t="s">
        <v>2082</v>
      </c>
      <c r="D1" s="3748"/>
      <c r="E1" s="3748"/>
      <c r="F1" s="3748"/>
      <c r="G1" s="3748"/>
      <c r="H1" s="3748"/>
      <c r="I1" s="3748"/>
      <c r="J1" s="3748"/>
      <c r="K1" s="3748"/>
      <c r="L1" s="3748"/>
      <c r="M1" s="3748"/>
      <c r="N1" s="3748"/>
      <c r="O1" s="3748"/>
      <c r="P1" s="3748"/>
      <c r="Q1" s="3748"/>
      <c r="R1" s="3748"/>
      <c r="S1" s="3749"/>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50"/>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44" t="s">
        <v>27</v>
      </c>
      <c r="D22" s="3745"/>
      <c r="E22" s="3745"/>
      <c r="F22" s="3745"/>
      <c r="G22" s="3745"/>
      <c r="H22" s="3745"/>
      <c r="I22" s="3745"/>
      <c r="J22" s="3745"/>
      <c r="K22" s="3745"/>
      <c r="L22" s="3745"/>
      <c r="M22" s="3745"/>
      <c r="N22" s="3745"/>
      <c r="O22" s="3745"/>
      <c r="P22" s="3745"/>
      <c r="Q22" s="3746"/>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6"/>
      <c r="G1" s="2786"/>
      <c r="H1" s="2786"/>
      <c r="I1" s="2786"/>
      <c r="J1" s="2786"/>
      <c r="K1" s="2786"/>
      <c r="L1" s="2786"/>
      <c r="M1" s="2786"/>
      <c r="N1" s="2786"/>
      <c r="O1" s="2786"/>
      <c r="P1" s="2786"/>
    </row>
    <row r="2" spans="1:16" ht="15.75">
      <c r="A2" s="2144" t="s">
        <v>2071</v>
      </c>
      <c r="B2" s="2595" t="e">
        <f ca="1">SUMIF(B6:B13,"&lt;&gt;#ref!",B6:B13)</f>
        <v>#DIV/0!</v>
      </c>
      <c r="C2" s="2144" t="s">
        <v>2072</v>
      </c>
      <c r="D2" s="2144" t="s">
        <v>2073</v>
      </c>
      <c r="E2" s="2605">
        <f ca="1">SUMIF(E6:E13,"&lt;&gt;#ref!",E6:E13)</f>
        <v>0</v>
      </c>
      <c r="F2" s="2786"/>
      <c r="G2" s="2786"/>
      <c r="H2" s="2786"/>
      <c r="I2" s="2786"/>
      <c r="J2" s="2786"/>
      <c r="K2" s="2786"/>
      <c r="L2" s="2786"/>
      <c r="M2" s="2786"/>
      <c r="N2" s="2786"/>
      <c r="O2" s="2786"/>
      <c r="P2" s="2786"/>
    </row>
    <row r="3" spans="1:16" ht="15.75">
      <c r="A3" s="2144" t="s">
        <v>2074</v>
      </c>
      <c r="B3" s="2595" t="e">
        <f ca="1">ROUND(B2*10000/E2,0)</f>
        <v>#DIV/0!</v>
      </c>
      <c r="C3" s="2144"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5"/>
      <c r="D5" s="2786"/>
      <c r="E5" s="2604" t="s">
        <v>2077</v>
      </c>
      <c r="F5" s="2786"/>
      <c r="G5" s="2786"/>
      <c r="H5" s="2786"/>
      <c r="I5" s="2786"/>
      <c r="J5" s="2786"/>
      <c r="K5" s="2786"/>
      <c r="L5" s="2786"/>
      <c r="M5" s="2786"/>
      <c r="N5" s="2786"/>
      <c r="O5" s="2786"/>
      <c r="P5" s="2786"/>
    </row>
    <row r="6" spans="1:16" ht="15.75">
      <c r="A6" s="2602" t="s">
        <v>2078</v>
      </c>
      <c r="B6" s="2595" t="e">
        <f ca="1">SUMIF(INDIRECT("'"&amp;A6&amp;"'"&amp;"!A:A"),"总价",INDIRECT("'"&amp;A6&amp;"'"&amp;"!B:B"))</f>
        <v>#DIV/0!</v>
      </c>
      <c r="C6" s="2144" t="s">
        <v>2072</v>
      </c>
      <c r="D6" s="2786"/>
      <c r="E6" s="2605">
        <f ca="1">SUMIF(INDIRECT("'"&amp;A6&amp;"'"&amp;"!C:C"),"建筑面积",INDIRECT("'"&amp;A6&amp;"'"&amp;"!D:D"))</f>
        <v>0</v>
      </c>
      <c r="F6" s="2786"/>
      <c r="G6" s="2786"/>
      <c r="H6" s="2786"/>
      <c r="I6" s="2786"/>
      <c r="J6" s="2786"/>
      <c r="K6" s="2786"/>
      <c r="L6" s="2786"/>
      <c r="M6" s="2786"/>
      <c r="N6" s="2786"/>
      <c r="O6" s="2786"/>
      <c r="P6" s="2786"/>
    </row>
    <row r="7" spans="1:16" ht="15.75">
      <c r="A7" s="2602"/>
      <c r="B7" s="2595" t="e">
        <f ca="1">SUMIF(INDIRECT("'"&amp;A7&amp;"'"&amp;"!A:A"),"总价",INDIRECT("'"&amp;A7&amp;"'"&amp;"!B:B"))</f>
        <v>#REF!</v>
      </c>
      <c r="C7" s="2144"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4"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4"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4"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4"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4"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4"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0</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8" t="s">
        <v>1933</v>
      </c>
      <c r="D2" s="1999" t="s">
        <v>1934</v>
      </c>
      <c r="E2" s="3415"/>
      <c r="F2" s="1999" t="s">
        <v>1935</v>
      </c>
      <c r="G2" s="2000">
        <f>IF(E2="商业",项目基本情况!B37,IF(E2="办公",项目基本情况!C37,IF(E2="住宅",项目基本情况!D37,IF(E2="工业",项目基本情况!E37,项目基本情况!F37))))</f>
        <v>0</v>
      </c>
      <c r="H2" s="1999" t="s">
        <v>1936</v>
      </c>
      <c r="I2" s="2000">
        <f>IF(E2="商业",项目基本情况!B38,IF(E2="办公",项目基本情况!C38,IF(E2="住宅",项目基本情况!D38,IF(E2="工业",项目基本情况!E38,项目基本情况!F38))))</f>
        <v>0</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4">
        <f>ROUND(SUMPRODUCT((B106:B110=R2)*(C105:N105=G2)*(C106:N110)),4)</f>
        <v>0</v>
      </c>
      <c r="T2" s="3354" t="e">
        <f t="shared" ref="T2:T16" si="0">ROUND($C$5*$C$22*$C$23*$C$24*S2*$C$28,0)</f>
        <v>#DIV/0!</v>
      </c>
      <c r="U2" s="1212"/>
      <c r="V2" s="3354"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8" t="s">
        <v>1939</v>
      </c>
      <c r="D3" s="1999" t="s">
        <v>1940</v>
      </c>
      <c r="E3" s="3413"/>
      <c r="F3" s="2003"/>
      <c r="G3" s="751">
        <f>IF(F3="宗地容积率",'数据-汇总表'!I4,IF(F3="估价对象容积率",'数据-汇总表'!I6,'数据-汇总表'!I7))</f>
        <v>0</v>
      </c>
      <c r="H3" s="170" t="s">
        <v>1941</v>
      </c>
      <c r="I3" s="774"/>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4">
        <f>ROUND(SUMPRODUCT((B106:B110=R3)*(C105:N105=G2)*(C106:N110)),4)</f>
        <v>0</v>
      </c>
      <c r="T3" s="3354" t="e">
        <f t="shared" si="0"/>
        <v>#DIV/0!</v>
      </c>
      <c r="U3" s="1212"/>
      <c r="V3" s="3354" t="e">
        <f t="shared" ref="V3:V16" si="1">ROUND(T3*U3/10000,0)</f>
        <v>#DIV/0!</v>
      </c>
      <c r="W3" s="1215"/>
      <c r="X3" s="1215"/>
      <c r="Y3" s="1215"/>
      <c r="Z3" s="1215"/>
      <c r="AA3" s="1215"/>
      <c r="AB3" s="1215"/>
      <c r="AC3" s="1216"/>
      <c r="AD3" s="1217"/>
      <c r="AE3" s="1217"/>
      <c r="AF3" s="1217"/>
      <c r="AG3" s="1217"/>
      <c r="AH3" s="1217"/>
      <c r="AI3" s="1217"/>
      <c r="AJ3" s="1218"/>
    </row>
    <row r="4" spans="1:36" ht="15.75">
      <c r="A4" s="3757"/>
      <c r="B4" s="3758"/>
      <c r="C4" s="3758"/>
      <c r="D4" s="3759"/>
      <c r="E4" s="3759"/>
      <c r="F4" s="3759"/>
      <c r="G4" s="3759"/>
      <c r="H4" s="3759"/>
      <c r="I4" s="3759"/>
      <c r="J4" s="3760"/>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4">
        <f>ROUND(SUMPRODUCT((B106:B110=R4)*(C105:N105=G2)*(C106:N110)),4)</f>
        <v>0</v>
      </c>
      <c r="T4" s="3354" t="e">
        <f t="shared" si="0"/>
        <v>#DIV/0!</v>
      </c>
      <c r="U4" s="1212"/>
      <c r="V4" s="3354"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t="e">
        <f>ROUND(IF(E2="商业",C6*C7*C17+C20,(IF(E2="住宅",C6*C13*C17+C20,IF(E2="办公",C6*C12*C17+C20,C6+C20)))),0)</f>
        <v>#DIV/0!</v>
      </c>
      <c r="D5" s="1338" t="e">
        <f>ROUND(C6*C17+C20,0)</f>
        <v>#DIV/0!</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4">
        <f>ROUND(SUMPRODUCT((B106:B110=R5)*(C105:N105=G2)*(C106:N110)),4)</f>
        <v>0</v>
      </c>
      <c r="T5" s="3354" t="e">
        <f t="shared" si="0"/>
        <v>#DIV/0!</v>
      </c>
      <c r="U5" s="1212"/>
      <c r="V5" s="3354" t="e">
        <f t="shared" si="1"/>
        <v>#DIV/0!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4">
        <f>ROUND(SUMPRODUCT((B106:B110=R6)*(C105:N105=G2)*(C106:N110)),4)</f>
        <v>0</v>
      </c>
      <c r="T6" s="3354" t="e">
        <f t="shared" si="0"/>
        <v>#DIV/0!</v>
      </c>
      <c r="U6" s="1212"/>
      <c r="V6" s="3354" t="e">
        <f t="shared" si="1"/>
        <v>#DIV/0!</v>
      </c>
      <c r="W6" s="1215"/>
      <c r="X6" s="1215"/>
      <c r="Y6" s="1215"/>
      <c r="Z6" s="1215"/>
      <c r="AA6" s="1215"/>
      <c r="AB6" s="1215"/>
      <c r="AC6" s="2010"/>
      <c r="AD6" s="2011"/>
      <c r="AE6" s="2011"/>
      <c r="AF6" s="2011"/>
      <c r="AG6" s="2011"/>
      <c r="AH6" s="2011"/>
      <c r="AI6" s="2011"/>
      <c r="AJ6" s="2012"/>
    </row>
    <row r="7" spans="1:36" ht="24.75" thickBot="1">
      <c r="A7" s="3297" t="s">
        <v>3233</v>
      </c>
      <c r="B7" s="2020" t="s">
        <v>1950</v>
      </c>
      <c r="C7" s="754" t="e">
        <f>IF(C8="不临65条商业街",1,ROUND(1+(1.6*E8+1.2*E9+0.8*E10+0.4*E11)*C9,4))</f>
        <v>#DIV/0!</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2"/>
      <c r="T7" s="3354" t="e">
        <f t="shared" si="0"/>
        <v>#DIV/0!</v>
      </c>
      <c r="U7" s="1212"/>
      <c r="V7" s="3354" t="e">
        <f t="shared" si="1"/>
        <v>#DIV/0!</v>
      </c>
      <c r="W7" s="1357" t="s">
        <v>1953</v>
      </c>
      <c r="X7" s="1213">
        <f>G2</f>
        <v>0</v>
      </c>
      <c r="Y7" s="1213" t="s">
        <v>1954</v>
      </c>
      <c r="Z7" s="1214">
        <f>G3</f>
        <v>0</v>
      </c>
      <c r="AA7" s="1215"/>
      <c r="AB7" s="1215"/>
      <c r="AC7" s="1216"/>
      <c r="AD7" s="1217"/>
      <c r="AE7" s="1217"/>
      <c r="AF7" s="1217"/>
      <c r="AG7" s="1217"/>
      <c r="AH7" s="1217"/>
      <c r="AI7" s="1217"/>
      <c r="AJ7" s="1218"/>
    </row>
    <row r="8" spans="1:36" ht="15">
      <c r="A8" s="3292"/>
      <c r="B8" s="170" t="s">
        <v>1955</v>
      </c>
      <c r="C8" s="2025"/>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4" t="e">
        <f t="shared" si="0"/>
        <v>#DIV/0!</v>
      </c>
      <c r="U8" s="1212"/>
      <c r="V8" s="3354" t="e">
        <f t="shared" si="1"/>
        <v>#DIV/0!</v>
      </c>
      <c r="W8" s="3754" t="s">
        <v>1958</v>
      </c>
      <c r="X8" s="3755"/>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2"/>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4" t="e">
        <f t="shared" si="0"/>
        <v>#DIV/0!</v>
      </c>
      <c r="U9" s="1212"/>
      <c r="V9" s="3354" t="e">
        <f t="shared" si="1"/>
        <v>#DIV/0!</v>
      </c>
      <c r="W9" s="3756"/>
      <c r="X9" s="3355" t="s">
        <v>3264</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4" t="e">
        <f t="shared" si="0"/>
        <v>#DIV/0!</v>
      </c>
      <c r="U10" s="1212"/>
      <c r="V10" s="3354" t="e">
        <f t="shared" si="1"/>
        <v>#DIV/0!</v>
      </c>
      <c r="W10" s="375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4" t="e">
        <f t="shared" si="0"/>
        <v>#DIV/0!</v>
      </c>
      <c r="U11" s="1212"/>
      <c r="V11" s="3354" t="e">
        <f t="shared" si="1"/>
        <v>#DIV/0!</v>
      </c>
      <c r="W11" s="1215"/>
      <c r="X11" s="1215"/>
      <c r="Y11" s="1215"/>
      <c r="Z11" s="1215"/>
      <c r="AA11" s="1215"/>
      <c r="AB11" s="1215"/>
      <c r="AC11" s="1216"/>
      <c r="AD11" s="2782"/>
      <c r="AE11" s="2782"/>
      <c r="AF11" s="2782"/>
      <c r="AG11" s="2782"/>
      <c r="AH11" s="2782"/>
      <c r="AI11" s="2782"/>
      <c r="AJ11" s="2783"/>
    </row>
    <row r="12" spans="1:36" ht="25.5" thickBot="1">
      <c r="A12" s="3297" t="s">
        <v>3234</v>
      </c>
      <c r="B12" s="3298" t="s">
        <v>3235</v>
      </c>
      <c r="C12" s="3299"/>
      <c r="D12" s="3300" t="s">
        <v>3236</v>
      </c>
      <c r="E12" s="3301" t="s">
        <v>3237</v>
      </c>
      <c r="F12" s="3302"/>
      <c r="G12" s="3303"/>
      <c r="H12" s="3303"/>
      <c r="I12" s="3303"/>
      <c r="J12" s="3304"/>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4" t="e">
        <f t="shared" si="0"/>
        <v>#DIV/0!</v>
      </c>
      <c r="U12" s="1212"/>
      <c r="V12" s="3354" t="e">
        <f t="shared" si="1"/>
        <v>#DIV/0!</v>
      </c>
      <c r="W12" s="1215"/>
      <c r="X12" s="1215"/>
      <c r="Y12" s="1215"/>
      <c r="Z12" s="1215"/>
      <c r="AA12" s="1215"/>
      <c r="AB12" s="1215"/>
      <c r="AC12" s="1216"/>
      <c r="AD12" s="2782"/>
      <c r="AE12" s="2782"/>
      <c r="AF12" s="2782"/>
      <c r="AG12" s="2782"/>
      <c r="AH12" s="2782"/>
      <c r="AI12" s="2782"/>
      <c r="AJ12" s="2783"/>
    </row>
    <row r="13" spans="1:36" ht="15.75" thickBot="1">
      <c r="A13" s="3297" t="s">
        <v>3238</v>
      </c>
      <c r="B13" s="2033" t="s">
        <v>1980</v>
      </c>
      <c r="C13" s="754">
        <f>ROUND(C16*D16*E16*F16*G16*H16*I16*J16,4)</f>
        <v>0</v>
      </c>
      <c r="D13" s="2034" t="s">
        <v>1981</v>
      </c>
      <c r="E13" s="2035"/>
      <c r="F13" s="2035"/>
      <c r="G13" s="2036"/>
      <c r="H13" s="2036"/>
      <c r="I13" s="2036"/>
      <c r="J13" s="2037"/>
      <c r="K13" s="1118"/>
      <c r="L13" s="3293"/>
      <c r="M13" s="3294"/>
      <c r="N13" s="3295"/>
      <c r="O13" s="1118"/>
      <c r="P13" s="1118"/>
      <c r="Q13" s="1118"/>
      <c r="R13" s="1211">
        <v>12</v>
      </c>
      <c r="S13" s="1212"/>
      <c r="T13" s="3354" t="e">
        <f t="shared" si="0"/>
        <v>#DIV/0!</v>
      </c>
      <c r="U13" s="1212"/>
      <c r="V13" s="3354" t="e">
        <f t="shared" si="1"/>
        <v>#DIV/0!</v>
      </c>
      <c r="W13" s="1215"/>
      <c r="X13" s="1215"/>
      <c r="Y13" s="1215"/>
      <c r="Z13" s="1215"/>
      <c r="AA13" s="1215"/>
      <c r="AB13" s="1215"/>
      <c r="AC13" s="1216"/>
      <c r="AD13" s="2782"/>
      <c r="AE13" s="2782"/>
      <c r="AF13" s="2782"/>
      <c r="AG13" s="2782"/>
      <c r="AH13" s="2782"/>
      <c r="AI13" s="2782"/>
      <c r="AJ13" s="2783"/>
    </row>
    <row r="14" spans="1:36" ht="15">
      <c r="A14" s="3291"/>
      <c r="B14" s="2039" t="s">
        <v>1983</v>
      </c>
      <c r="C14" s="2040" t="s">
        <v>1984</v>
      </c>
      <c r="D14" s="1349" t="s">
        <v>1985</v>
      </c>
      <c r="E14" s="27" t="s">
        <v>1986</v>
      </c>
      <c r="F14" s="3305" t="s">
        <v>3239</v>
      </c>
      <c r="G14" s="3305" t="s">
        <v>3239</v>
      </c>
      <c r="H14" s="3305" t="s">
        <v>3239</v>
      </c>
      <c r="I14" s="3305" t="s">
        <v>3239</v>
      </c>
      <c r="J14" s="3305" t="s">
        <v>3239</v>
      </c>
      <c r="K14" s="1118"/>
      <c r="L14" s="1118"/>
      <c r="M14" s="1118"/>
      <c r="N14" s="1118"/>
      <c r="O14" s="1118"/>
      <c r="P14" s="1118"/>
      <c r="Q14" s="1118"/>
      <c r="R14" s="1211">
        <v>13</v>
      </c>
      <c r="S14" s="1212"/>
      <c r="T14" s="3354" t="e">
        <f t="shared" si="0"/>
        <v>#DIV/0!</v>
      </c>
      <c r="U14" s="1212"/>
      <c r="V14" s="3354" t="e">
        <f t="shared" si="1"/>
        <v>#DIV/0!</v>
      </c>
      <c r="W14" s="1215"/>
      <c r="X14" s="1215"/>
      <c r="Y14" s="1215"/>
      <c r="Z14" s="1215"/>
      <c r="AA14" s="1215"/>
      <c r="AB14" s="1215"/>
      <c r="AC14" s="1216"/>
      <c r="AD14" s="2782"/>
      <c r="AE14" s="2782"/>
      <c r="AF14" s="2782"/>
      <c r="AG14" s="2782"/>
      <c r="AH14" s="2782"/>
      <c r="AI14" s="2782"/>
      <c r="AJ14" s="2783"/>
    </row>
    <row r="15" spans="1:36" ht="15">
      <c r="A15" s="3291"/>
      <c r="B15" s="2041"/>
      <c r="C15" s="2042"/>
      <c r="D15" s="2043"/>
      <c r="E15" s="2044"/>
      <c r="F15" s="3306" t="s">
        <v>3240</v>
      </c>
      <c r="G15" s="3307"/>
      <c r="H15" s="3308"/>
      <c r="I15" s="3309"/>
      <c r="J15" s="3310"/>
      <c r="K15" s="1118"/>
      <c r="L15" s="1118"/>
      <c r="M15" s="1118"/>
      <c r="N15" s="1118"/>
      <c r="O15" s="1118"/>
      <c r="P15" s="1118"/>
      <c r="Q15" s="1118"/>
      <c r="R15" s="1211">
        <v>14</v>
      </c>
      <c r="S15" s="1212"/>
      <c r="T15" s="3354" t="e">
        <f t="shared" si="0"/>
        <v>#DIV/0!</v>
      </c>
      <c r="U15" s="1212"/>
      <c r="V15" s="3354" t="e">
        <f t="shared" si="1"/>
        <v>#DIV/0!</v>
      </c>
      <c r="W15" s="1215"/>
      <c r="X15" s="1215"/>
      <c r="Y15" s="1215"/>
      <c r="Z15" s="1215"/>
      <c r="AA15" s="1215"/>
      <c r="AB15" s="1215"/>
      <c r="AC15" s="1216"/>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8"/>
      <c r="L16" s="1996"/>
      <c r="M16" s="1996"/>
      <c r="N16" s="1996"/>
      <c r="O16" s="1996"/>
      <c r="P16" s="1996"/>
      <c r="Q16" s="1118"/>
      <c r="R16" s="1211">
        <v>15</v>
      </c>
      <c r="S16" s="1212"/>
      <c r="T16" s="3354" t="e">
        <f t="shared" si="0"/>
        <v>#DIV/0!</v>
      </c>
      <c r="U16" s="1212"/>
      <c r="V16" s="3354" t="e">
        <f t="shared" si="1"/>
        <v>#DIV/0!</v>
      </c>
      <c r="W16" s="1215"/>
      <c r="X16" s="1215"/>
      <c r="Y16" s="1215"/>
      <c r="Z16" s="1215"/>
      <c r="AA16" s="1215"/>
      <c r="AB16" s="1215"/>
      <c r="AC16" s="1216"/>
      <c r="AD16" s="2782"/>
      <c r="AE16" s="2782"/>
      <c r="AF16" s="2782"/>
      <c r="AG16" s="2782"/>
      <c r="AH16" s="2782"/>
      <c r="AI16" s="2782"/>
      <c r="AJ16" s="2783"/>
    </row>
    <row r="17" spans="1:37">
      <c r="A17" s="3323" t="s">
        <v>3241</v>
      </c>
      <c r="B17" s="3314" t="s">
        <v>3242</v>
      </c>
      <c r="C17" s="3324">
        <f>ROUND(IF(OR(E2="工业",E2="公共服务"),1,IF(AND(E18=0,E19=0),1,IF(AND(E18=J24,E19=G19),0.8,IF(E19=0,1+E17*(-0.2),1+E17*G17*(-0.2))))),4)</f>
        <v>1</v>
      </c>
      <c r="D17" s="3315" t="s">
        <v>3243</v>
      </c>
      <c r="E17" s="3324" t="e">
        <f>ROUND(G18/I18,2)</f>
        <v>#DIV/0!</v>
      </c>
      <c r="F17" s="3315" t="s">
        <v>3246</v>
      </c>
      <c r="G17" s="3324" t="e">
        <f>ROUND(E19/G19,2)</f>
        <v>#DIV/0!</v>
      </c>
      <c r="H17" s="3324"/>
      <c r="I17" s="3324"/>
      <c r="J17" s="3325"/>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6"/>
      <c r="B18" s="3003"/>
      <c r="C18" s="3321"/>
      <c r="D18" s="3316" t="s">
        <v>3244</v>
      </c>
      <c r="E18" s="3322"/>
      <c r="F18" s="3317" t="s">
        <v>3247</v>
      </c>
      <c r="G18" s="3321">
        <f>ROUND(1-(1/(POWER(1+G24,E18))),4)</f>
        <v>0</v>
      </c>
      <c r="H18" s="3317" t="s">
        <v>3249</v>
      </c>
      <c r="I18" s="3321">
        <f>ROUND(1-(1/(POWER(1+G24,J24))),4)</f>
        <v>0</v>
      </c>
      <c r="J18" s="3327"/>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1"/>
    </row>
    <row r="19" spans="1:37" s="2013" customFormat="1" ht="15" thickBot="1">
      <c r="A19" s="3328"/>
      <c r="B19" s="3329"/>
      <c r="C19" s="3330"/>
      <c r="D19" s="3330" t="s">
        <v>3245</v>
      </c>
      <c r="E19" s="3331"/>
      <c r="F19" s="3332" t="s">
        <v>3248</v>
      </c>
      <c r="G19" s="3331"/>
      <c r="H19" s="3330"/>
      <c r="I19" s="3330"/>
      <c r="J19" s="3333"/>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4"/>
      <c r="AH19" s="2140"/>
      <c r="AI19" s="2785"/>
      <c r="AJ19" s="2785"/>
      <c r="AK19" s="2056"/>
    </row>
    <row r="20" spans="1:37" s="2013" customFormat="1" ht="14.25">
      <c r="A20" s="3761" t="s">
        <v>3250</v>
      </c>
      <c r="B20" s="167" t="s">
        <v>1992</v>
      </c>
      <c r="C20" s="3318" t="e">
        <f>ROUND(IF(F21="与级别开发程度一致",0,(G21-E21)/C21),0)</f>
        <v>#DIV/0!</v>
      </c>
      <c r="D20" s="3334" t="s">
        <v>1996</v>
      </c>
      <c r="E20" s="3335"/>
      <c r="F20" s="3767" t="s">
        <v>1993</v>
      </c>
      <c r="G20" s="3768"/>
      <c r="H20" s="3319"/>
      <c r="I20" s="3319"/>
      <c r="J20" s="3320"/>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1"/>
      <c r="AH20" s="2781"/>
      <c r="AI20" s="2781"/>
      <c r="AJ20" s="2781"/>
    </row>
    <row r="21" spans="1:37" s="2013" customFormat="1" ht="15" thickBot="1">
      <c r="A21" s="3762"/>
      <c r="B21" s="2163" t="s">
        <v>1995</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1"/>
      <c r="R21" s="1123"/>
      <c r="S21" s="1123"/>
      <c r="T21" s="1119"/>
      <c r="U21" s="1119"/>
      <c r="V21" s="1119"/>
      <c r="W21" s="1118"/>
      <c r="X21" s="1118"/>
      <c r="Y21" s="1118"/>
      <c r="Z21" s="1124"/>
      <c r="AA21" s="1124"/>
      <c r="AB21" s="1124"/>
      <c r="AC21" s="1124"/>
      <c r="AD21" s="1124"/>
      <c r="AE21" s="1124"/>
      <c r="AF21" s="1124"/>
      <c r="AG21" s="2781"/>
      <c r="AH21" s="2781"/>
      <c r="AI21" s="2781"/>
      <c r="AJ21" s="2781"/>
    </row>
    <row r="22" spans="1:37" s="2013" customFormat="1" ht="15.75" thickBot="1">
      <c r="A22" s="2157" t="s">
        <v>363</v>
      </c>
      <c r="B22" s="2158" t="s">
        <v>1998</v>
      </c>
      <c r="C22" s="2159">
        <f>SUMIF(修正!C20:C51,E3,修正!E20:E51)</f>
        <v>0</v>
      </c>
      <c r="D22" s="2160"/>
      <c r="E22" s="2161"/>
      <c r="F22" s="2161"/>
      <c r="G22" s="2161"/>
      <c r="H22" s="2161"/>
      <c r="I22" s="2161"/>
      <c r="J22" s="2162"/>
      <c r="K22" s="1124"/>
      <c r="L22" s="2781"/>
      <c r="M22" s="2781"/>
      <c r="N22" s="2781"/>
      <c r="O22" s="1122"/>
      <c r="P22" s="1122"/>
      <c r="Q22" s="2781"/>
      <c r="R22" s="1123"/>
      <c r="S22" s="1123"/>
      <c r="T22" s="1119"/>
      <c r="U22" s="1119"/>
      <c r="V22" s="1119"/>
      <c r="W22" s="1118"/>
      <c r="X22" s="1118"/>
      <c r="Y22" s="1118"/>
      <c r="Z22" s="1124"/>
      <c r="AA22" s="1124"/>
      <c r="AB22" s="1124"/>
      <c r="AC22" s="1124"/>
      <c r="AD22" s="1124"/>
      <c r="AE22" s="1124"/>
      <c r="AF22" s="1124"/>
      <c r="AG22" s="2781"/>
      <c r="AH22" s="2781"/>
      <c r="AI22" s="2781"/>
      <c r="AJ22" s="2781"/>
    </row>
    <row r="23" spans="1:37" ht="26.25" thickBot="1">
      <c r="A23" s="2049" t="s">
        <v>364</v>
      </c>
      <c r="B23" s="2050"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2000</v>
      </c>
      <c r="E23" s="760">
        <v>44197</v>
      </c>
      <c r="F23" s="2053" t="s">
        <v>2001</v>
      </c>
      <c r="G23" s="761">
        <f>'数据-取费表'!B2</f>
        <v>45058</v>
      </c>
      <c r="H23" s="3336" t="s">
        <v>3252</v>
      </c>
      <c r="I23" s="3337" t="str">
        <f>IF(H23="季度增幅（自定义）",SUMIF(N25:N28,E2,O25:O28),"")</f>
        <v/>
      </c>
      <c r="J23" s="3439" t="s">
        <v>3251</v>
      </c>
      <c r="K23" s="1124"/>
      <c r="L23" s="2054" t="s">
        <v>2002</v>
      </c>
      <c r="M23" s="1327">
        <f>ROUND(SUMIF(地价!B2:G2,E2,地价!B16:G16),0)</f>
        <v>0</v>
      </c>
      <c r="N23" s="2055" t="s">
        <v>2003</v>
      </c>
      <c r="O23" s="762">
        <f>ROUNDDOWN(DATEDIF(E23,G23,"M")/3,0)</f>
        <v>9</v>
      </c>
      <c r="P23" s="1121"/>
      <c r="Q23" s="2781"/>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t="e">
        <f>ROUND(POWER(1+G24,J24-I24)*(POWER(1+G24,I24)-1)/(POWER(1+G24,J24)-1),4)</f>
        <v>#DIV/0!</v>
      </c>
      <c r="D24" s="2059" t="s">
        <v>2005</v>
      </c>
      <c r="E24" s="1334">
        <f>存贷款利率!E22/100</f>
        <v>4.3499999999999997E-2</v>
      </c>
      <c r="F24" s="2059" t="s">
        <v>1997</v>
      </c>
      <c r="G24" s="767">
        <f>SUMIF(M30:Q30,E2,M33:Q33)</f>
        <v>0</v>
      </c>
      <c r="H24" s="2059" t="s">
        <v>2006</v>
      </c>
      <c r="I24" s="768" t="e">
        <f>SUMIF('数据-取费表'!C6:C15,E2,'数据-取费表'!F6:F15)/COUNTIF('数据-取费表'!C6:C15,E2)</f>
        <v>#DIV/0!</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1"/>
      <c r="AH24" s="2781"/>
      <c r="AI24" s="2781"/>
      <c r="AJ24" s="2781"/>
    </row>
    <row r="25" spans="1:37" ht="15">
      <c r="A25" s="2064" t="s">
        <v>366</v>
      </c>
      <c r="B25" s="2065" t="s">
        <v>3331</v>
      </c>
      <c r="C25" s="770">
        <f>IF(B25="容积率修正",IF(G3&lt;10,D26,J26),C27)</f>
        <v>0</v>
      </c>
      <c r="D25" s="2066"/>
      <c r="E25" s="2066"/>
      <c r="F25" s="2066"/>
      <c r="G25" s="2066"/>
      <c r="H25" s="2066"/>
      <c r="I25" s="2066"/>
      <c r="J25" s="2067"/>
      <c r="K25" s="1124"/>
      <c r="L25" s="2781"/>
      <c r="M25" s="2781"/>
      <c r="N25" s="2068" t="s">
        <v>2011</v>
      </c>
      <c r="O25" s="1172"/>
      <c r="P25" s="1173">
        <f>SUMPRODUCT((地价!A3:A40=YEAR(G23)&amp;"-"&amp;ROUNDUP(MONTH(G23)/3,0))*(地价!AD2:AH2=N25)*(地价!AD3:AH40))</f>
        <v>0</v>
      </c>
      <c r="Q25" s="2781"/>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38"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3254</v>
      </c>
      <c r="J26" s="771" t="str">
        <f>IF(G3&gt;=10,D115,"——")</f>
        <v>——</v>
      </c>
      <c r="K26" s="1124"/>
      <c r="L26" s="2781"/>
      <c r="M26" s="2781"/>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0</v>
      </c>
      <c r="D28" s="2051"/>
      <c r="E28" s="2076"/>
      <c r="F28" s="2076"/>
      <c r="G28" s="2076"/>
      <c r="H28" s="2076"/>
      <c r="I28" s="2076"/>
      <c r="J28" s="2077"/>
      <c r="K28" s="1124"/>
      <c r="L28" s="2781"/>
      <c r="M28" s="2781"/>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78" t="s">
        <v>2021</v>
      </c>
      <c r="O29" s="2779"/>
      <c r="P29" s="2780">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t="e">
        <f>IF(B25="容积率修正",E33+SUM(E37:E42),SUM(V2:V16)+SUM(E37:E42))</f>
        <v>#DIV/0!</v>
      </c>
      <c r="D30" s="2082"/>
      <c r="E30" s="2045"/>
      <c r="F30" s="2083"/>
      <c r="G30" s="2045"/>
      <c r="H30" s="2045"/>
      <c r="I30" s="2045"/>
      <c r="J30" s="2084"/>
      <c r="K30" s="1118"/>
      <c r="L30" s="3344" t="s">
        <v>1934</v>
      </c>
      <c r="M30" s="3345" t="s">
        <v>1988</v>
      </c>
      <c r="N30" s="3345" t="s">
        <v>1989</v>
      </c>
      <c r="O30" s="3345" t="s">
        <v>1990</v>
      </c>
      <c r="P30" s="3345" t="s">
        <v>1991</v>
      </c>
      <c r="Q30" s="3348"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t="e">
        <f>E34+SUM(I37:I42)</f>
        <v>#DIV/0!</v>
      </c>
      <c r="D31" s="2086"/>
      <c r="E31" s="2087"/>
      <c r="F31" s="2088"/>
      <c r="G31" s="2087"/>
      <c r="H31" s="2087"/>
      <c r="I31" s="2087"/>
      <c r="J31" s="2089"/>
      <c r="K31" s="1118"/>
      <c r="L31" s="3346" t="s">
        <v>1994</v>
      </c>
      <c r="M31" s="1999">
        <v>0.25</v>
      </c>
      <c r="N31" s="1999">
        <v>0.2</v>
      </c>
      <c r="O31" s="1999">
        <v>0.15</v>
      </c>
      <c r="P31" s="1999">
        <v>0.1</v>
      </c>
      <c r="Q31" s="3341">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47" t="s">
        <v>1997</v>
      </c>
      <c r="M32" s="2563">
        <f>ROUND($E$24*(1+M31),3)</f>
        <v>5.3999999999999999E-2</v>
      </c>
      <c r="N32" s="2563">
        <f>ROUND($E$24*(1+N31),3)</f>
        <v>5.1999999999999998E-2</v>
      </c>
      <c r="O32" s="2563">
        <f>ROUND($E$24*(1+O31),3)</f>
        <v>0.05</v>
      </c>
      <c r="P32" s="2563">
        <f>ROUND($E$24*(1+P31),3)</f>
        <v>4.8000000000000001E-2</v>
      </c>
      <c r="Q32" s="3349">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t="e">
        <f>ROUND(C5*C22*C23*C24*C25*C28,0)</f>
        <v>#DIV/0!</v>
      </c>
      <c r="D33" s="2097"/>
      <c r="E33" s="772" t="e">
        <f>ROUND(C33*D33/10000,0)</f>
        <v>#DIV/0!</v>
      </c>
      <c r="F33" s="3339" t="s">
        <v>3256</v>
      </c>
      <c r="G33" s="2098"/>
      <c r="H33" s="2098"/>
      <c r="I33" s="2098"/>
      <c r="J33" s="2099"/>
      <c r="K33" s="1118"/>
      <c r="L33" s="3342" t="s">
        <v>3259</v>
      </c>
      <c r="M33" s="3343">
        <v>5.5E-2</v>
      </c>
      <c r="N33" s="3343">
        <v>5.5E-2</v>
      </c>
      <c r="O33" s="3343">
        <v>0.05</v>
      </c>
      <c r="P33" s="3343">
        <v>0.05</v>
      </c>
      <c r="Q33" s="3343">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t="e">
        <f>ROUND(IF(E2="工业",C33*M42,IF(B25="楼层修正",SUM(V2:V16)*M41*10000/D34,C33*M41)),0)</f>
        <v>#DIV/0!</v>
      </c>
      <c r="D34" s="2102"/>
      <c r="E34" s="772" t="e">
        <f>ROUND(IF(B25="楼层修正",SUM(V2:V16)*M40,C34*D34/10000),0)</f>
        <v>#DIV/0!</v>
      </c>
      <c r="F34" s="2103" t="s">
        <v>2030</v>
      </c>
      <c r="G34" s="2104"/>
      <c r="H34" s="2104"/>
      <c r="I34" s="2104"/>
      <c r="J34" s="2105"/>
      <c r="K34" s="1118"/>
      <c r="L34" s="3342" t="s">
        <v>3260</v>
      </c>
      <c r="M34" s="3343">
        <v>6.5000000000000002E-2</v>
      </c>
      <c r="N34" s="3343">
        <v>6.5000000000000002E-2</v>
      </c>
      <c r="O34" s="3343">
        <v>0.06</v>
      </c>
      <c r="P34" s="3343">
        <v>0.06</v>
      </c>
      <c r="Q34" s="3343">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0" t="s">
        <v>3257</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0" t="s">
        <v>3261</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5"/>
      <c r="B37" s="2112" t="s">
        <v>2034</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5"/>
      <c r="K37" s="3352" t="s">
        <v>3262</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6"/>
      <c r="B38" s="2040" t="s">
        <v>2035</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8"/>
      <c r="S38" s="1118"/>
      <c r="T38" s="1118"/>
      <c r="U38" s="1118"/>
      <c r="V38" s="1118"/>
      <c r="W38" s="1118"/>
      <c r="X38" s="1118"/>
      <c r="Y38" s="1118"/>
      <c r="Z38" s="1119"/>
      <c r="AA38" s="1119"/>
      <c r="AB38" s="1119"/>
      <c r="AC38" s="1119"/>
      <c r="AD38" s="1119"/>
    </row>
    <row r="39" spans="1:37" ht="13.5" thickBot="1">
      <c r="A39" s="3766"/>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3" t="s">
        <v>3263</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t="e">
        <f>ROUND(POWER(1+E44,H44-G44)*(POWER(1+E44,G44)-1)/(POWER(1+E44,H44)-1),4)</f>
        <v>#DIV/0!</v>
      </c>
      <c r="D44" s="171" t="s">
        <v>1997</v>
      </c>
      <c r="E44" s="2152">
        <f>G24</f>
        <v>0</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9" t="s">
        <v>2050</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0">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2051</v>
      </c>
      <c r="B51" s="2133" t="str">
        <f>估价对象房地状况!C18</f>
        <v>一般</v>
      </c>
      <c r="C51" s="2043"/>
      <c r="D51" s="1064">
        <f t="shared" si="7"/>
        <v>0</v>
      </c>
      <c r="E51" s="744"/>
      <c r="F51" s="1813"/>
      <c r="G51" s="1062"/>
      <c r="H51" s="1065" t="str">
        <f t="shared" si="8"/>
        <v>——</v>
      </c>
      <c r="I51" s="3360">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2" t="s">
        <v>3265</v>
      </c>
      <c r="B52" s="2133">
        <f>估价对象房地状况!C19</f>
        <v>0</v>
      </c>
      <c r="C52" s="2043"/>
      <c r="D52" s="1064">
        <f t="shared" si="7"/>
        <v>0</v>
      </c>
      <c r="E52" s="744"/>
      <c r="F52" s="1813"/>
      <c r="G52" s="1062"/>
      <c r="H52" s="1065" t="str">
        <f t="shared" si="8"/>
        <v>——</v>
      </c>
      <c r="I52" s="3360">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t="str">
        <f t="shared" si="8"/>
        <v>——</v>
      </c>
      <c r="I53" s="3360">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t="str">
        <f t="shared" si="8"/>
        <v>——</v>
      </c>
      <c r="I54" s="3360">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t="str">
        <f t="shared" si="8"/>
        <v>——</v>
      </c>
      <c r="I55" s="3360">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2057</v>
      </c>
      <c r="B56" s="1325" t="str">
        <f>估价对象房地状况!C21</f>
        <v>较好</v>
      </c>
      <c r="C56" s="2043"/>
      <c r="D56" s="1064">
        <f t="shared" si="7"/>
        <v>0</v>
      </c>
      <c r="E56" s="744"/>
      <c r="F56" s="1813"/>
      <c r="G56" s="1062"/>
      <c r="H56" s="1065" t="str">
        <f t="shared" si="8"/>
        <v>——</v>
      </c>
      <c r="I56" s="3360">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2058</v>
      </c>
      <c r="B57" s="2133" t="str">
        <f>估价对象房地状况!C22</f>
        <v>七通</v>
      </c>
      <c r="C57" s="2043"/>
      <c r="D57" s="1064">
        <f t="shared" si="7"/>
        <v>0</v>
      </c>
      <c r="E57" s="744"/>
      <c r="F57" s="1813"/>
      <c r="G57" s="1062"/>
      <c r="H57" s="1065" t="str">
        <f t="shared" si="8"/>
        <v>——</v>
      </c>
      <c r="I57" s="3360">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2059</v>
      </c>
      <c r="B58" s="2138" t="str">
        <f>估价对象房地状况!C20</f>
        <v>一般</v>
      </c>
      <c r="C58" s="2043"/>
      <c r="D58" s="1064">
        <f t="shared" si="7"/>
        <v>0</v>
      </c>
      <c r="E58" s="745"/>
      <c r="F58" s="1813"/>
      <c r="G58" s="1062"/>
      <c r="H58" s="1065" t="str">
        <f t="shared" si="8"/>
        <v>——</v>
      </c>
      <c r="I58" s="3361">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0">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2051</v>
      </c>
      <c r="B62" s="2133" t="str">
        <f>估价对象房地状况!C18</f>
        <v>一般</v>
      </c>
      <c r="C62" s="2043"/>
      <c r="D62" s="1064">
        <f t="shared" si="12"/>
        <v>0</v>
      </c>
      <c r="E62" s="744"/>
      <c r="F62" s="1813"/>
      <c r="G62" s="1062"/>
      <c r="H62" s="1065" t="str">
        <f t="shared" si="13"/>
        <v>——</v>
      </c>
      <c r="I62" s="3360">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2" t="s">
        <v>3265</v>
      </c>
      <c r="B63" s="2133">
        <f>估价对象房地状况!C19</f>
        <v>0</v>
      </c>
      <c r="C63" s="2043"/>
      <c r="D63" s="1064">
        <f t="shared" si="12"/>
        <v>0</v>
      </c>
      <c r="E63" s="744"/>
      <c r="F63" s="1813"/>
      <c r="G63" s="1062"/>
      <c r="H63" s="1065" t="str">
        <f t="shared" si="13"/>
        <v>——</v>
      </c>
      <c r="I63" s="3360">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0">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0">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0">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2057</v>
      </c>
      <c r="B67" s="1325" t="str">
        <f>估价对象房地状况!C21</f>
        <v>较好</v>
      </c>
      <c r="C67" s="2043"/>
      <c r="D67" s="1064">
        <f t="shared" si="12"/>
        <v>0</v>
      </c>
      <c r="E67" s="744"/>
      <c r="F67" s="1813"/>
      <c r="G67" s="1062"/>
      <c r="H67" s="1065" t="str">
        <f t="shared" si="13"/>
        <v>——</v>
      </c>
      <c r="I67" s="3360">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2058</v>
      </c>
      <c r="B68" s="1325" t="str">
        <f>估价对象房地状况!C22</f>
        <v>七通</v>
      </c>
      <c r="C68" s="2043"/>
      <c r="D68" s="1064">
        <f t="shared" si="12"/>
        <v>0</v>
      </c>
      <c r="E68" s="744"/>
      <c r="F68" s="1813"/>
      <c r="G68" s="1062"/>
      <c r="H68" s="1065" t="str">
        <f t="shared" si="13"/>
        <v>——</v>
      </c>
      <c r="I68" s="3360">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2059</v>
      </c>
      <c r="B69" s="2139" t="str">
        <f>估价对象房地状况!C20</f>
        <v>一般</v>
      </c>
      <c r="C69" s="2043"/>
      <c r="D69" s="1064">
        <f t="shared" si="12"/>
        <v>0</v>
      </c>
      <c r="E69" s="745"/>
      <c r="F69" s="1813"/>
      <c r="G69" s="1062"/>
      <c r="H69" s="1065" t="str">
        <f t="shared" si="13"/>
        <v>——</v>
      </c>
      <c r="I69" s="3361">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0">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2051</v>
      </c>
      <c r="B73" s="2133" t="str">
        <f>估价对象房地状况!C18</f>
        <v>一般</v>
      </c>
      <c r="C73" s="2043"/>
      <c r="D73" s="1064">
        <f t="shared" si="17"/>
        <v>0</v>
      </c>
      <c r="E73" s="746"/>
      <c r="F73" s="1813"/>
      <c r="G73" s="1062"/>
      <c r="H73" s="1065" t="str">
        <f t="shared" si="18"/>
        <v>——</v>
      </c>
      <c r="I73" s="3360">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2" t="s">
        <v>3265</v>
      </c>
      <c r="B74" s="2133">
        <f>估价对象房地状况!C19</f>
        <v>0</v>
      </c>
      <c r="C74" s="2043"/>
      <c r="D74" s="1064">
        <f t="shared" si="17"/>
        <v>0</v>
      </c>
      <c r="E74" s="746"/>
      <c r="F74" s="1813"/>
      <c r="G74" s="1062"/>
      <c r="H74" s="1065" t="str">
        <f t="shared" si="18"/>
        <v>——</v>
      </c>
      <c r="I74" s="3360">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0">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2057</v>
      </c>
      <c r="B76" s="1325" t="str">
        <f>估价对象房地状况!C21</f>
        <v>较好</v>
      </c>
      <c r="C76" s="2043"/>
      <c r="D76" s="1064">
        <f t="shared" si="17"/>
        <v>0</v>
      </c>
      <c r="E76" s="746"/>
      <c r="F76" s="1813"/>
      <c r="G76" s="1062"/>
      <c r="H76" s="1065" t="str">
        <f t="shared" si="18"/>
        <v>——</v>
      </c>
      <c r="I76" s="3360">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2058</v>
      </c>
      <c r="B77" s="1325" t="str">
        <f>估价对象房地状况!C22</f>
        <v>七通</v>
      </c>
      <c r="C77" s="2043"/>
      <c r="D77" s="1064">
        <f t="shared" si="17"/>
        <v>0</v>
      </c>
      <c r="E77" s="746"/>
      <c r="F77" s="1813"/>
      <c r="G77" s="1062"/>
      <c r="H77" s="1065" t="str">
        <f t="shared" si="18"/>
        <v>——</v>
      </c>
      <c r="I77" s="3360">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0">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2059</v>
      </c>
      <c r="B79" s="2132" t="str">
        <f>估价对象房地状况!C20</f>
        <v>一般</v>
      </c>
      <c r="C79" s="2043"/>
      <c r="D79" s="1064">
        <f t="shared" si="17"/>
        <v>0</v>
      </c>
      <c r="E79" s="746"/>
      <c r="F79" s="1813"/>
      <c r="G79" s="1062"/>
      <c r="H79" s="1065" t="str">
        <f t="shared" si="18"/>
        <v>——</v>
      </c>
      <c r="I79" s="3360">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1">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0">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0">
        <v>0.3</v>
      </c>
      <c r="J84" s="1063">
        <f t="shared" si="24"/>
        <v>0</v>
      </c>
      <c r="K84" s="1063">
        <f t="shared" si="25"/>
        <v>0</v>
      </c>
      <c r="L84" s="1063">
        <v>0</v>
      </c>
      <c r="M84" s="1063">
        <f t="shared" si="26"/>
        <v>0</v>
      </c>
      <c r="N84" s="1063">
        <f t="shared" si="26"/>
        <v>0</v>
      </c>
      <c r="Z84" s="1997"/>
      <c r="AA84" s="2052"/>
      <c r="AG84" s="1120"/>
      <c r="AK84" s="2052"/>
    </row>
    <row r="85" spans="1:37" ht="36">
      <c r="A85" s="3362" t="s">
        <v>3266</v>
      </c>
      <c r="B85" s="2133">
        <f>估价对象房地状况!G17</f>
        <v>0</v>
      </c>
      <c r="C85" s="2043"/>
      <c r="D85" s="1064">
        <f t="shared" si="22"/>
        <v>0</v>
      </c>
      <c r="E85" s="746"/>
      <c r="F85" s="1813"/>
      <c r="G85" s="1062"/>
      <c r="H85" s="1065" t="str">
        <f t="shared" si="23"/>
        <v>——</v>
      </c>
      <c r="I85" s="3360">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0">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0">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0">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0">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1">
        <v>0.05</v>
      </c>
      <c r="J90" s="1063">
        <f t="shared" si="24"/>
        <v>0</v>
      </c>
      <c r="K90" s="1063">
        <f t="shared" si="25"/>
        <v>0</v>
      </c>
      <c r="L90" s="1063">
        <v>0</v>
      </c>
      <c r="M90" s="1063">
        <f t="shared" si="26"/>
        <v>0</v>
      </c>
      <c r="N90" s="1063">
        <f t="shared" si="26"/>
        <v>0</v>
      </c>
    </row>
    <row r="91" spans="1:37" ht="15">
      <c r="A91" s="3370" t="s">
        <v>2606</v>
      </c>
      <c r="B91" s="3371">
        <f>1+E93</f>
        <v>1</v>
      </c>
      <c r="C91" s="3364"/>
      <c r="D91" s="3365"/>
      <c r="E91" s="1813"/>
      <c r="F91" s="1813"/>
      <c r="G91" s="3366"/>
      <c r="H91" s="3367"/>
      <c r="I91" s="3368"/>
      <c r="J91" s="3369"/>
      <c r="K91" s="3369"/>
      <c r="L91" s="3369"/>
      <c r="M91" s="3369"/>
      <c r="N91" s="3369"/>
    </row>
    <row r="92" spans="1:37" ht="24.75">
      <c r="A92" s="3372" t="s">
        <v>3267</v>
      </c>
      <c r="B92" s="3359"/>
      <c r="C92" s="3359" t="s">
        <v>3276</v>
      </c>
      <c r="D92" s="3359" t="s">
        <v>3277</v>
      </c>
      <c r="E92" s="3341" t="s">
        <v>3278</v>
      </c>
      <c r="F92" s="3374" t="s">
        <v>3279</v>
      </c>
      <c r="G92" s="3359" t="s">
        <v>3280</v>
      </c>
      <c r="H92" s="3381" t="s">
        <v>3283</v>
      </c>
      <c r="I92" s="3359" t="s">
        <v>3284</v>
      </c>
      <c r="J92" s="3382" t="s">
        <v>3285</v>
      </c>
      <c r="K92" s="3382" t="s">
        <v>3286</v>
      </c>
      <c r="L92" s="3382" t="s">
        <v>3287</v>
      </c>
      <c r="M92" s="3382" t="s">
        <v>3288</v>
      </c>
      <c r="N92" s="3382" t="s">
        <v>3289</v>
      </c>
    </row>
    <row r="93" spans="1:37" ht="24">
      <c r="A93" s="3362" t="s">
        <v>3268</v>
      </c>
      <c r="B93" s="1305"/>
      <c r="C93" s="2043"/>
      <c r="D93" s="3359">
        <f>SUMIF($J$92:$N$92,C93,J93:N93)</f>
        <v>0</v>
      </c>
      <c r="E93" s="3375">
        <f>ROUND(SUM(D93:D101),4)</f>
        <v>0</v>
      </c>
      <c r="F93" s="1813"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3269</v>
      </c>
      <c r="B94" s="3363" t="str">
        <f>估价对象房地状况!C18</f>
        <v>一般</v>
      </c>
      <c r="C94" s="2043"/>
      <c r="D94" s="3359">
        <f t="shared" ref="D94:D101" si="30">SUMIF($J$60:$N$60,C94,J94:N94)</f>
        <v>0</v>
      </c>
      <c r="E94" s="3376"/>
      <c r="F94" s="1813"/>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3265</v>
      </c>
      <c r="B95" s="3363">
        <f>估价对象房地状况!C19</f>
        <v>0</v>
      </c>
      <c r="C95" s="2043"/>
      <c r="D95" s="3359">
        <f t="shared" si="30"/>
        <v>0</v>
      </c>
      <c r="E95" s="3376"/>
      <c r="F95" s="1813"/>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3270</v>
      </c>
      <c r="B96" s="3378" t="s">
        <v>3281</v>
      </c>
      <c r="C96" s="2043"/>
      <c r="D96" s="3359">
        <f t="shared" si="30"/>
        <v>0</v>
      </c>
      <c r="E96" s="3376"/>
      <c r="F96" s="1813"/>
      <c r="G96" s="3366"/>
      <c r="H96" s="3414" t="str">
        <f t="shared" si="31"/>
        <v>——</v>
      </c>
      <c r="I96" s="3360">
        <v>0.05</v>
      </c>
      <c r="J96" s="3338">
        <f t="shared" si="27"/>
        <v>0</v>
      </c>
      <c r="K96" s="3338">
        <f t="shared" si="28"/>
        <v>0</v>
      </c>
      <c r="L96" s="3338">
        <v>0</v>
      </c>
      <c r="M96" s="3338">
        <f t="shared" si="29"/>
        <v>0</v>
      </c>
      <c r="N96" s="3338">
        <f t="shared" si="29"/>
        <v>0</v>
      </c>
    </row>
    <row r="97" spans="1:14" ht="24">
      <c r="A97" s="3372" t="s">
        <v>3271</v>
      </c>
      <c r="B97" s="3363">
        <f>估价对象房地状况!C24</f>
        <v>0</v>
      </c>
      <c r="C97" s="2043"/>
      <c r="D97" s="3359">
        <f t="shared" si="30"/>
        <v>0</v>
      </c>
      <c r="E97" s="3376"/>
      <c r="F97" s="1813"/>
      <c r="G97" s="3366"/>
      <c r="H97" s="3414" t="str">
        <f t="shared" si="31"/>
        <v>——</v>
      </c>
      <c r="I97" s="3360">
        <v>0.05</v>
      </c>
      <c r="J97" s="3338">
        <f t="shared" si="27"/>
        <v>0</v>
      </c>
      <c r="K97" s="3338">
        <f t="shared" si="28"/>
        <v>0</v>
      </c>
      <c r="L97" s="3338">
        <v>0</v>
      </c>
      <c r="M97" s="3338">
        <f t="shared" si="29"/>
        <v>0</v>
      </c>
      <c r="N97" s="3338">
        <f t="shared" si="29"/>
        <v>0</v>
      </c>
    </row>
    <row r="98" spans="1:14" ht="24">
      <c r="A98" s="3372" t="s">
        <v>3272</v>
      </c>
      <c r="B98" s="3379" t="s">
        <v>3282</v>
      </c>
      <c r="C98" s="2043"/>
      <c r="D98" s="3359">
        <f t="shared" si="30"/>
        <v>0</v>
      </c>
      <c r="E98" s="3376"/>
      <c r="F98" s="1813"/>
      <c r="G98" s="3366"/>
      <c r="H98" s="3414" t="str">
        <f t="shared" si="31"/>
        <v>——</v>
      </c>
      <c r="I98" s="3360">
        <v>0.06</v>
      </c>
      <c r="J98" s="3338">
        <f t="shared" si="27"/>
        <v>0</v>
      </c>
      <c r="K98" s="3338">
        <f t="shared" si="28"/>
        <v>0</v>
      </c>
      <c r="L98" s="3338">
        <v>0</v>
      </c>
      <c r="M98" s="3338">
        <f t="shared" si="29"/>
        <v>0</v>
      </c>
      <c r="N98" s="3338">
        <f t="shared" si="29"/>
        <v>0</v>
      </c>
    </row>
    <row r="99" spans="1:14" ht="24">
      <c r="A99" s="3372" t="s">
        <v>3273</v>
      </c>
      <c r="B99" s="3363" t="str">
        <f>估价对象房地状况!C21</f>
        <v>较好</v>
      </c>
      <c r="C99" s="2043"/>
      <c r="D99" s="3359">
        <f t="shared" si="30"/>
        <v>0</v>
      </c>
      <c r="E99" s="3376"/>
      <c r="F99" s="1813"/>
      <c r="G99" s="3366"/>
      <c r="H99" s="3414" t="str">
        <f t="shared" si="31"/>
        <v>——</v>
      </c>
      <c r="I99" s="3360">
        <v>0.06</v>
      </c>
      <c r="J99" s="3338">
        <f t="shared" si="27"/>
        <v>0</v>
      </c>
      <c r="K99" s="3338">
        <f t="shared" si="28"/>
        <v>0</v>
      </c>
      <c r="L99" s="3338">
        <v>0</v>
      </c>
      <c r="M99" s="3338">
        <f t="shared" si="29"/>
        <v>0</v>
      </c>
      <c r="N99" s="3338">
        <f t="shared" si="29"/>
        <v>0</v>
      </c>
    </row>
    <row r="100" spans="1:14" ht="24">
      <c r="A100" s="3372" t="s">
        <v>3274</v>
      </c>
      <c r="B100" s="3363" t="str">
        <f>估价对象房地状况!C22</f>
        <v>七通</v>
      </c>
      <c r="C100" s="2043"/>
      <c r="D100" s="3359">
        <f t="shared" si="30"/>
        <v>0</v>
      </c>
      <c r="E100" s="3376"/>
      <c r="F100" s="1813"/>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3275</v>
      </c>
      <c r="B101" s="3380" t="str">
        <f>估价对象房地状况!C20</f>
        <v>一般</v>
      </c>
      <c r="C101" s="2043"/>
      <c r="D101" s="3359">
        <f t="shared" si="30"/>
        <v>0</v>
      </c>
      <c r="E101" s="3377"/>
      <c r="F101" s="1813"/>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63" t="s">
        <v>3290</v>
      </c>
      <c r="B103" s="3763"/>
      <c r="C103" s="3763"/>
      <c r="D103" s="3763"/>
      <c r="E103" s="3763"/>
      <c r="F103" s="3763"/>
      <c r="G103" s="3763"/>
      <c r="H103" s="3763"/>
      <c r="I103" s="3763"/>
      <c r="J103" s="3763"/>
      <c r="K103" s="3383"/>
      <c r="L103" s="3383"/>
      <c r="M103" s="3383"/>
      <c r="N103" s="3383"/>
    </row>
    <row r="104" spans="1:14">
      <c r="A104" s="3764" t="s">
        <v>3291</v>
      </c>
      <c r="B104" s="3764" t="s">
        <v>3292</v>
      </c>
      <c r="C104" s="3384" t="s">
        <v>3293</v>
      </c>
      <c r="D104" s="3385"/>
      <c r="E104" s="3385"/>
      <c r="F104" s="3385"/>
      <c r="G104" s="3385"/>
      <c r="H104" s="3385"/>
      <c r="I104" s="3385"/>
      <c r="J104" s="3386"/>
      <c r="K104" s="3387"/>
      <c r="L104" s="3387"/>
      <c r="M104" s="3387"/>
      <c r="N104" s="3387"/>
    </row>
    <row r="105" spans="1:14">
      <c r="A105" s="3764"/>
      <c r="B105" s="3764"/>
      <c r="C105" s="3388" t="s">
        <v>3294</v>
      </c>
      <c r="D105" s="3388" t="s">
        <v>3295</v>
      </c>
      <c r="E105" s="3388" t="s">
        <v>3296</v>
      </c>
      <c r="F105" s="3388" t="s">
        <v>3297</v>
      </c>
      <c r="G105" s="3388" t="s">
        <v>3298</v>
      </c>
      <c r="H105" s="3388" t="s">
        <v>3299</v>
      </c>
      <c r="I105" s="3388" t="s">
        <v>3300</v>
      </c>
      <c r="J105" s="3388" t="s">
        <v>3301</v>
      </c>
      <c r="K105" s="3388" t="s">
        <v>3302</v>
      </c>
      <c r="L105" s="3388" t="s">
        <v>3303</v>
      </c>
      <c r="M105" s="3388" t="s">
        <v>3304</v>
      </c>
      <c r="N105" s="3388" t="s">
        <v>3305</v>
      </c>
    </row>
    <row r="106" spans="1:14">
      <c r="A106" s="3750" t="s">
        <v>3306</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1"/>
      <c r="B111" s="3388" t="s">
        <v>3264</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52"/>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53" t="s">
        <v>3307</v>
      </c>
      <c r="B113" s="3753"/>
      <c r="C113" s="3753"/>
      <c r="D113" s="3753"/>
      <c r="E113" s="3753"/>
      <c r="F113" s="3753"/>
      <c r="G113" s="3753"/>
      <c r="H113" s="3753"/>
      <c r="I113" s="3753"/>
      <c r="J113" s="375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3308</v>
      </c>
      <c r="B116" s="3409">
        <f>G3</f>
        <v>0</v>
      </c>
      <c r="C116" s="3393" t="s">
        <v>3309</v>
      </c>
      <c r="D116" s="3394">
        <f>SUMPRODUCT((A118:A122=F116)*(B117:M117=H116)*B118:M122)</f>
        <v>0</v>
      </c>
      <c r="E116" s="1999" t="s">
        <v>3310</v>
      </c>
      <c r="F116" s="3395">
        <f>E2</f>
        <v>0</v>
      </c>
      <c r="G116" s="1999" t="s">
        <v>3311</v>
      </c>
      <c r="H116" s="3395">
        <f>G2</f>
        <v>0</v>
      </c>
      <c r="I116" s="1999"/>
      <c r="J116" s="3396"/>
      <c r="K116" s="3396"/>
      <c r="L116" s="3396"/>
      <c r="M116" s="3396"/>
      <c r="N116" s="3391"/>
    </row>
    <row r="117" spans="1:14">
      <c r="A117" s="3397"/>
      <c r="B117" s="3398" t="s">
        <v>3312</v>
      </c>
      <c r="C117" s="3398" t="s">
        <v>3313</v>
      </c>
      <c r="D117" s="3398" t="s">
        <v>3314</v>
      </c>
      <c r="E117" s="3399" t="s">
        <v>3315</v>
      </c>
      <c r="F117" s="3399" t="s">
        <v>3316</v>
      </c>
      <c r="G117" s="3399" t="s">
        <v>3317</v>
      </c>
      <c r="H117" s="3400" t="s">
        <v>3318</v>
      </c>
      <c r="I117" s="3400" t="s">
        <v>3319</v>
      </c>
      <c r="J117" s="3401" t="s">
        <v>3320</v>
      </c>
      <c r="K117" s="3401" t="s">
        <v>3321</v>
      </c>
      <c r="L117" s="3401" t="s">
        <v>3322</v>
      </c>
      <c r="M117" s="3402" t="s">
        <v>3323</v>
      </c>
      <c r="N117" s="3391"/>
    </row>
    <row r="118" spans="1:14">
      <c r="A118" s="3403" t="s">
        <v>3324</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3325</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3326</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3327</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2606</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78" t="s">
        <v>2601</v>
      </c>
      <c r="B20" s="3773" t="s">
        <v>2622</v>
      </c>
      <c r="C20" s="3096" t="s">
        <v>2433</v>
      </c>
      <c r="D20" s="3097"/>
      <c r="E20" s="3098">
        <v>1</v>
      </c>
      <c r="F20" s="3099" t="s">
        <v>2434</v>
      </c>
      <c r="G20" s="3099"/>
    </row>
    <row r="21" spans="1:13" ht="19.5" customHeight="1">
      <c r="A21" s="3779"/>
      <c r="B21" s="3772"/>
      <c r="C21" s="3100" t="s">
        <v>2435</v>
      </c>
      <c r="D21" s="3101"/>
      <c r="E21" s="3102">
        <v>1</v>
      </c>
      <c r="F21" s="3099" t="s">
        <v>2436</v>
      </c>
      <c r="G21" s="3099"/>
    </row>
    <row r="22" spans="1:13" ht="19.5" customHeight="1">
      <c r="A22" s="3779"/>
      <c r="B22" s="3772"/>
      <c r="C22" s="3100" t="s">
        <v>2437</v>
      </c>
      <c r="D22" s="3101"/>
      <c r="E22" s="3102">
        <v>0.9</v>
      </c>
      <c r="F22" s="3099" t="s">
        <v>2438</v>
      </c>
      <c r="G22" s="3099"/>
    </row>
    <row r="23" spans="1:13" ht="19.5" customHeight="1">
      <c r="A23" s="3779"/>
      <c r="B23" s="3772"/>
      <c r="C23" s="3100" t="s">
        <v>2439</v>
      </c>
      <c r="D23" s="3101"/>
      <c r="E23" s="3102">
        <v>0.9</v>
      </c>
      <c r="F23" s="3099" t="s">
        <v>2440</v>
      </c>
      <c r="G23" s="3099"/>
    </row>
    <row r="24" spans="1:13" ht="19.5" customHeight="1">
      <c r="A24" s="3779"/>
      <c r="B24" s="3772"/>
      <c r="C24" s="3100" t="s">
        <v>2441</v>
      </c>
      <c r="D24" s="3101"/>
      <c r="E24" s="3102">
        <v>0.8</v>
      </c>
      <c r="F24" s="3099" t="s">
        <v>2442</v>
      </c>
      <c r="G24" s="3099"/>
    </row>
    <row r="25" spans="1:13" ht="19.5" customHeight="1" thickBot="1">
      <c r="A25" s="3780"/>
      <c r="B25" s="3774"/>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75" t="s">
        <v>2625</v>
      </c>
      <c r="B27" s="3773" t="s">
        <v>2606</v>
      </c>
      <c r="C27" s="3096" t="s">
        <v>2446</v>
      </c>
      <c r="D27" s="3097"/>
      <c r="E27" s="3098">
        <v>1</v>
      </c>
      <c r="F27" s="3099" t="s">
        <v>2447</v>
      </c>
      <c r="G27" s="3099"/>
    </row>
    <row r="28" spans="1:13" ht="19.5" customHeight="1">
      <c r="A28" s="3776"/>
      <c r="B28" s="3772"/>
      <c r="C28" s="3100" t="s">
        <v>2448</v>
      </c>
      <c r="D28" s="3101"/>
      <c r="E28" s="3102">
        <v>1</v>
      </c>
      <c r="F28" s="3099" t="s">
        <v>2449</v>
      </c>
      <c r="G28" s="3099"/>
    </row>
    <row r="29" spans="1:13" ht="19.5" customHeight="1">
      <c r="A29" s="3776"/>
      <c r="B29" s="3772"/>
      <c r="C29" s="3100" t="s">
        <v>2450</v>
      </c>
      <c r="D29" s="3101"/>
      <c r="E29" s="3102">
        <v>0.8</v>
      </c>
      <c r="F29" s="3099" t="s">
        <v>2451</v>
      </c>
      <c r="G29" s="3099"/>
    </row>
    <row r="30" spans="1:13" ht="19.5" customHeight="1">
      <c r="A30" s="3776"/>
      <c r="B30" s="3772"/>
      <c r="C30" s="3100" t="s">
        <v>2452</v>
      </c>
      <c r="D30" s="3101"/>
      <c r="E30" s="3102">
        <v>0.8</v>
      </c>
      <c r="F30" s="3099" t="s">
        <v>2453</v>
      </c>
      <c r="G30" s="3099"/>
    </row>
    <row r="31" spans="1:13" ht="19.5" customHeight="1">
      <c r="A31" s="3776"/>
      <c r="B31" s="3772"/>
      <c r="C31" s="3100" t="s">
        <v>2454</v>
      </c>
      <c r="D31" s="3101"/>
      <c r="E31" s="3102">
        <v>0.8</v>
      </c>
      <c r="F31" s="3099" t="s">
        <v>2455</v>
      </c>
      <c r="G31" s="3099"/>
    </row>
    <row r="32" spans="1:13" ht="19.5" customHeight="1">
      <c r="A32" s="3776"/>
      <c r="B32" s="3772"/>
      <c r="C32" s="3100" t="s">
        <v>2456</v>
      </c>
      <c r="D32" s="3101"/>
      <c r="E32" s="3102">
        <v>0.7</v>
      </c>
      <c r="F32" s="3099" t="s">
        <v>2457</v>
      </c>
      <c r="G32" s="3099"/>
    </row>
    <row r="33" spans="1:7" ht="19.5" customHeight="1">
      <c r="A33" s="3776"/>
      <c r="B33" s="3772"/>
      <c r="C33" s="3100" t="s">
        <v>2458</v>
      </c>
      <c r="D33" s="3101"/>
      <c r="E33" s="3102">
        <v>0.8</v>
      </c>
      <c r="F33" s="3099" t="s">
        <v>2459</v>
      </c>
      <c r="G33" s="3099"/>
    </row>
    <row r="34" spans="1:7" ht="19.5" customHeight="1">
      <c r="A34" s="3776"/>
      <c r="B34" s="3772"/>
      <c r="C34" s="3100" t="s">
        <v>2460</v>
      </c>
      <c r="D34" s="3101"/>
      <c r="E34" s="3102">
        <v>0.6</v>
      </c>
      <c r="F34" s="3099" t="s">
        <v>2461</v>
      </c>
      <c r="G34" s="3099"/>
    </row>
    <row r="35" spans="1:7" ht="19.5" customHeight="1">
      <c r="A35" s="3776"/>
      <c r="B35" s="3772"/>
      <c r="C35" s="3100" t="s">
        <v>2462</v>
      </c>
      <c r="D35" s="3101"/>
      <c r="E35" s="3102">
        <v>0.2</v>
      </c>
      <c r="F35" s="3099" t="s">
        <v>2463</v>
      </c>
      <c r="G35" s="3099"/>
    </row>
    <row r="36" spans="1:7" ht="19.5" customHeight="1">
      <c r="A36" s="3776"/>
      <c r="B36" s="3772"/>
      <c r="C36" s="3100" t="s">
        <v>2464</v>
      </c>
      <c r="D36" s="3101"/>
      <c r="E36" s="3102">
        <v>0.2</v>
      </c>
      <c r="F36" s="3099" t="s">
        <v>2465</v>
      </c>
      <c r="G36" s="3099"/>
    </row>
    <row r="37" spans="1:7" ht="19.5" customHeight="1">
      <c r="A37" s="3776"/>
      <c r="B37" s="3770" t="s">
        <v>2626</v>
      </c>
      <c r="C37" s="3100" t="s">
        <v>2466</v>
      </c>
      <c r="D37" s="3101"/>
      <c r="E37" s="3102">
        <v>0.6</v>
      </c>
      <c r="F37" s="3099" t="s">
        <v>2467</v>
      </c>
      <c r="G37" s="3099"/>
    </row>
    <row r="38" spans="1:7" ht="19.5" customHeight="1">
      <c r="A38" s="3776"/>
      <c r="B38" s="3772"/>
      <c r="C38" s="3100" t="s">
        <v>2468</v>
      </c>
      <c r="D38" s="3101"/>
      <c r="E38" s="3102">
        <v>0.6</v>
      </c>
      <c r="F38" s="3099" t="s">
        <v>2469</v>
      </c>
      <c r="G38" s="3099"/>
    </row>
    <row r="39" spans="1:7" ht="19.5" customHeight="1" thickBot="1">
      <c r="A39" s="3777"/>
      <c r="B39" s="3774"/>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78" t="s">
        <v>2604</v>
      </c>
      <c r="B41" s="3773" t="s">
        <v>2628</v>
      </c>
      <c r="C41" s="3096" t="s">
        <v>2473</v>
      </c>
      <c r="D41" s="3097"/>
      <c r="E41" s="3098">
        <v>1</v>
      </c>
      <c r="F41" s="3099" t="s">
        <v>2474</v>
      </c>
      <c r="G41" s="3099"/>
    </row>
    <row r="42" spans="1:7" ht="19.5" customHeight="1">
      <c r="A42" s="3779"/>
      <c r="B42" s="3772"/>
      <c r="C42" s="3100" t="s">
        <v>2475</v>
      </c>
      <c r="D42" s="3101"/>
      <c r="E42" s="3102">
        <v>1</v>
      </c>
      <c r="F42" s="3099" t="s">
        <v>2476</v>
      </c>
      <c r="G42" s="3099"/>
    </row>
    <row r="43" spans="1:7" ht="19.5" customHeight="1">
      <c r="A43" s="3779"/>
      <c r="B43" s="3771"/>
      <c r="C43" s="3100" t="s">
        <v>2477</v>
      </c>
      <c r="D43" s="3101"/>
      <c r="E43" s="3102">
        <v>1.5</v>
      </c>
      <c r="F43" s="3099" t="s">
        <v>2478</v>
      </c>
      <c r="G43" s="3099"/>
    </row>
    <row r="44" spans="1:7" ht="19.5" customHeight="1">
      <c r="A44" s="3779"/>
      <c r="B44" s="3111" t="s">
        <v>2629</v>
      </c>
      <c r="C44" s="3100" t="s">
        <v>2630</v>
      </c>
      <c r="D44" s="3101"/>
      <c r="E44" s="3102">
        <v>2</v>
      </c>
      <c r="F44" s="3099" t="s">
        <v>2479</v>
      </c>
      <c r="G44" s="3099"/>
    </row>
    <row r="45" spans="1:7" ht="19.5" customHeight="1">
      <c r="A45" s="3779"/>
      <c r="B45" s="3770" t="s">
        <v>2631</v>
      </c>
      <c r="C45" s="3100" t="s">
        <v>2480</v>
      </c>
      <c r="D45" s="3101"/>
      <c r="E45" s="3102">
        <v>1</v>
      </c>
      <c r="F45" s="3099" t="s">
        <v>2481</v>
      </c>
      <c r="G45" s="3099"/>
    </row>
    <row r="46" spans="1:7" ht="19.5" customHeight="1">
      <c r="A46" s="3779"/>
      <c r="B46" s="3772"/>
      <c r="C46" s="3100" t="s">
        <v>2482</v>
      </c>
      <c r="D46" s="3101"/>
      <c r="E46" s="3102">
        <v>1</v>
      </c>
      <c r="F46" s="3099" t="s">
        <v>2483</v>
      </c>
      <c r="G46" s="3099"/>
    </row>
    <row r="47" spans="1:7" ht="19.5" customHeight="1">
      <c r="A47" s="3779"/>
      <c r="B47" s="3772"/>
      <c r="C47" s="3100" t="s">
        <v>2484</v>
      </c>
      <c r="D47" s="3101"/>
      <c r="E47" s="3102">
        <v>1</v>
      </c>
      <c r="F47" s="3099" t="s">
        <v>2485</v>
      </c>
      <c r="G47" s="3099"/>
    </row>
    <row r="48" spans="1:7" ht="19.5" customHeight="1">
      <c r="A48" s="3779"/>
      <c r="B48" s="3772"/>
      <c r="C48" s="3100" t="s">
        <v>2486</v>
      </c>
      <c r="D48" s="3101"/>
      <c r="E48" s="3102">
        <v>1</v>
      </c>
      <c r="F48" s="3099" t="s">
        <v>2487</v>
      </c>
      <c r="G48" s="3099"/>
    </row>
    <row r="49" spans="1:7" ht="19.5" customHeight="1">
      <c r="A49" s="3779"/>
      <c r="B49" s="3772"/>
      <c r="C49" s="3100" t="s">
        <v>2488</v>
      </c>
      <c r="D49" s="3101"/>
      <c r="E49" s="3102">
        <v>1</v>
      </c>
      <c r="F49" s="3099" t="s">
        <v>2489</v>
      </c>
      <c r="G49" s="3099"/>
    </row>
    <row r="50" spans="1:7" ht="19.5" customHeight="1">
      <c r="A50" s="3779"/>
      <c r="B50" s="3772"/>
      <c r="C50" s="3100" t="s">
        <v>2490</v>
      </c>
      <c r="D50" s="3101"/>
      <c r="E50" s="3102">
        <v>1</v>
      </c>
      <c r="F50" s="3099" t="s">
        <v>2491</v>
      </c>
      <c r="G50" s="3099"/>
    </row>
    <row r="51" spans="1:7" ht="19.5" customHeight="1" thickBot="1">
      <c r="A51" s="3780"/>
      <c r="B51" s="3774"/>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70" t="s">
        <v>2645</v>
      </c>
      <c r="C73" s="3085" t="s">
        <v>2646</v>
      </c>
      <c r="D73" s="3085" t="s">
        <v>2647</v>
      </c>
      <c r="E73" s="3111">
        <v>0.2</v>
      </c>
      <c r="F73" s="3111">
        <v>25</v>
      </c>
    </row>
    <row r="74" spans="1:7" ht="24">
      <c r="A74" s="3111">
        <v>2</v>
      </c>
      <c r="B74" s="3772"/>
      <c r="C74" s="3085" t="s">
        <v>2648</v>
      </c>
      <c r="D74" s="3085" t="s">
        <v>2649</v>
      </c>
      <c r="E74" s="3111">
        <v>0.2</v>
      </c>
      <c r="F74" s="3111">
        <v>25</v>
      </c>
    </row>
    <row r="75" spans="1:7" ht="24">
      <c r="A75" s="3111">
        <v>3</v>
      </c>
      <c r="B75" s="3772"/>
      <c r="C75" s="3085" t="s">
        <v>2650</v>
      </c>
      <c r="D75" s="3085" t="s">
        <v>2651</v>
      </c>
      <c r="E75" s="3111">
        <v>0.2</v>
      </c>
      <c r="F75" s="3111">
        <v>25</v>
      </c>
    </row>
    <row r="76" spans="1:7" ht="13.5">
      <c r="A76" s="3111">
        <v>4</v>
      </c>
      <c r="B76" s="3772"/>
      <c r="C76" s="3085" t="s">
        <v>2652</v>
      </c>
      <c r="D76" s="3085" t="s">
        <v>2653</v>
      </c>
      <c r="E76" s="3111">
        <v>0.15</v>
      </c>
      <c r="F76" s="3111">
        <v>20</v>
      </c>
    </row>
    <row r="77" spans="1:7" ht="24">
      <c r="A77" s="3111">
        <v>5</v>
      </c>
      <c r="B77" s="3772"/>
      <c r="C77" s="3085" t="s">
        <v>2654</v>
      </c>
      <c r="D77" s="3085" t="s">
        <v>2655</v>
      </c>
      <c r="E77" s="3111">
        <v>0.15</v>
      </c>
      <c r="F77" s="3111">
        <v>20</v>
      </c>
    </row>
    <row r="78" spans="1:7" ht="24">
      <c r="A78" s="3111">
        <v>6</v>
      </c>
      <c r="B78" s="3772"/>
      <c r="C78" s="3085" t="s">
        <v>2656</v>
      </c>
      <c r="D78" s="3085" t="s">
        <v>2657</v>
      </c>
      <c r="E78" s="3111">
        <v>0.15</v>
      </c>
      <c r="F78" s="3111">
        <v>20</v>
      </c>
    </row>
    <row r="79" spans="1:7" ht="24">
      <c r="A79" s="3111">
        <v>7</v>
      </c>
      <c r="B79" s="3772"/>
      <c r="C79" s="3085" t="s">
        <v>2658</v>
      </c>
      <c r="D79" s="3085" t="s">
        <v>2659</v>
      </c>
      <c r="E79" s="3111">
        <v>0.15</v>
      </c>
      <c r="F79" s="3111">
        <v>20</v>
      </c>
    </row>
    <row r="80" spans="1:7" ht="24">
      <c r="A80" s="3111">
        <v>8</v>
      </c>
      <c r="B80" s="3772"/>
      <c r="C80" s="3085" t="s">
        <v>2660</v>
      </c>
      <c r="D80" s="3085" t="s">
        <v>2661</v>
      </c>
      <c r="E80" s="3111">
        <v>0.1</v>
      </c>
      <c r="F80" s="3111">
        <v>15</v>
      </c>
    </row>
    <row r="81" spans="1:6" ht="24">
      <c r="A81" s="3111">
        <v>9</v>
      </c>
      <c r="B81" s="3772"/>
      <c r="C81" s="3085" t="s">
        <v>2662</v>
      </c>
      <c r="D81" s="3085" t="s">
        <v>2663</v>
      </c>
      <c r="E81" s="3111">
        <v>0.1</v>
      </c>
      <c r="F81" s="3111">
        <v>15</v>
      </c>
    </row>
    <row r="82" spans="1:6" ht="24">
      <c r="A82" s="3111">
        <v>10</v>
      </c>
      <c r="B82" s="3772"/>
      <c r="C82" s="3085" t="s">
        <v>2664</v>
      </c>
      <c r="D82" s="3085" t="s">
        <v>2665</v>
      </c>
      <c r="E82" s="3111">
        <v>0.1</v>
      </c>
      <c r="F82" s="3111">
        <v>15</v>
      </c>
    </row>
    <row r="83" spans="1:6" ht="24">
      <c r="A83" s="3111">
        <v>11</v>
      </c>
      <c r="B83" s="3772"/>
      <c r="C83" s="3085" t="s">
        <v>2666</v>
      </c>
      <c r="D83" s="3085" t="s">
        <v>2667</v>
      </c>
      <c r="E83" s="3111">
        <v>0.1</v>
      </c>
      <c r="F83" s="3111">
        <v>15</v>
      </c>
    </row>
    <row r="84" spans="1:6" ht="24">
      <c r="A84" s="3111">
        <v>12</v>
      </c>
      <c r="B84" s="3772"/>
      <c r="C84" s="3085" t="s">
        <v>2668</v>
      </c>
      <c r="D84" s="3085" t="s">
        <v>2669</v>
      </c>
      <c r="E84" s="3111">
        <v>0.1</v>
      </c>
      <c r="F84" s="3111">
        <v>15</v>
      </c>
    </row>
    <row r="85" spans="1:6" ht="13.5">
      <c r="A85" s="3111">
        <v>13</v>
      </c>
      <c r="B85" s="3772"/>
      <c r="C85" s="3085" t="s">
        <v>2670</v>
      </c>
      <c r="D85" s="3085" t="s">
        <v>2671</v>
      </c>
      <c r="E85" s="3111">
        <v>0.1</v>
      </c>
      <c r="F85" s="3111">
        <v>15</v>
      </c>
    </row>
    <row r="86" spans="1:6" ht="13.5">
      <c r="A86" s="3111">
        <v>14</v>
      </c>
      <c r="B86" s="3772"/>
      <c r="C86" s="3085" t="s">
        <v>2672</v>
      </c>
      <c r="D86" s="3085" t="s">
        <v>2673</v>
      </c>
      <c r="E86" s="3111">
        <v>0.1</v>
      </c>
      <c r="F86" s="3111">
        <v>15</v>
      </c>
    </row>
    <row r="87" spans="1:6" ht="13.5">
      <c r="A87" s="3111">
        <v>15</v>
      </c>
      <c r="B87" s="3772"/>
      <c r="C87" s="3085" t="s">
        <v>2674</v>
      </c>
      <c r="D87" s="3085" t="s">
        <v>2675</v>
      </c>
      <c r="E87" s="3111">
        <v>0.1</v>
      </c>
      <c r="F87" s="3111">
        <v>15</v>
      </c>
    </row>
    <row r="88" spans="1:6" ht="24">
      <c r="A88" s="3111">
        <v>16</v>
      </c>
      <c r="B88" s="3772"/>
      <c r="C88" s="3085" t="s">
        <v>2676</v>
      </c>
      <c r="D88" s="3085" t="s">
        <v>2677</v>
      </c>
      <c r="E88" s="3111">
        <v>0.1</v>
      </c>
      <c r="F88" s="3111">
        <v>15</v>
      </c>
    </row>
    <row r="89" spans="1:6" ht="24">
      <c r="A89" s="3111">
        <v>17</v>
      </c>
      <c r="B89" s="3771"/>
      <c r="C89" s="3085" t="s">
        <v>2678</v>
      </c>
      <c r="D89" s="3085" t="s">
        <v>2679</v>
      </c>
      <c r="E89" s="3111">
        <v>0.1</v>
      </c>
      <c r="F89" s="3111">
        <v>15</v>
      </c>
    </row>
    <row r="90" spans="1:6" ht="13.5">
      <c r="A90" s="3111">
        <v>18</v>
      </c>
      <c r="B90" s="3770" t="s">
        <v>2680</v>
      </c>
      <c r="C90" s="3085" t="s">
        <v>2681</v>
      </c>
      <c r="D90" s="3085" t="s">
        <v>2682</v>
      </c>
      <c r="E90" s="3111">
        <v>0.2</v>
      </c>
      <c r="F90" s="3111">
        <v>25</v>
      </c>
    </row>
    <row r="91" spans="1:6" ht="24">
      <c r="A91" s="3111">
        <v>19</v>
      </c>
      <c r="B91" s="3772"/>
      <c r="C91" s="3085" t="s">
        <v>2683</v>
      </c>
      <c r="D91" s="3085" t="s">
        <v>2684</v>
      </c>
      <c r="E91" s="3111">
        <v>0.2</v>
      </c>
      <c r="F91" s="3111">
        <v>25</v>
      </c>
    </row>
    <row r="92" spans="1:6" ht="13.5">
      <c r="A92" s="3111">
        <v>20</v>
      </c>
      <c r="B92" s="3772"/>
      <c r="C92" s="3085" t="s">
        <v>2685</v>
      </c>
      <c r="D92" s="3085" t="s">
        <v>2686</v>
      </c>
      <c r="E92" s="3111">
        <v>0.15</v>
      </c>
      <c r="F92" s="3111">
        <v>20</v>
      </c>
    </row>
    <row r="93" spans="1:6" ht="13.5">
      <c r="A93" s="3111">
        <v>21</v>
      </c>
      <c r="B93" s="3772"/>
      <c r="C93" s="3085" t="s">
        <v>2687</v>
      </c>
      <c r="D93" s="3085" t="s">
        <v>2688</v>
      </c>
      <c r="E93" s="3111">
        <v>0.15</v>
      </c>
      <c r="F93" s="3111">
        <v>20</v>
      </c>
    </row>
    <row r="94" spans="1:6" ht="13.5">
      <c r="A94" s="3111">
        <v>22</v>
      </c>
      <c r="B94" s="3772"/>
      <c r="C94" s="3085" t="s">
        <v>2689</v>
      </c>
      <c r="D94" s="3085" t="s">
        <v>2690</v>
      </c>
      <c r="E94" s="3111">
        <v>0.15</v>
      </c>
      <c r="F94" s="3111">
        <v>20</v>
      </c>
    </row>
    <row r="95" spans="1:6" ht="36">
      <c r="A95" s="3111">
        <v>23</v>
      </c>
      <c r="B95" s="3772"/>
      <c r="C95" s="3085" t="s">
        <v>2691</v>
      </c>
      <c r="D95" s="3085" t="s">
        <v>2692</v>
      </c>
      <c r="E95" s="3111">
        <v>0.15</v>
      </c>
      <c r="F95" s="3111">
        <v>20</v>
      </c>
    </row>
    <row r="96" spans="1:6" ht="13.5">
      <c r="A96" s="3111">
        <v>24</v>
      </c>
      <c r="B96" s="3772"/>
      <c r="C96" s="3085" t="s">
        <v>2693</v>
      </c>
      <c r="D96" s="3085" t="s">
        <v>2694</v>
      </c>
      <c r="E96" s="3111">
        <v>0.1</v>
      </c>
      <c r="F96" s="3111">
        <v>15</v>
      </c>
    </row>
    <row r="97" spans="1:6" ht="13.5">
      <c r="A97" s="3111">
        <v>25</v>
      </c>
      <c r="B97" s="3772"/>
      <c r="C97" s="3085" t="s">
        <v>2695</v>
      </c>
      <c r="D97" s="3085" t="s">
        <v>2696</v>
      </c>
      <c r="E97" s="3111">
        <v>0.1</v>
      </c>
      <c r="F97" s="3111">
        <v>15</v>
      </c>
    </row>
    <row r="98" spans="1:6" ht="24">
      <c r="A98" s="3111">
        <v>26</v>
      </c>
      <c r="B98" s="3772"/>
      <c r="C98" s="3085" t="s">
        <v>2697</v>
      </c>
      <c r="D98" s="3085" t="s">
        <v>2698</v>
      </c>
      <c r="E98" s="3111">
        <v>0.1</v>
      </c>
      <c r="F98" s="3111">
        <v>15</v>
      </c>
    </row>
    <row r="99" spans="1:6" ht="24">
      <c r="A99" s="3111">
        <v>27</v>
      </c>
      <c r="B99" s="3772"/>
      <c r="C99" s="3085" t="s">
        <v>2699</v>
      </c>
      <c r="D99" s="3085" t="s">
        <v>2700</v>
      </c>
      <c r="E99" s="3111">
        <v>0.1</v>
      </c>
      <c r="F99" s="3111">
        <v>15</v>
      </c>
    </row>
    <row r="100" spans="1:6" ht="13.5">
      <c r="A100" s="3111">
        <v>28</v>
      </c>
      <c r="B100" s="3772"/>
      <c r="C100" s="3085" t="s">
        <v>2701</v>
      </c>
      <c r="D100" s="3085" t="s">
        <v>2702</v>
      </c>
      <c r="E100" s="3111">
        <v>0.1</v>
      </c>
      <c r="F100" s="3111">
        <v>15</v>
      </c>
    </row>
    <row r="101" spans="1:6" ht="13.5">
      <c r="A101" s="3111">
        <v>29</v>
      </c>
      <c r="B101" s="3772"/>
      <c r="C101" s="3085" t="s">
        <v>2703</v>
      </c>
      <c r="D101" s="3085" t="s">
        <v>2704</v>
      </c>
      <c r="E101" s="3111">
        <v>0.1</v>
      </c>
      <c r="F101" s="3111">
        <v>15</v>
      </c>
    </row>
    <row r="102" spans="1:6" ht="13.5">
      <c r="A102" s="3111">
        <v>30</v>
      </c>
      <c r="B102" s="3772"/>
      <c r="C102" s="3085" t="s">
        <v>2705</v>
      </c>
      <c r="D102" s="3085" t="s">
        <v>2706</v>
      </c>
      <c r="E102" s="3111">
        <v>0.1</v>
      </c>
      <c r="F102" s="3111">
        <v>15</v>
      </c>
    </row>
    <row r="103" spans="1:6" ht="24">
      <c r="A103" s="3111">
        <v>31</v>
      </c>
      <c r="B103" s="3772"/>
      <c r="C103" s="3085" t="s">
        <v>2707</v>
      </c>
      <c r="D103" s="3085" t="s">
        <v>2708</v>
      </c>
      <c r="E103" s="3111">
        <v>0.1</v>
      </c>
      <c r="F103" s="3111">
        <v>15</v>
      </c>
    </row>
    <row r="104" spans="1:6" ht="24">
      <c r="A104" s="3111">
        <v>32</v>
      </c>
      <c r="B104" s="3772"/>
      <c r="C104" s="3085" t="s">
        <v>2709</v>
      </c>
      <c r="D104" s="3085" t="s">
        <v>2710</v>
      </c>
      <c r="E104" s="3111">
        <v>0.1</v>
      </c>
      <c r="F104" s="3111">
        <v>15</v>
      </c>
    </row>
    <row r="105" spans="1:6" ht="24">
      <c r="A105" s="3111">
        <v>33</v>
      </c>
      <c r="B105" s="3772"/>
      <c r="C105" s="3085" t="s">
        <v>2711</v>
      </c>
      <c r="D105" s="3085" t="s">
        <v>2712</v>
      </c>
      <c r="E105" s="3111">
        <v>0.1</v>
      </c>
      <c r="F105" s="3111">
        <v>15</v>
      </c>
    </row>
    <row r="106" spans="1:6" ht="24">
      <c r="A106" s="3111">
        <v>34</v>
      </c>
      <c r="B106" s="3771"/>
      <c r="C106" s="3085" t="s">
        <v>2713</v>
      </c>
      <c r="D106" s="3085" t="s">
        <v>2714</v>
      </c>
      <c r="E106" s="3111">
        <v>0.1</v>
      </c>
      <c r="F106" s="3111">
        <v>15</v>
      </c>
    </row>
    <row r="107" spans="1:6" ht="24">
      <c r="A107" s="3111">
        <v>35</v>
      </c>
      <c r="B107" s="3770" t="s">
        <v>2715</v>
      </c>
      <c r="C107" s="3111" t="s">
        <v>2716</v>
      </c>
      <c r="D107" s="3085" t="s">
        <v>2717</v>
      </c>
      <c r="E107" s="3111">
        <v>0.15</v>
      </c>
      <c r="F107" s="3111">
        <v>20</v>
      </c>
    </row>
    <row r="108" spans="1:6" ht="13.5">
      <c r="A108" s="3111">
        <v>36</v>
      </c>
      <c r="B108" s="3772"/>
      <c r="C108" s="3111" t="s">
        <v>2718</v>
      </c>
      <c r="D108" s="3085" t="s">
        <v>2719</v>
      </c>
      <c r="E108" s="3111">
        <v>0.15</v>
      </c>
      <c r="F108" s="3111">
        <v>20</v>
      </c>
    </row>
    <row r="109" spans="1:6" ht="13.5">
      <c r="A109" s="3111">
        <v>37</v>
      </c>
      <c r="B109" s="3772"/>
      <c r="C109" s="3111" t="s">
        <v>2720</v>
      </c>
      <c r="D109" s="3085" t="s">
        <v>2721</v>
      </c>
      <c r="E109" s="3111">
        <v>0.15</v>
      </c>
      <c r="F109" s="3111">
        <v>20</v>
      </c>
    </row>
    <row r="110" spans="1:6" ht="13.5">
      <c r="A110" s="3111">
        <v>38</v>
      </c>
      <c r="B110" s="3772"/>
      <c r="C110" s="3111" t="s">
        <v>2722</v>
      </c>
      <c r="D110" s="3085" t="s">
        <v>2723</v>
      </c>
      <c r="E110" s="3111">
        <v>0.1</v>
      </c>
      <c r="F110" s="3111">
        <v>15</v>
      </c>
    </row>
    <row r="111" spans="1:6" ht="24">
      <c r="A111" s="3111">
        <v>39</v>
      </c>
      <c r="B111" s="3772"/>
      <c r="C111" s="3111" t="s">
        <v>2724</v>
      </c>
      <c r="D111" s="3085" t="s">
        <v>2725</v>
      </c>
      <c r="E111" s="3111">
        <v>0.1</v>
      </c>
      <c r="F111" s="3111">
        <v>15</v>
      </c>
    </row>
    <row r="112" spans="1:6" ht="24">
      <c r="A112" s="3111">
        <v>40</v>
      </c>
      <c r="B112" s="3771"/>
      <c r="C112" s="3111" t="s">
        <v>2726</v>
      </c>
      <c r="D112" s="3085" t="s">
        <v>2727</v>
      </c>
      <c r="E112" s="3111">
        <v>0.1</v>
      </c>
      <c r="F112" s="3111">
        <v>15</v>
      </c>
    </row>
    <row r="113" spans="1:6" ht="13.5">
      <c r="A113" s="3111">
        <v>41</v>
      </c>
      <c r="B113" s="3769" t="s">
        <v>2728</v>
      </c>
      <c r="C113" s="3111" t="s">
        <v>2729</v>
      </c>
      <c r="D113" s="3085" t="s">
        <v>2730</v>
      </c>
      <c r="E113" s="3111">
        <v>0.1</v>
      </c>
      <c r="F113" s="3111">
        <v>15</v>
      </c>
    </row>
    <row r="114" spans="1:6" ht="13.5">
      <c r="A114" s="3111">
        <v>42</v>
      </c>
      <c r="B114" s="3769"/>
      <c r="C114" s="3111" t="s">
        <v>2731</v>
      </c>
      <c r="D114" s="3085" t="s">
        <v>2732</v>
      </c>
      <c r="E114" s="3111">
        <v>0.1</v>
      </c>
      <c r="F114" s="3111">
        <v>15</v>
      </c>
    </row>
    <row r="115" spans="1:6" ht="24">
      <c r="A115" s="3111">
        <v>43</v>
      </c>
      <c r="B115" s="3769"/>
      <c r="C115" s="3111" t="s">
        <v>2733</v>
      </c>
      <c r="D115" s="3085" t="s">
        <v>2734</v>
      </c>
      <c r="E115" s="3111">
        <v>0.1</v>
      </c>
      <c r="F115" s="3111">
        <v>15</v>
      </c>
    </row>
    <row r="116" spans="1:6" ht="13.5">
      <c r="A116" s="3111">
        <v>44</v>
      </c>
      <c r="B116" s="3770" t="s">
        <v>2735</v>
      </c>
      <c r="C116" s="3111" t="s">
        <v>2736</v>
      </c>
      <c r="D116" s="3085" t="s">
        <v>2737</v>
      </c>
      <c r="E116" s="3111">
        <v>0.1</v>
      </c>
      <c r="F116" s="3111">
        <v>15</v>
      </c>
    </row>
    <row r="117" spans="1:6" ht="24">
      <c r="A117" s="3111">
        <v>45</v>
      </c>
      <c r="B117" s="3771"/>
      <c r="C117" s="3085" t="s">
        <v>2738</v>
      </c>
      <c r="D117" s="3085" t="s">
        <v>2739</v>
      </c>
      <c r="E117" s="3111">
        <v>0.1</v>
      </c>
      <c r="F117" s="3111">
        <v>15</v>
      </c>
    </row>
    <row r="118" spans="1:6" ht="24">
      <c r="A118" s="3111">
        <v>46</v>
      </c>
      <c r="B118" s="3770" t="s">
        <v>2740</v>
      </c>
      <c r="C118" s="3111" t="s">
        <v>2741</v>
      </c>
      <c r="D118" s="3085" t="s">
        <v>2742</v>
      </c>
      <c r="E118" s="3111">
        <v>0.1</v>
      </c>
      <c r="F118" s="3111">
        <v>15</v>
      </c>
    </row>
    <row r="119" spans="1:6" ht="24">
      <c r="A119" s="3111">
        <v>47</v>
      </c>
      <c r="B119" s="3771"/>
      <c r="C119" s="3111" t="s">
        <v>2743</v>
      </c>
      <c r="D119" s="3085" t="s">
        <v>2744</v>
      </c>
      <c r="E119" s="3111">
        <v>0.1</v>
      </c>
      <c r="F119" s="3111">
        <v>15</v>
      </c>
    </row>
    <row r="120" spans="1:6" ht="13.5">
      <c r="A120" s="3111">
        <v>48</v>
      </c>
      <c r="B120" s="3770" t="s">
        <v>2745</v>
      </c>
      <c r="C120" s="3111" t="s">
        <v>2746</v>
      </c>
      <c r="D120" s="3085" t="s">
        <v>2747</v>
      </c>
      <c r="E120" s="3111">
        <v>0.1</v>
      </c>
      <c r="F120" s="3111">
        <v>15</v>
      </c>
    </row>
    <row r="121" spans="1:6" ht="13.5">
      <c r="A121" s="3111">
        <v>49</v>
      </c>
      <c r="B121" s="3771"/>
      <c r="C121" s="3111" t="s">
        <v>2748</v>
      </c>
      <c r="D121" s="3085" t="s">
        <v>2749</v>
      </c>
      <c r="E121" s="3111">
        <v>0.1</v>
      </c>
      <c r="F121" s="3111">
        <v>15</v>
      </c>
    </row>
    <row r="122" spans="1:6" ht="24">
      <c r="A122" s="3111">
        <v>50</v>
      </c>
      <c r="B122" s="3769" t="s">
        <v>2750</v>
      </c>
      <c r="C122" s="3111" t="s">
        <v>2751</v>
      </c>
      <c r="D122" s="3085" t="s">
        <v>2752</v>
      </c>
      <c r="E122" s="3111">
        <v>0.1</v>
      </c>
      <c r="F122" s="3111">
        <v>15</v>
      </c>
    </row>
    <row r="123" spans="1:6" ht="24">
      <c r="A123" s="3111">
        <v>51</v>
      </c>
      <c r="B123" s="3769"/>
      <c r="C123" s="3111" t="s">
        <v>2753</v>
      </c>
      <c r="D123" s="3085" t="s">
        <v>2754</v>
      </c>
      <c r="E123" s="3111">
        <v>0.1</v>
      </c>
      <c r="F123" s="3111">
        <v>15</v>
      </c>
    </row>
    <row r="124" spans="1:6" ht="24">
      <c r="A124" s="3111">
        <v>52</v>
      </c>
      <c r="B124" s="3769" t="s">
        <v>2755</v>
      </c>
      <c r="C124" s="3111" t="s">
        <v>2756</v>
      </c>
      <c r="D124" s="3085" t="s">
        <v>2757</v>
      </c>
      <c r="E124" s="3111">
        <v>0.1</v>
      </c>
      <c r="F124" s="3111">
        <v>15</v>
      </c>
    </row>
    <row r="125" spans="1:6" ht="24">
      <c r="A125" s="3111">
        <v>53</v>
      </c>
      <c r="B125" s="3769"/>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69" t="s">
        <v>2763</v>
      </c>
      <c r="C127" s="3111" t="s">
        <v>2764</v>
      </c>
      <c r="D127" s="3085" t="s">
        <v>2765</v>
      </c>
      <c r="E127" s="3111">
        <v>0.1</v>
      </c>
      <c r="F127" s="3111">
        <v>15</v>
      </c>
    </row>
    <row r="128" spans="1:6" ht="13.5">
      <c r="A128" s="3111">
        <v>56</v>
      </c>
      <c r="B128" s="3769"/>
      <c r="C128" s="3111" t="s">
        <v>2766</v>
      </c>
      <c r="D128" s="3085" t="s">
        <v>2767</v>
      </c>
      <c r="E128" s="3111">
        <v>0.1</v>
      </c>
      <c r="F128" s="3111">
        <v>15</v>
      </c>
    </row>
    <row r="129" spans="1:6" ht="24">
      <c r="A129" s="3111">
        <v>57</v>
      </c>
      <c r="B129" s="3769"/>
      <c r="C129" s="3111" t="s">
        <v>2768</v>
      </c>
      <c r="D129" s="3085" t="s">
        <v>2769</v>
      </c>
      <c r="E129" s="3111">
        <v>0.1</v>
      </c>
      <c r="F129" s="3111">
        <v>15</v>
      </c>
    </row>
    <row r="130" spans="1:6" ht="24">
      <c r="A130" s="3111">
        <v>58</v>
      </c>
      <c r="B130" s="3769" t="s">
        <v>2770</v>
      </c>
      <c r="C130" s="3111" t="s">
        <v>2771</v>
      </c>
      <c r="D130" s="3085" t="s">
        <v>2772</v>
      </c>
      <c r="E130" s="3111">
        <v>0.1</v>
      </c>
      <c r="F130" s="3111">
        <v>15</v>
      </c>
    </row>
    <row r="131" spans="1:6" ht="13.5">
      <c r="A131" s="3111">
        <v>59</v>
      </c>
      <c r="B131" s="3769"/>
      <c r="C131" s="3111" t="s">
        <v>2773</v>
      </c>
      <c r="D131" s="3085" t="s">
        <v>2774</v>
      </c>
      <c r="E131" s="3111">
        <v>0.1</v>
      </c>
      <c r="F131" s="3111">
        <v>15</v>
      </c>
    </row>
    <row r="132" spans="1:6" ht="13.5">
      <c r="A132" s="3111">
        <v>60</v>
      </c>
      <c r="B132" s="3770" t="s">
        <v>2775</v>
      </c>
      <c r="C132" s="3111" t="s">
        <v>2776</v>
      </c>
      <c r="D132" s="3085" t="s">
        <v>2777</v>
      </c>
      <c r="E132" s="3111">
        <v>0.1</v>
      </c>
      <c r="F132" s="3111">
        <v>15</v>
      </c>
    </row>
    <row r="133" spans="1:6" ht="13.5">
      <c r="A133" s="3111">
        <v>61</v>
      </c>
      <c r="B133" s="3771"/>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69" t="s">
        <v>2783</v>
      </c>
      <c r="C135" s="3111" t="s">
        <v>2784</v>
      </c>
      <c r="D135" s="3085" t="s">
        <v>2785</v>
      </c>
      <c r="E135" s="3111">
        <v>0.1</v>
      </c>
      <c r="F135" s="3111">
        <v>15</v>
      </c>
    </row>
    <row r="136" spans="1:6" ht="13.5">
      <c r="A136" s="3111">
        <v>64</v>
      </c>
      <c r="B136" s="3769"/>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2792</v>
      </c>
      <c r="B1" s="3120"/>
      <c r="C1" s="3120"/>
      <c r="D1" s="3120"/>
      <c r="E1" s="3120"/>
      <c r="F1" s="3120"/>
      <c r="G1" s="3120"/>
      <c r="H1" s="3120"/>
      <c r="I1" s="3120"/>
      <c r="J1" s="3120"/>
      <c r="K1" s="3120"/>
      <c r="L1" s="3120"/>
      <c r="M1" s="3120"/>
      <c r="N1" s="748"/>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49">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49">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29553</v>
      </c>
      <c r="C2" s="2" t="s">
        <v>106</v>
      </c>
      <c r="D2" s="199"/>
      <c r="E2" s="199"/>
      <c r="F2" s="199"/>
      <c r="G2" s="199"/>
    </row>
    <row r="3" spans="1:7" s="200" customFormat="1" ht="18" customHeight="1" thickBot="1">
      <c r="A3" s="203" t="s">
        <v>58</v>
      </c>
      <c r="B3" s="204">
        <f ca="1">ROUND(B2*10000/'数据-汇总表'!E3,0)</f>
        <v>591616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10</v>
      </c>
      <c r="D10" s="844">
        <f>'数据-汇总表'!E6</f>
        <v>499.53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499.53</v>
      </c>
      <c r="E19" s="211">
        <f>'数据-取费表'!B31</f>
        <v>180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185</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499.53</v>
      </c>
      <c r="E37" s="249">
        <f>'数据-取费表'!B35</f>
        <v>180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44" t="s">
        <v>94</v>
      </c>
    </row>
    <row r="43" spans="1:7" ht="13.5" customHeight="1">
      <c r="A43" s="779" t="s">
        <v>347</v>
      </c>
      <c r="B43" s="215" t="s">
        <v>426</v>
      </c>
      <c r="C43" s="238">
        <f ca="1">ROUND(IF('数据-取费表'!B22&lt;=1,C39*F22*'数据-取费表'!B21/2,C39*(POWER((1+F22),'数据-取费表'!B21/2)-1)),0)</f>
        <v>0</v>
      </c>
      <c r="D43" s="238"/>
      <c r="E43" s="238"/>
      <c r="F43" s="239"/>
      <c r="G43" s="3645"/>
    </row>
    <row r="44" spans="1:7" ht="13.5" customHeight="1">
      <c r="A44" s="779" t="s">
        <v>348</v>
      </c>
      <c r="B44" s="215" t="s">
        <v>428</v>
      </c>
      <c r="C44" s="238">
        <f ca="1">ROUND(IF('数据-取费表'!B22&lt;=1,C40*F22*'数据-取费表'!B21/2,C40*(POWER((1+F22),'数据-取费表'!B21/2)-1)),4)</f>
        <v>8.0000000000000004E-4</v>
      </c>
      <c r="D44" s="238"/>
      <c r="E44" s="238"/>
      <c r="F44" s="239"/>
      <c r="G44" s="3646"/>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278</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264</v>
      </c>
      <c r="D51" s="232"/>
      <c r="E51" s="232"/>
      <c r="F51" s="264"/>
      <c r="G51" s="234" t="s">
        <v>37</v>
      </c>
    </row>
    <row r="52" spans="1:7" s="208" customFormat="1" ht="16.5" thickBot="1">
      <c r="A52" s="265" t="s">
        <v>38</v>
      </c>
      <c r="B52" s="266"/>
      <c r="C52" s="267">
        <f ca="1">C31+C51</f>
        <v>29553</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49">
        <f ca="1">结果表!H101</f>
        <v>1349</v>
      </c>
      <c r="E5" s="1490"/>
    </row>
    <row r="6" spans="1:5" ht="15.75">
      <c r="A6" s="1490"/>
      <c r="B6" s="3463"/>
      <c r="C6" s="1493" t="s">
        <v>911</v>
      </c>
      <c r="D6" s="849" t="str">
        <f ca="1">NUMBERSTRING(INT(D5*10000),2)&amp;"元整"</f>
        <v>壹仟叁佰肆拾玖万元整</v>
      </c>
      <c r="E6" s="1490"/>
    </row>
    <row r="7" spans="1:5" ht="15.75">
      <c r="A7" s="1490"/>
      <c r="B7" s="3468"/>
      <c r="C7" s="1494" t="s">
        <v>912</v>
      </c>
      <c r="D7" s="850">
        <f ca="1">结果表!H102</f>
        <v>27008</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f ca="1">结果表!H107</f>
        <v>1349</v>
      </c>
      <c r="E13" s="1490"/>
    </row>
    <row r="14" spans="1:5" ht="15.75">
      <c r="A14" s="1490"/>
      <c r="B14" s="3463"/>
      <c r="C14" s="1493" t="s">
        <v>911</v>
      </c>
      <c r="D14" s="849" t="str">
        <f ca="1">NUMBERSTRING(INT(D13*10000),2)&amp;"元整"</f>
        <v>壹仟叁佰肆拾玖万元整</v>
      </c>
      <c r="E14" s="1490"/>
    </row>
    <row r="15" spans="1:5" ht="15">
      <c r="A15" s="1490"/>
      <c r="B15" s="3468"/>
      <c r="C15" s="1494" t="s">
        <v>921</v>
      </c>
      <c r="D15" s="858">
        <f ca="1">结果表!H108</f>
        <v>27008</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4.抵押净值</v>
      </c>
      <c r="C19" s="1498" t="s">
        <v>910</v>
      </c>
      <c r="D19" s="850">
        <f ca="1">结果表!H111</f>
        <v>1285</v>
      </c>
      <c r="E19" s="1490"/>
    </row>
    <row r="20" spans="1:5" ht="15.75">
      <c r="A20" s="1490"/>
      <c r="B20" s="3463"/>
      <c r="C20" s="1493" t="s">
        <v>923</v>
      </c>
      <c r="D20" s="849" t="str">
        <f ca="1">NUMBERSTRING(INT(D19*10000),2)&amp;"元整"</f>
        <v>壹仟贰佰捌拾伍万元整</v>
      </c>
      <c r="E20" s="1490"/>
    </row>
    <row r="21" spans="1:5" ht="15.75" thickBot="1">
      <c r="A21" s="1490"/>
      <c r="B21" s="3464"/>
      <c r="C21" s="1500" t="s">
        <v>921</v>
      </c>
      <c r="D21" s="859">
        <f ca="1">结果表!H112</f>
        <v>25724</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3" t="s">
        <v>2835</v>
      </c>
      <c r="B1" s="3783"/>
      <c r="C1" s="3783"/>
      <c r="D1" s="3783"/>
      <c r="E1" s="3783"/>
      <c r="F1" s="3783"/>
      <c r="G1" s="3784"/>
      <c r="I1" s="3216" t="s">
        <v>2836</v>
      </c>
      <c r="J1" s="3217" t="s">
        <v>2837</v>
      </c>
      <c r="K1" s="3217" t="s">
        <v>2838</v>
      </c>
      <c r="L1" s="3217" t="s">
        <v>2839</v>
      </c>
      <c r="M1" s="3217" t="s">
        <v>2840</v>
      </c>
      <c r="N1" s="3217" t="s">
        <v>2841</v>
      </c>
      <c r="O1" s="3217" t="s">
        <v>2842</v>
      </c>
      <c r="P1" s="3217" t="s">
        <v>2843</v>
      </c>
      <c r="Q1" s="3217" t="s">
        <v>2844</v>
      </c>
      <c r="R1" s="3217" t="s">
        <v>2845</v>
      </c>
      <c r="S1" s="3217" t="s">
        <v>2846</v>
      </c>
      <c r="T1" s="3218" t="s">
        <v>2847</v>
      </c>
    </row>
    <row r="2" spans="1:20" ht="12" thickBot="1">
      <c r="A2" s="3220" t="s">
        <v>2848</v>
      </c>
      <c r="B2" s="3220"/>
      <c r="C2" s="3220"/>
      <c r="D2" s="3220"/>
      <c r="E2" s="3220"/>
      <c r="F2" s="3220"/>
      <c r="G2" s="3221" t="s">
        <v>2849</v>
      </c>
      <c r="I2" s="3222" t="s">
        <v>2850</v>
      </c>
      <c r="J2" s="3222" t="s">
        <v>2851</v>
      </c>
      <c r="K2" s="3222" t="s">
        <v>2852</v>
      </c>
      <c r="L2" s="3222" t="s">
        <v>2853</v>
      </c>
      <c r="M2" s="3222" t="s">
        <v>2854</v>
      </c>
      <c r="N2" s="3222" t="s">
        <v>2855</v>
      </c>
      <c r="O2" s="3222" t="s">
        <v>2856</v>
      </c>
      <c r="P2" s="3222" t="s">
        <v>2857</v>
      </c>
      <c r="Q2" s="3222" t="s">
        <v>2858</v>
      </c>
      <c r="R2" s="3222" t="s">
        <v>2859</v>
      </c>
      <c r="S2" s="3222" t="s">
        <v>2860</v>
      </c>
      <c r="T2" s="3222" t="s">
        <v>2861</v>
      </c>
    </row>
    <row r="3" spans="1:20" s="3228" customFormat="1">
      <c r="A3" s="3781" t="s">
        <v>2862</v>
      </c>
      <c r="B3" s="3223"/>
      <c r="C3" s="3224" t="s">
        <v>2805</v>
      </c>
      <c r="D3" s="3224" t="s">
        <v>2863</v>
      </c>
      <c r="E3" s="3224" t="s">
        <v>2807</v>
      </c>
      <c r="F3" s="3224" t="s">
        <v>2864</v>
      </c>
      <c r="G3" s="3224" t="s">
        <v>2625</v>
      </c>
      <c r="H3" s="3225"/>
      <c r="I3" s="3226" t="s">
        <v>2865</v>
      </c>
      <c r="J3" s="3227" t="s">
        <v>128</v>
      </c>
      <c r="K3" s="3227" t="s">
        <v>129</v>
      </c>
      <c r="L3" s="3226" t="s">
        <v>130</v>
      </c>
      <c r="M3" s="3226" t="s">
        <v>131</v>
      </c>
      <c r="N3" s="3226" t="s">
        <v>132</v>
      </c>
      <c r="O3" s="3226" t="s">
        <v>133</v>
      </c>
      <c r="P3" s="3226" t="s">
        <v>134</v>
      </c>
      <c r="Q3" s="3226" t="s">
        <v>135</v>
      </c>
      <c r="R3" s="3226" t="s">
        <v>136</v>
      </c>
      <c r="S3" s="3226" t="s">
        <v>2866</v>
      </c>
      <c r="T3" s="3226" t="s">
        <v>2867</v>
      </c>
    </row>
    <row r="4" spans="1:20" s="3228" customFormat="1" ht="12" thickBot="1">
      <c r="A4" s="3782"/>
      <c r="B4" s="3229" t="s">
        <v>2868</v>
      </c>
      <c r="C4" s="3229" t="s">
        <v>2869</v>
      </c>
      <c r="D4" s="3229" t="s">
        <v>2869</v>
      </c>
      <c r="E4" s="3229" t="s">
        <v>2869</v>
      </c>
      <c r="F4" s="3230" t="s">
        <v>2869</v>
      </c>
      <c r="G4" s="3230" t="s">
        <v>2869</v>
      </c>
      <c r="H4" s="3225"/>
      <c r="I4" s="3227" t="s">
        <v>137</v>
      </c>
      <c r="J4" s="3227" t="s">
        <v>111</v>
      </c>
      <c r="K4" s="3227" t="s">
        <v>138</v>
      </c>
      <c r="L4" s="3226" t="s">
        <v>139</v>
      </c>
      <c r="M4" s="3226" t="s">
        <v>140</v>
      </c>
      <c r="N4" s="3226" t="s">
        <v>141</v>
      </c>
      <c r="O4" s="3226" t="s">
        <v>142</v>
      </c>
      <c r="P4" s="3226" t="s">
        <v>143</v>
      </c>
      <c r="Q4" s="3226" t="s">
        <v>2870</v>
      </c>
      <c r="R4" s="3226" t="s">
        <v>2871</v>
      </c>
      <c r="S4" s="3226" t="s">
        <v>2872</v>
      </c>
      <c r="T4" s="3226" t="s">
        <v>2873</v>
      </c>
    </row>
    <row r="5" spans="1:20">
      <c r="A5" s="3231" t="s">
        <v>2836</v>
      </c>
      <c r="B5" s="3222" t="s">
        <v>2850</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2874</v>
      </c>
      <c r="R5" s="3226" t="s">
        <v>2875</v>
      </c>
      <c r="S5" s="3226" t="s">
        <v>153</v>
      </c>
      <c r="T5" s="3226" t="s">
        <v>2876</v>
      </c>
    </row>
    <row r="6" spans="1:20" ht="12" thickBot="1">
      <c r="A6" s="3226" t="s">
        <v>144</v>
      </c>
      <c r="B6" s="3226" t="s">
        <v>2865</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2877</v>
      </c>
      <c r="Q6" s="3226" t="s">
        <v>2878</v>
      </c>
      <c r="R6" s="3226" t="s">
        <v>161</v>
      </c>
      <c r="S6" s="3226" t="s">
        <v>2879</v>
      </c>
      <c r="T6" s="3226" t="s">
        <v>2880</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2881</v>
      </c>
      <c r="Q7" s="3226" t="s">
        <v>2882</v>
      </c>
      <c r="R7" s="3226" t="s">
        <v>2883</v>
      </c>
      <c r="S7" s="3226" t="s">
        <v>2884</v>
      </c>
      <c r="T7" s="3226" t="s">
        <v>2885</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2886</v>
      </c>
      <c r="Q8" s="3226" t="s">
        <v>174</v>
      </c>
      <c r="R8" s="3226" t="s">
        <v>2887</v>
      </c>
      <c r="S8" s="3226" t="s">
        <v>2888</v>
      </c>
      <c r="T8" s="3233" t="s">
        <v>2889</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2890</v>
      </c>
      <c r="Q9" s="3226" t="s">
        <v>182</v>
      </c>
      <c r="R9" s="3226" t="s">
        <v>183</v>
      </c>
      <c r="S9" s="3226" t="s">
        <v>200</v>
      </c>
    </row>
    <row r="10" spans="1:20">
      <c r="A10" s="3231" t="s">
        <v>184</v>
      </c>
      <c r="B10" s="3222" t="s">
        <v>2851</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2891</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2892</v>
      </c>
      <c r="P11" s="3226" t="s">
        <v>191</v>
      </c>
      <c r="Q11" s="3226" t="s">
        <v>199</v>
      </c>
      <c r="R11" s="3226" t="s">
        <v>2893</v>
      </c>
      <c r="S11" s="3226" t="s">
        <v>2894</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2895</v>
      </c>
      <c r="P12" s="3226" t="s">
        <v>2896</v>
      </c>
      <c r="Q12" s="3226" t="s">
        <v>2897</v>
      </c>
      <c r="R12" s="3226" t="s">
        <v>2898</v>
      </c>
      <c r="S12" s="3226" t="s">
        <v>2899</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2900</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2901</v>
      </c>
      <c r="K14" s="3227" t="s">
        <v>215</v>
      </c>
      <c r="L14" s="3226" t="s">
        <v>216</v>
      </c>
      <c r="M14" s="3226" t="s">
        <v>217</v>
      </c>
      <c r="N14" s="3226" t="s">
        <v>218</v>
      </c>
      <c r="O14" s="3226" t="s">
        <v>240</v>
      </c>
      <c r="P14" s="3226" t="s">
        <v>213</v>
      </c>
      <c r="Q14" s="3226" t="s">
        <v>2902</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2903</v>
      </c>
      <c r="P15" s="3226" t="s">
        <v>2904</v>
      </c>
      <c r="Q15" s="3226" t="s">
        <v>242</v>
      </c>
      <c r="R15" s="3226" t="s">
        <v>2905</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2906</v>
      </c>
      <c r="P16" s="3226" t="s">
        <v>227</v>
      </c>
      <c r="Q16" s="3226" t="s">
        <v>250</v>
      </c>
      <c r="R16" s="3226" t="s">
        <v>207</v>
      </c>
      <c r="S16" s="3226" t="s">
        <v>2907</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2908</v>
      </c>
      <c r="P17" s="3226" t="s">
        <v>2909</v>
      </c>
      <c r="Q17" s="3226" t="s">
        <v>256</v>
      </c>
      <c r="R17" s="3226" t="s">
        <v>2910</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2911</v>
      </c>
      <c r="P18" s="3226" t="s">
        <v>241</v>
      </c>
      <c r="Q18" s="3226" t="s">
        <v>2912</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2913</v>
      </c>
      <c r="P19" s="3226" t="s">
        <v>249</v>
      </c>
      <c r="Q19" s="3226" t="s">
        <v>2914</v>
      </c>
      <c r="R19" s="3226" t="s">
        <v>265</v>
      </c>
      <c r="S19" s="3226" t="s">
        <v>2915</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2916</v>
      </c>
      <c r="P20" s="3226" t="s">
        <v>2917</v>
      </c>
      <c r="Q20" s="3226" t="s">
        <v>290</v>
      </c>
      <c r="R20" s="3226" t="s">
        <v>2918</v>
      </c>
      <c r="S20" s="3226" t="s">
        <v>277</v>
      </c>
    </row>
    <row r="21" spans="1:19" ht="14.25" customHeight="1" thickBot="1">
      <c r="A21" s="3226" t="s">
        <v>184</v>
      </c>
      <c r="B21" s="3227" t="s">
        <v>208</v>
      </c>
      <c r="C21" s="3226">
        <v>32370</v>
      </c>
      <c r="D21" s="3226">
        <v>26730</v>
      </c>
      <c r="E21" s="3226">
        <v>26640</v>
      </c>
      <c r="F21" s="3226"/>
      <c r="G21" s="3226">
        <v>19440</v>
      </c>
      <c r="J21" s="3233" t="s">
        <v>2919</v>
      </c>
      <c r="K21" s="3227" t="s">
        <v>267</v>
      </c>
      <c r="L21" s="3226" t="s">
        <v>268</v>
      </c>
      <c r="M21" s="3226" t="s">
        <v>269</v>
      </c>
      <c r="N21" s="3226" t="s">
        <v>270</v>
      </c>
      <c r="O21" s="3226" t="s">
        <v>264</v>
      </c>
      <c r="P21" s="3226" t="s">
        <v>283</v>
      </c>
      <c r="Q21" s="3226" t="s">
        <v>293</v>
      </c>
      <c r="R21" s="3226" t="s">
        <v>2920</v>
      </c>
      <c r="S21" s="3233" t="s">
        <v>2921</v>
      </c>
    </row>
    <row r="22" spans="1:19" ht="14.25" customHeight="1">
      <c r="A22" s="3226" t="s">
        <v>184</v>
      </c>
      <c r="B22" s="3227" t="s">
        <v>2901</v>
      </c>
      <c r="C22" s="3226">
        <v>29830</v>
      </c>
      <c r="D22" s="3226">
        <v>27600</v>
      </c>
      <c r="E22" s="3226">
        <v>28150</v>
      </c>
      <c r="F22" s="3226"/>
      <c r="G22" s="3226">
        <v>20080</v>
      </c>
      <c r="K22" s="3227" t="s">
        <v>2922</v>
      </c>
      <c r="L22" s="3226" t="s">
        <v>272</v>
      </c>
      <c r="M22" s="3226" t="s">
        <v>273</v>
      </c>
      <c r="N22" s="3226" t="s">
        <v>274</v>
      </c>
      <c r="O22" s="3226" t="s">
        <v>2923</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2924</v>
      </c>
      <c r="L23" s="3226" t="s">
        <v>278</v>
      </c>
      <c r="M23" s="3226" t="s">
        <v>279</v>
      </c>
      <c r="N23" s="3226" t="s">
        <v>2925</v>
      </c>
      <c r="O23" s="3226" t="s">
        <v>2926</v>
      </c>
      <c r="P23" s="3226" t="s">
        <v>289</v>
      </c>
      <c r="Q23" s="3226" t="s">
        <v>298</v>
      </c>
      <c r="R23" s="3226" t="s">
        <v>2927</v>
      </c>
    </row>
    <row r="24" spans="1:19" ht="14.25" customHeight="1">
      <c r="A24" s="3226" t="s">
        <v>184</v>
      </c>
      <c r="B24" s="3227" t="s">
        <v>230</v>
      </c>
      <c r="C24" s="3226">
        <v>27930</v>
      </c>
      <c r="D24" s="3226">
        <v>32260</v>
      </c>
      <c r="E24" s="3226">
        <v>32120</v>
      </c>
      <c r="F24" s="3226"/>
      <c r="G24" s="3226">
        <v>23470</v>
      </c>
      <c r="K24" s="3227" t="s">
        <v>2928</v>
      </c>
      <c r="L24" s="3226" t="s">
        <v>281</v>
      </c>
      <c r="M24" s="3226" t="s">
        <v>282</v>
      </c>
      <c r="N24" s="3226" t="s">
        <v>2929</v>
      </c>
      <c r="O24" s="3226" t="s">
        <v>285</v>
      </c>
      <c r="P24" s="3226" t="s">
        <v>2930</v>
      </c>
      <c r="Q24" s="3235" t="s">
        <v>2931</v>
      </c>
      <c r="R24" s="3226" t="s">
        <v>2932</v>
      </c>
    </row>
    <row r="25" spans="1:19" ht="14.25" customHeight="1">
      <c r="A25" s="3226" t="s">
        <v>184</v>
      </c>
      <c r="B25" s="3227" t="s">
        <v>235</v>
      </c>
      <c r="C25" s="3226">
        <v>32230</v>
      </c>
      <c r="D25" s="3226">
        <v>29640</v>
      </c>
      <c r="E25" s="3226">
        <v>29510</v>
      </c>
      <c r="F25" s="3226"/>
      <c r="G25" s="3226">
        <v>21560</v>
      </c>
      <c r="K25" s="3227" t="s">
        <v>2933</v>
      </c>
      <c r="L25" s="3226" t="s">
        <v>2934</v>
      </c>
      <c r="M25" s="3226" t="s">
        <v>284</v>
      </c>
      <c r="N25" s="3226" t="s">
        <v>292</v>
      </c>
      <c r="O25" s="3226" t="s">
        <v>288</v>
      </c>
      <c r="P25" s="3226" t="s">
        <v>275</v>
      </c>
      <c r="Q25" s="3235" t="s">
        <v>271</v>
      </c>
      <c r="R25" s="3226" t="s">
        <v>2935</v>
      </c>
    </row>
    <row r="26" spans="1:19" ht="14.25" customHeight="1" thickBot="1">
      <c r="A26" s="3226" t="s">
        <v>184</v>
      </c>
      <c r="B26" s="3227" t="s">
        <v>244</v>
      </c>
      <c r="C26" s="3226">
        <v>31690</v>
      </c>
      <c r="D26" s="3226">
        <v>27650</v>
      </c>
      <c r="E26" s="3226">
        <v>28200</v>
      </c>
      <c r="F26" s="3226"/>
      <c r="G26" s="3226">
        <v>20110</v>
      </c>
      <c r="K26" s="3232" t="s">
        <v>2936</v>
      </c>
      <c r="L26" s="3226" t="s">
        <v>2937</v>
      </c>
      <c r="M26" s="3226" t="s">
        <v>287</v>
      </c>
      <c r="N26" s="3226" t="s">
        <v>294</v>
      </c>
      <c r="O26" s="3226" t="s">
        <v>2938</v>
      </c>
      <c r="P26" s="3226" t="s">
        <v>2939</v>
      </c>
      <c r="Q26" s="3235" t="s">
        <v>276</v>
      </c>
      <c r="R26" s="3226" t="s">
        <v>2940</v>
      </c>
    </row>
    <row r="27" spans="1:19" ht="14.25" customHeight="1">
      <c r="A27" s="3226" t="s">
        <v>184</v>
      </c>
      <c r="B27" s="3227" t="s">
        <v>251</v>
      </c>
      <c r="C27" s="3226">
        <v>29610</v>
      </c>
      <c r="D27" s="3226">
        <v>27770</v>
      </c>
      <c r="E27" s="3226">
        <v>28300</v>
      </c>
      <c r="F27" s="3226"/>
      <c r="G27" s="3226">
        <v>20210</v>
      </c>
      <c r="L27" s="3226" t="s">
        <v>2941</v>
      </c>
      <c r="M27" s="3226" t="s">
        <v>291</v>
      </c>
      <c r="N27" s="3226" t="s">
        <v>297</v>
      </c>
      <c r="O27" s="3226" t="s">
        <v>2942</v>
      </c>
      <c r="P27" s="3226" t="s">
        <v>2943</v>
      </c>
      <c r="Q27" s="3226" t="s">
        <v>2944</v>
      </c>
      <c r="R27" s="3226" t="s">
        <v>2945</v>
      </c>
    </row>
    <row r="28" spans="1:19" ht="14.25" customHeight="1">
      <c r="A28" s="3226" t="s">
        <v>184</v>
      </c>
      <c r="B28" s="3227" t="s">
        <v>259</v>
      </c>
      <c r="C28" s="3226"/>
      <c r="D28" s="3226">
        <v>31520</v>
      </c>
      <c r="E28" s="3226">
        <v>31410</v>
      </c>
      <c r="F28" s="3226"/>
      <c r="G28" s="3226">
        <v>22940</v>
      </c>
      <c r="L28" s="3226" t="s">
        <v>2946</v>
      </c>
      <c r="M28" s="3226" t="s">
        <v>2947</v>
      </c>
      <c r="N28" s="3226" t="s">
        <v>2948</v>
      </c>
      <c r="O28" s="3226" t="s">
        <v>2949</v>
      </c>
      <c r="P28" s="3226" t="s">
        <v>2950</v>
      </c>
      <c r="Q28" s="3226" t="s">
        <v>2951</v>
      </c>
      <c r="R28" s="3226" t="s">
        <v>2952</v>
      </c>
    </row>
    <row r="29" spans="1:19" ht="14.25" customHeight="1" thickBot="1">
      <c r="A29" s="3234" t="s">
        <v>184</v>
      </c>
      <c r="B29" s="3236" t="s">
        <v>2919</v>
      </c>
      <c r="C29" s="3237"/>
      <c r="D29" s="3237">
        <v>29460</v>
      </c>
      <c r="E29" s="3237">
        <v>28640</v>
      </c>
      <c r="F29" s="3237"/>
      <c r="G29" s="3237">
        <v>21430</v>
      </c>
      <c r="L29" s="3226" t="s">
        <v>2953</v>
      </c>
      <c r="M29" s="3226" t="s">
        <v>2954</v>
      </c>
      <c r="N29" s="3226" t="s">
        <v>2955</v>
      </c>
      <c r="O29" s="3226" t="s">
        <v>2956</v>
      </c>
      <c r="P29" s="3226" t="s">
        <v>2957</v>
      </c>
      <c r="Q29" s="3226" t="s">
        <v>2958</v>
      </c>
      <c r="R29" s="3226" t="s">
        <v>280</v>
      </c>
    </row>
    <row r="30" spans="1:19" ht="14.25" customHeight="1">
      <c r="A30" s="3231" t="s">
        <v>296</v>
      </c>
      <c r="B30" s="3222" t="s">
        <v>2852</v>
      </c>
      <c r="C30" s="3222">
        <v>26890</v>
      </c>
      <c r="D30" s="3222">
        <v>26770</v>
      </c>
      <c r="E30" s="3222">
        <v>25700</v>
      </c>
      <c r="F30" s="3222">
        <v>8180</v>
      </c>
      <c r="G30" s="3238">
        <v>18740</v>
      </c>
      <c r="L30" s="3226" t="s">
        <v>2959</v>
      </c>
      <c r="M30" s="3226" t="s">
        <v>2960</v>
      </c>
      <c r="N30" s="3226" t="s">
        <v>2961</v>
      </c>
      <c r="O30" s="3226" t="s">
        <v>2962</v>
      </c>
      <c r="P30" s="3226" t="s">
        <v>2963</v>
      </c>
      <c r="Q30" s="3226" t="s">
        <v>2964</v>
      </c>
      <c r="R30" s="3226" t="s">
        <v>2965</v>
      </c>
    </row>
    <row r="31" spans="1:19" ht="14.25" customHeight="1">
      <c r="A31" s="3226" t="s">
        <v>296</v>
      </c>
      <c r="B31" s="3227" t="s">
        <v>129</v>
      </c>
      <c r="C31" s="3226">
        <v>24550</v>
      </c>
      <c r="D31" s="3226">
        <v>23990</v>
      </c>
      <c r="E31" s="3226">
        <v>22930</v>
      </c>
      <c r="F31" s="3226">
        <v>7470</v>
      </c>
      <c r="G31" s="3239">
        <v>16790</v>
      </c>
      <c r="L31" s="3226" t="s">
        <v>2966</v>
      </c>
      <c r="M31" s="3226" t="s">
        <v>2967</v>
      </c>
      <c r="N31" s="3226" t="s">
        <v>2968</v>
      </c>
      <c r="O31" s="3226" t="s">
        <v>2969</v>
      </c>
      <c r="P31" s="3226" t="s">
        <v>2970</v>
      </c>
      <c r="Q31" s="3226" t="s">
        <v>2971</v>
      </c>
      <c r="R31" s="3226" t="s">
        <v>2972</v>
      </c>
    </row>
    <row r="32" spans="1:19" ht="14.25" customHeight="1" thickBot="1">
      <c r="A32" s="3226" t="s">
        <v>296</v>
      </c>
      <c r="B32" s="3227" t="s">
        <v>138</v>
      </c>
      <c r="C32" s="3226">
        <v>27210</v>
      </c>
      <c r="D32" s="3226">
        <v>23240</v>
      </c>
      <c r="E32" s="3226">
        <v>23260</v>
      </c>
      <c r="F32" s="3226">
        <v>7130</v>
      </c>
      <c r="G32" s="3239">
        <v>16270</v>
      </c>
      <c r="L32" s="3226" t="s">
        <v>2973</v>
      </c>
      <c r="M32" s="3226" t="s">
        <v>2974</v>
      </c>
      <c r="N32" s="3226" t="s">
        <v>300</v>
      </c>
      <c r="O32" s="3226" t="s">
        <v>2975</v>
      </c>
      <c r="P32" s="3226" t="s">
        <v>299</v>
      </c>
      <c r="Q32" s="3226" t="s">
        <v>2976</v>
      </c>
      <c r="R32" s="3233" t="s">
        <v>2977</v>
      </c>
    </row>
    <row r="33" spans="1:17" ht="14.25" customHeight="1" thickBot="1">
      <c r="A33" s="3226" t="s">
        <v>296</v>
      </c>
      <c r="B33" s="3227" t="s">
        <v>147</v>
      </c>
      <c r="C33" s="3226">
        <v>27300</v>
      </c>
      <c r="D33" s="3226">
        <v>22980</v>
      </c>
      <c r="E33" s="3226">
        <v>24260</v>
      </c>
      <c r="F33" s="3226">
        <v>5860</v>
      </c>
      <c r="G33" s="3239">
        <v>16090</v>
      </c>
      <c r="L33" s="3233" t="s">
        <v>2978</v>
      </c>
      <c r="M33" s="3226" t="s">
        <v>2979</v>
      </c>
      <c r="N33" s="3226" t="s">
        <v>301</v>
      </c>
      <c r="O33" s="3226" t="s">
        <v>2980</v>
      </c>
      <c r="P33" s="3226" t="s">
        <v>2981</v>
      </c>
      <c r="Q33" s="3226" t="s">
        <v>2982</v>
      </c>
    </row>
    <row r="34" spans="1:17" ht="14.25" customHeight="1">
      <c r="A34" s="3226" t="s">
        <v>296</v>
      </c>
      <c r="B34" s="3227" t="s">
        <v>156</v>
      </c>
      <c r="C34" s="3226">
        <v>23090</v>
      </c>
      <c r="D34" s="3226">
        <v>23390</v>
      </c>
      <c r="E34" s="3226">
        <v>23510</v>
      </c>
      <c r="F34" s="3226">
        <v>6700</v>
      </c>
      <c r="G34" s="3239">
        <v>16370</v>
      </c>
      <c r="M34" s="3226" t="s">
        <v>2983</v>
      </c>
      <c r="N34" s="3226" t="s">
        <v>302</v>
      </c>
      <c r="O34" s="3226" t="s">
        <v>2984</v>
      </c>
      <c r="P34" s="3226" t="s">
        <v>2985</v>
      </c>
      <c r="Q34" s="3226" t="s">
        <v>2986</v>
      </c>
    </row>
    <row r="35" spans="1:17" ht="14.25" customHeight="1">
      <c r="A35" s="3226" t="s">
        <v>296</v>
      </c>
      <c r="B35" s="3227" t="s">
        <v>163</v>
      </c>
      <c r="C35" s="3226">
        <v>27270</v>
      </c>
      <c r="D35" s="3226">
        <v>24270</v>
      </c>
      <c r="E35" s="3226">
        <v>24950</v>
      </c>
      <c r="F35" s="3226">
        <v>6600</v>
      </c>
      <c r="G35" s="3239">
        <v>16990</v>
      </c>
      <c r="M35" s="3226" t="s">
        <v>2987</v>
      </c>
      <c r="N35" s="3226" t="s">
        <v>2988</v>
      </c>
      <c r="O35" s="3226" t="s">
        <v>2989</v>
      </c>
      <c r="P35" s="3226" t="s">
        <v>2990</v>
      </c>
      <c r="Q35" s="3226" t="s">
        <v>2991</v>
      </c>
    </row>
    <row r="36" spans="1:17" ht="14.25" customHeight="1">
      <c r="A36" s="3226" t="s">
        <v>296</v>
      </c>
      <c r="B36" s="3227" t="s">
        <v>169</v>
      </c>
      <c r="C36" s="3226">
        <v>23490</v>
      </c>
      <c r="D36" s="3226">
        <v>23020</v>
      </c>
      <c r="E36" s="3226">
        <v>25230</v>
      </c>
      <c r="F36" s="3226">
        <v>6780</v>
      </c>
      <c r="G36" s="3239">
        <v>16120</v>
      </c>
      <c r="M36" s="3226" t="s">
        <v>2992</v>
      </c>
      <c r="N36" s="3226" t="s">
        <v>2993</v>
      </c>
      <c r="O36" s="3226" t="s">
        <v>2994</v>
      </c>
      <c r="P36" s="3226" t="s">
        <v>2995</v>
      </c>
      <c r="Q36" s="3226" t="s">
        <v>2996</v>
      </c>
    </row>
    <row r="37" spans="1:17" ht="14.25" customHeight="1">
      <c r="A37" s="3226" t="s">
        <v>296</v>
      </c>
      <c r="B37" s="3227" t="s">
        <v>176</v>
      </c>
      <c r="C37" s="3226">
        <v>24380</v>
      </c>
      <c r="D37" s="3226">
        <v>22240</v>
      </c>
      <c r="E37" s="3226">
        <v>25980</v>
      </c>
      <c r="F37" s="3226">
        <v>8160</v>
      </c>
      <c r="G37" s="3239">
        <v>15570</v>
      </c>
      <c r="M37" s="3226" t="s">
        <v>2997</v>
      </c>
      <c r="N37" s="3226" t="s">
        <v>2998</v>
      </c>
      <c r="O37" s="3226" t="s">
        <v>2999</v>
      </c>
      <c r="P37" s="3226" t="s">
        <v>3000</v>
      </c>
      <c r="Q37" s="3226" t="s">
        <v>3001</v>
      </c>
    </row>
    <row r="38" spans="1:17" ht="14.25" customHeight="1">
      <c r="A38" s="3226" t="s">
        <v>296</v>
      </c>
      <c r="B38" s="3227" t="s">
        <v>186</v>
      </c>
      <c r="C38" s="3226">
        <v>23120</v>
      </c>
      <c r="D38" s="3226">
        <v>24630</v>
      </c>
      <c r="E38" s="3226">
        <v>25030</v>
      </c>
      <c r="F38" s="3226">
        <v>7710</v>
      </c>
      <c r="G38" s="3239">
        <v>17240</v>
      </c>
      <c r="M38" s="3226" t="s">
        <v>3002</v>
      </c>
      <c r="N38" s="3226" t="s">
        <v>3003</v>
      </c>
      <c r="O38" s="3226" t="s">
        <v>3004</v>
      </c>
      <c r="P38" s="3226" t="s">
        <v>3005</v>
      </c>
      <c r="Q38" s="3226" t="s">
        <v>3006</v>
      </c>
    </row>
    <row r="39" spans="1:17" ht="14.25" customHeight="1">
      <c r="A39" s="3226" t="s">
        <v>296</v>
      </c>
      <c r="B39" s="3227" t="s">
        <v>195</v>
      </c>
      <c r="C39" s="3226">
        <v>22330</v>
      </c>
      <c r="D39" s="3226">
        <v>21140</v>
      </c>
      <c r="E39" s="3226">
        <v>23970</v>
      </c>
      <c r="F39" s="3226">
        <v>7940</v>
      </c>
      <c r="G39" s="3239">
        <v>14790</v>
      </c>
      <c r="M39" s="3226" t="s">
        <v>3007</v>
      </c>
      <c r="N39" s="3226" t="s">
        <v>3008</v>
      </c>
      <c r="O39" s="3226" t="s">
        <v>3009</v>
      </c>
      <c r="P39" s="3226" t="s">
        <v>3010</v>
      </c>
      <c r="Q39" s="3226" t="s">
        <v>3011</v>
      </c>
    </row>
    <row r="40" spans="1:17" ht="14.25" customHeight="1">
      <c r="A40" s="3226" t="s">
        <v>296</v>
      </c>
      <c r="B40" s="3227" t="s">
        <v>202</v>
      </c>
      <c r="C40" s="3226">
        <v>24740</v>
      </c>
      <c r="D40" s="3226">
        <v>24690</v>
      </c>
      <c r="E40" s="3226">
        <v>22610</v>
      </c>
      <c r="F40" s="3226"/>
      <c r="G40" s="3239">
        <v>17280</v>
      </c>
      <c r="M40" s="3226" t="s">
        <v>3012</v>
      </c>
      <c r="N40" s="3226" t="s">
        <v>3013</v>
      </c>
      <c r="O40" s="3226" t="s">
        <v>3014</v>
      </c>
      <c r="P40" s="3226" t="s">
        <v>3015</v>
      </c>
      <c r="Q40" s="3226" t="s">
        <v>3016</v>
      </c>
    </row>
    <row r="41" spans="1:17" ht="14.25" customHeight="1" thickBot="1">
      <c r="A41" s="3226" t="s">
        <v>296</v>
      </c>
      <c r="B41" s="3227" t="s">
        <v>209</v>
      </c>
      <c r="C41" s="3226">
        <v>21220</v>
      </c>
      <c r="D41" s="3226">
        <v>21120</v>
      </c>
      <c r="E41" s="3226">
        <v>22590</v>
      </c>
      <c r="F41" s="3226"/>
      <c r="G41" s="3239">
        <v>14780</v>
      </c>
      <c r="M41" s="3233" t="s">
        <v>3017</v>
      </c>
      <c r="N41" s="3226" t="s">
        <v>3018</v>
      </c>
      <c r="O41" s="3226" t="s">
        <v>3019</v>
      </c>
      <c r="P41" s="3226" t="s">
        <v>3020</v>
      </c>
      <c r="Q41" s="3226" t="s">
        <v>3021</v>
      </c>
    </row>
    <row r="42" spans="1:17" ht="14.25" customHeight="1">
      <c r="A42" s="3226" t="s">
        <v>296</v>
      </c>
      <c r="B42" s="3227" t="s">
        <v>215</v>
      </c>
      <c r="C42" s="3226">
        <v>24800</v>
      </c>
      <c r="D42" s="3226">
        <v>22280</v>
      </c>
      <c r="E42" s="3226">
        <v>24350</v>
      </c>
      <c r="F42" s="3226"/>
      <c r="G42" s="3239">
        <v>15590</v>
      </c>
      <c r="N42" s="3226" t="s">
        <v>3022</v>
      </c>
      <c r="O42" s="3226" t="s">
        <v>3023</v>
      </c>
      <c r="P42" s="3226" t="s">
        <v>3024</v>
      </c>
      <c r="Q42" s="3226" t="s">
        <v>3025</v>
      </c>
    </row>
    <row r="43" spans="1:17" ht="14.25" customHeight="1">
      <c r="A43" s="3226" t="s">
        <v>3026</v>
      </c>
      <c r="B43" s="3227" t="s">
        <v>223</v>
      </c>
      <c r="C43" s="3226">
        <v>21210</v>
      </c>
      <c r="D43" s="3226">
        <v>21160</v>
      </c>
      <c r="E43" s="3226">
        <v>22650</v>
      </c>
      <c r="F43" s="3226"/>
      <c r="G43" s="3239">
        <v>14800</v>
      </c>
      <c r="N43" s="3226" t="s">
        <v>3027</v>
      </c>
      <c r="O43" s="3226" t="s">
        <v>3028</v>
      </c>
      <c r="P43" s="3226" t="s">
        <v>3029</v>
      </c>
      <c r="Q43" s="3226" t="s">
        <v>3030</v>
      </c>
    </row>
    <row r="44" spans="1:17" ht="14.25" customHeight="1" thickBot="1">
      <c r="A44" s="3226" t="s">
        <v>296</v>
      </c>
      <c r="B44" s="3227" t="s">
        <v>231</v>
      </c>
      <c r="C44" s="3226">
        <v>22370</v>
      </c>
      <c r="D44" s="3226">
        <v>23140</v>
      </c>
      <c r="E44" s="3226">
        <v>25090</v>
      </c>
      <c r="F44" s="3226"/>
      <c r="G44" s="3239">
        <v>16190</v>
      </c>
      <c r="N44" s="3226" t="s">
        <v>3031</v>
      </c>
      <c r="O44" s="3226" t="s">
        <v>3032</v>
      </c>
      <c r="P44" s="3233" t="s">
        <v>3033</v>
      </c>
      <c r="Q44" s="3226" t="s">
        <v>3034</v>
      </c>
    </row>
    <row r="45" spans="1:17" ht="14.25" customHeight="1" thickBot="1">
      <c r="A45" s="3226" t="s">
        <v>296</v>
      </c>
      <c r="B45" s="3227" t="s">
        <v>236</v>
      </c>
      <c r="C45" s="3226">
        <v>21240</v>
      </c>
      <c r="D45" s="3226">
        <v>27050</v>
      </c>
      <c r="E45" s="3226">
        <v>28000</v>
      </c>
      <c r="F45" s="3226"/>
      <c r="G45" s="3239">
        <v>18940</v>
      </c>
      <c r="N45" s="3226" t="s">
        <v>3035</v>
      </c>
      <c r="O45" s="3233" t="s">
        <v>3036</v>
      </c>
      <c r="Q45" s="3226" t="s">
        <v>3037</v>
      </c>
    </row>
    <row r="46" spans="1:17" ht="14.25" customHeight="1">
      <c r="A46" s="3226" t="s">
        <v>296</v>
      </c>
      <c r="B46" s="3227" t="s">
        <v>245</v>
      </c>
      <c r="C46" s="3226">
        <v>23240</v>
      </c>
      <c r="D46" s="3226">
        <v>23000</v>
      </c>
      <c r="E46" s="3226">
        <v>24980</v>
      </c>
      <c r="F46" s="3226"/>
      <c r="G46" s="3239">
        <v>16100</v>
      </c>
      <c r="N46" s="3226" t="s">
        <v>3038</v>
      </c>
      <c r="Q46" s="3226" t="s">
        <v>3039</v>
      </c>
    </row>
    <row r="47" spans="1:17" ht="14.25" customHeight="1">
      <c r="A47" s="3226" t="s">
        <v>296</v>
      </c>
      <c r="B47" s="3227" t="s">
        <v>252</v>
      </c>
      <c r="C47" s="3226">
        <v>27150</v>
      </c>
      <c r="D47" s="3226">
        <v>23310</v>
      </c>
      <c r="E47" s="3226">
        <v>25150</v>
      </c>
      <c r="F47" s="3226"/>
      <c r="G47" s="3239">
        <v>16310</v>
      </c>
      <c r="N47" s="3226" t="s">
        <v>3040</v>
      </c>
      <c r="Q47" s="3226" t="s">
        <v>3041</v>
      </c>
    </row>
    <row r="48" spans="1:17" ht="14.25" customHeight="1">
      <c r="A48" s="3226" t="s">
        <v>296</v>
      </c>
      <c r="B48" s="3227" t="s">
        <v>260</v>
      </c>
      <c r="C48" s="3226">
        <v>23100</v>
      </c>
      <c r="D48" s="3226">
        <v>21110</v>
      </c>
      <c r="E48" s="3226">
        <v>23080</v>
      </c>
      <c r="F48" s="3226"/>
      <c r="G48" s="3239">
        <v>14780</v>
      </c>
      <c r="N48" s="3226" t="s">
        <v>3042</v>
      </c>
      <c r="Q48" s="3226" t="s">
        <v>3043</v>
      </c>
    </row>
    <row r="49" spans="1:17" ht="14.25" customHeight="1">
      <c r="A49" s="3226" t="s">
        <v>296</v>
      </c>
      <c r="B49" s="3227" t="s">
        <v>267</v>
      </c>
      <c r="C49" s="3226">
        <v>23400</v>
      </c>
      <c r="D49" s="3226">
        <v>22920</v>
      </c>
      <c r="E49" s="3226">
        <v>24900</v>
      </c>
      <c r="F49" s="3226"/>
      <c r="G49" s="3239">
        <v>16040</v>
      </c>
      <c r="N49" s="3226" t="s">
        <v>3044</v>
      </c>
      <c r="Q49" s="3226" t="s">
        <v>3045</v>
      </c>
    </row>
    <row r="50" spans="1:17" ht="14.25" customHeight="1">
      <c r="A50" s="3226" t="s">
        <v>296</v>
      </c>
      <c r="B50" s="3227" t="s">
        <v>2922</v>
      </c>
      <c r="C50" s="3226">
        <v>21200</v>
      </c>
      <c r="D50" s="3226">
        <v>26540</v>
      </c>
      <c r="E50" s="3226">
        <v>23200</v>
      </c>
      <c r="F50" s="3226"/>
      <c r="G50" s="3239">
        <v>18580</v>
      </c>
      <c r="N50" s="3226" t="s">
        <v>3046</v>
      </c>
      <c r="Q50" s="3227" t="s">
        <v>3047</v>
      </c>
    </row>
    <row r="51" spans="1:17" ht="14.25" customHeight="1" thickBot="1">
      <c r="A51" s="3226" t="s">
        <v>296</v>
      </c>
      <c r="B51" s="3227" t="s">
        <v>2924</v>
      </c>
      <c r="C51" s="3226">
        <v>23000</v>
      </c>
      <c r="D51" s="3226">
        <v>23460</v>
      </c>
      <c r="E51" s="3226">
        <v>25290</v>
      </c>
      <c r="F51" s="3226"/>
      <c r="G51" s="3239">
        <v>16420</v>
      </c>
      <c r="N51" s="3226" t="s">
        <v>3048</v>
      </c>
      <c r="Q51" s="3233" t="s">
        <v>3049</v>
      </c>
    </row>
    <row r="52" spans="1:17" ht="14.25" customHeight="1">
      <c r="A52" s="3226" t="s">
        <v>296</v>
      </c>
      <c r="B52" s="3227" t="s">
        <v>2928</v>
      </c>
      <c r="C52" s="3226">
        <v>26660</v>
      </c>
      <c r="D52" s="3226">
        <v>22350</v>
      </c>
      <c r="E52" s="3226">
        <v>22920</v>
      </c>
      <c r="F52" s="3226"/>
      <c r="G52" s="3239">
        <v>15640</v>
      </c>
      <c r="N52" s="3226" t="s">
        <v>3050</v>
      </c>
    </row>
    <row r="53" spans="1:17" ht="14.25" customHeight="1">
      <c r="A53" s="3226" t="s">
        <v>296</v>
      </c>
      <c r="B53" s="3227" t="s">
        <v>2933</v>
      </c>
      <c r="C53" s="3226">
        <v>23580</v>
      </c>
      <c r="D53" s="3226"/>
      <c r="E53" s="3226">
        <v>24280</v>
      </c>
      <c r="F53" s="3226"/>
      <c r="G53" s="3239"/>
      <c r="N53" s="3226" t="s">
        <v>3051</v>
      </c>
    </row>
    <row r="54" spans="1:17" ht="14.25" customHeight="1" thickBot="1">
      <c r="A54" s="3240" t="s">
        <v>296</v>
      </c>
      <c r="B54" s="3232" t="s">
        <v>2936</v>
      </c>
      <c r="C54" s="3233">
        <v>22460</v>
      </c>
      <c r="D54" s="3233"/>
      <c r="E54" s="3233"/>
      <c r="F54" s="3233"/>
      <c r="G54" s="3241"/>
      <c r="N54" s="3226" t="s">
        <v>3052</v>
      </c>
    </row>
    <row r="55" spans="1:17" ht="14.25" customHeight="1">
      <c r="A55" s="3231" t="s">
        <v>110</v>
      </c>
      <c r="B55" s="3222" t="s">
        <v>3053</v>
      </c>
      <c r="C55" s="3226">
        <v>21970</v>
      </c>
      <c r="D55" s="3226">
        <v>20370</v>
      </c>
      <c r="E55" s="3226">
        <v>20180</v>
      </c>
      <c r="F55" s="3226">
        <v>5730</v>
      </c>
      <c r="G55" s="3226">
        <v>13820</v>
      </c>
      <c r="N55" s="3226" t="s">
        <v>3054</v>
      </c>
    </row>
    <row r="56" spans="1:17" ht="14.25" customHeight="1">
      <c r="A56" s="3226" t="s">
        <v>110</v>
      </c>
      <c r="B56" s="3226" t="s">
        <v>130</v>
      </c>
      <c r="C56" s="3226">
        <v>20470</v>
      </c>
      <c r="D56" s="3226">
        <v>20700</v>
      </c>
      <c r="E56" s="3226">
        <v>20380</v>
      </c>
      <c r="F56" s="3226">
        <v>4760</v>
      </c>
      <c r="G56" s="3226">
        <v>14050</v>
      </c>
      <c r="N56" s="3226" t="s">
        <v>3055</v>
      </c>
    </row>
    <row r="57" spans="1:17" ht="14.25" customHeight="1">
      <c r="A57" s="3226" t="s">
        <v>110</v>
      </c>
      <c r="B57" s="3226" t="s">
        <v>139</v>
      </c>
      <c r="C57" s="3226">
        <v>20790</v>
      </c>
      <c r="D57" s="3226">
        <v>21370</v>
      </c>
      <c r="E57" s="3226">
        <v>20890</v>
      </c>
      <c r="F57" s="3226">
        <v>4910</v>
      </c>
      <c r="G57" s="3226">
        <v>14510</v>
      </c>
      <c r="N57" s="3226" t="s">
        <v>3056</v>
      </c>
    </row>
    <row r="58" spans="1:17" ht="14.25" customHeight="1">
      <c r="A58" s="3226" t="s">
        <v>110</v>
      </c>
      <c r="B58" s="3226" t="s">
        <v>148</v>
      </c>
      <c r="C58" s="3226">
        <v>21460</v>
      </c>
      <c r="D58" s="3226">
        <v>20920</v>
      </c>
      <c r="E58" s="3226">
        <v>23410</v>
      </c>
      <c r="F58" s="3226">
        <v>5100</v>
      </c>
      <c r="G58" s="3226">
        <v>14200</v>
      </c>
      <c r="N58" s="3226" t="s">
        <v>3057</v>
      </c>
    </row>
    <row r="59" spans="1:17" ht="14.25" customHeight="1">
      <c r="A59" s="3226" t="s">
        <v>110</v>
      </c>
      <c r="B59" s="3226" t="s">
        <v>157</v>
      </c>
      <c r="C59" s="3226">
        <v>21000</v>
      </c>
      <c r="D59" s="3226">
        <v>21550</v>
      </c>
      <c r="E59" s="3226">
        <v>21150</v>
      </c>
      <c r="F59" s="3226">
        <v>5250</v>
      </c>
      <c r="G59" s="3226">
        <v>14630</v>
      </c>
      <c r="N59" s="3226" t="s">
        <v>3058</v>
      </c>
    </row>
    <row r="60" spans="1:17" ht="14.25" customHeight="1">
      <c r="A60" s="3226" t="s">
        <v>110</v>
      </c>
      <c r="B60" s="3226" t="s">
        <v>164</v>
      </c>
      <c r="C60" s="3226">
        <v>21640</v>
      </c>
      <c r="D60" s="3226">
        <v>21260</v>
      </c>
      <c r="E60" s="3226">
        <v>24040</v>
      </c>
      <c r="F60" s="3226">
        <v>4470</v>
      </c>
      <c r="G60" s="3226">
        <v>14430</v>
      </c>
      <c r="N60" s="3226" t="s">
        <v>3059</v>
      </c>
    </row>
    <row r="61" spans="1:17" ht="14.25" customHeight="1">
      <c r="A61" s="3226" t="s">
        <v>110</v>
      </c>
      <c r="B61" s="3226" t="s">
        <v>170</v>
      </c>
      <c r="C61" s="3226">
        <v>21330</v>
      </c>
      <c r="D61" s="3226">
        <v>18640</v>
      </c>
      <c r="E61" s="3226">
        <v>21190</v>
      </c>
      <c r="F61" s="3226">
        <v>4180</v>
      </c>
      <c r="G61" s="3226">
        <v>12650</v>
      </c>
      <c r="N61" s="3226" t="s">
        <v>3060</v>
      </c>
    </row>
    <row r="62" spans="1:17" ht="14.25" customHeight="1">
      <c r="A62" s="3226" t="s">
        <v>110</v>
      </c>
      <c r="B62" s="3226" t="s">
        <v>177</v>
      </c>
      <c r="C62" s="3226">
        <v>18710</v>
      </c>
      <c r="D62" s="3226">
        <v>19400</v>
      </c>
      <c r="E62" s="3226">
        <v>23750</v>
      </c>
      <c r="F62" s="3226">
        <v>4860</v>
      </c>
      <c r="G62" s="3226">
        <v>13170</v>
      </c>
      <c r="N62" s="3226" t="s">
        <v>3061</v>
      </c>
    </row>
    <row r="63" spans="1:17" ht="14.25" customHeight="1">
      <c r="A63" s="3226" t="s">
        <v>110</v>
      </c>
      <c r="B63" s="3226" t="s">
        <v>187</v>
      </c>
      <c r="C63" s="3226">
        <v>19480</v>
      </c>
      <c r="D63" s="3226">
        <v>16830</v>
      </c>
      <c r="E63" s="3226">
        <v>21590</v>
      </c>
      <c r="F63" s="3226">
        <v>4560</v>
      </c>
      <c r="G63" s="3226">
        <v>11420</v>
      </c>
      <c r="N63" s="3226" t="s">
        <v>3062</v>
      </c>
    </row>
    <row r="64" spans="1:17" ht="14.25" customHeight="1" thickBot="1">
      <c r="A64" s="3226" t="s">
        <v>110</v>
      </c>
      <c r="B64" s="3226" t="s">
        <v>196</v>
      </c>
      <c r="C64" s="3226">
        <v>16920</v>
      </c>
      <c r="D64" s="3226">
        <v>19190</v>
      </c>
      <c r="E64" s="3226">
        <v>22200</v>
      </c>
      <c r="F64" s="3226">
        <v>4390</v>
      </c>
      <c r="G64" s="3226">
        <v>13030</v>
      </c>
      <c r="N64" s="3233" t="s">
        <v>3063</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2934</v>
      </c>
      <c r="C78" s="3226">
        <v>19820</v>
      </c>
      <c r="D78" s="3226">
        <v>19780</v>
      </c>
      <c r="E78" s="3226">
        <v>18560</v>
      </c>
      <c r="F78" s="3226"/>
      <c r="G78" s="3226">
        <v>13430</v>
      </c>
    </row>
    <row r="79" spans="1:7" s="3215" customFormat="1" ht="14.25" customHeight="1">
      <c r="A79" s="3226" t="s">
        <v>110</v>
      </c>
      <c r="B79" s="3226" t="s">
        <v>2937</v>
      </c>
      <c r="C79" s="3226">
        <v>21660</v>
      </c>
      <c r="D79" s="3226">
        <v>18000</v>
      </c>
      <c r="E79" s="3226">
        <v>22570</v>
      </c>
      <c r="F79" s="3226"/>
      <c r="G79" s="3226">
        <v>12220</v>
      </c>
    </row>
    <row r="80" spans="1:7" s="3215" customFormat="1" ht="14.25" customHeight="1">
      <c r="A80" s="3226" t="s">
        <v>110</v>
      </c>
      <c r="B80" s="3226" t="s">
        <v>2941</v>
      </c>
      <c r="C80" s="3226">
        <v>19850</v>
      </c>
      <c r="D80" s="3226"/>
      <c r="E80" s="3226">
        <v>21700</v>
      </c>
      <c r="F80" s="3226"/>
      <c r="G80" s="3226"/>
    </row>
    <row r="81" spans="1:7" s="3215" customFormat="1" ht="14.25" customHeight="1">
      <c r="A81" s="3226" t="s">
        <v>110</v>
      </c>
      <c r="B81" s="3226" t="s">
        <v>2946</v>
      </c>
      <c r="C81" s="3226">
        <v>18080</v>
      </c>
      <c r="D81" s="3226"/>
      <c r="E81" s="3226">
        <v>20900</v>
      </c>
      <c r="F81" s="3226"/>
      <c r="G81" s="3226"/>
    </row>
    <row r="82" spans="1:7" s="3215" customFormat="1" ht="14.25" customHeight="1">
      <c r="A82" s="3226" t="s">
        <v>110</v>
      </c>
      <c r="B82" s="3226" t="s">
        <v>2953</v>
      </c>
      <c r="C82" s="3226"/>
      <c r="D82" s="3226"/>
      <c r="E82" s="3226">
        <v>20840</v>
      </c>
      <c r="F82" s="3226"/>
      <c r="G82" s="3226"/>
    </row>
    <row r="83" spans="1:7" s="3215" customFormat="1" ht="14.25" customHeight="1">
      <c r="A83" s="3226" t="s">
        <v>110</v>
      </c>
      <c r="B83" s="3226" t="s">
        <v>3064</v>
      </c>
      <c r="C83" s="3226"/>
      <c r="D83" s="3226"/>
      <c r="E83" s="3226"/>
      <c r="F83" s="3226">
        <v>4770</v>
      </c>
      <c r="G83" s="3226"/>
    </row>
    <row r="84" spans="1:7" s="3215" customFormat="1" ht="14.25" customHeight="1">
      <c r="A84" s="3226" t="s">
        <v>110</v>
      </c>
      <c r="B84" s="3226" t="s">
        <v>3065</v>
      </c>
      <c r="C84" s="3226"/>
      <c r="D84" s="3226"/>
      <c r="E84" s="3226"/>
      <c r="F84" s="3226">
        <v>4600</v>
      </c>
      <c r="G84" s="3226"/>
    </row>
    <row r="85" spans="1:7" s="3215" customFormat="1" ht="14.25" customHeight="1">
      <c r="A85" s="3226" t="s">
        <v>110</v>
      </c>
      <c r="B85" s="3226" t="s">
        <v>3066</v>
      </c>
      <c r="C85" s="3226"/>
      <c r="D85" s="3226"/>
      <c r="E85" s="3226"/>
      <c r="F85" s="3226">
        <v>4680</v>
      </c>
      <c r="G85" s="3226"/>
    </row>
    <row r="86" spans="1:7" s="3215" customFormat="1" ht="14.25" customHeight="1" thickBot="1">
      <c r="A86" s="3234" t="s">
        <v>110</v>
      </c>
      <c r="B86" s="3236" t="s">
        <v>3067</v>
      </c>
      <c r="C86" s="3237">
        <v>16610</v>
      </c>
      <c r="D86" s="3237">
        <v>16540</v>
      </c>
      <c r="E86" s="3237">
        <v>18850</v>
      </c>
      <c r="F86" s="3237"/>
      <c r="G86" s="3237">
        <v>11220</v>
      </c>
    </row>
    <row r="87" spans="1:7" s="3215" customFormat="1" ht="14.25" customHeight="1">
      <c r="A87" s="3231" t="s">
        <v>303</v>
      </c>
      <c r="B87" s="3222" t="s">
        <v>3068</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2947</v>
      </c>
      <c r="C113" s="3226">
        <v>15520</v>
      </c>
      <c r="D113" s="3226">
        <v>15450</v>
      </c>
      <c r="E113" s="3226"/>
      <c r="F113" s="3226"/>
      <c r="G113" s="3239">
        <v>10210</v>
      </c>
    </row>
    <row r="114" spans="1:7" s="3215" customFormat="1" ht="14.25" customHeight="1">
      <c r="A114" s="3226" t="s">
        <v>303</v>
      </c>
      <c r="B114" s="3226" t="s">
        <v>2954</v>
      </c>
      <c r="C114" s="3226">
        <v>13110</v>
      </c>
      <c r="D114" s="3226">
        <v>13050</v>
      </c>
      <c r="E114" s="3226"/>
      <c r="F114" s="3226"/>
      <c r="G114" s="3239">
        <v>8620</v>
      </c>
    </row>
    <row r="115" spans="1:7" s="3215" customFormat="1" ht="14.25" customHeight="1">
      <c r="A115" s="3226" t="s">
        <v>303</v>
      </c>
      <c r="B115" s="3226" t="s">
        <v>2960</v>
      </c>
      <c r="C115" s="3226">
        <v>12460</v>
      </c>
      <c r="D115" s="3226">
        <v>12390</v>
      </c>
      <c r="E115" s="3226"/>
      <c r="F115" s="3226"/>
      <c r="G115" s="3239">
        <v>8190</v>
      </c>
    </row>
    <row r="116" spans="1:7" s="3215" customFormat="1" ht="14.25" customHeight="1">
      <c r="A116" s="3226" t="s">
        <v>303</v>
      </c>
      <c r="B116" s="3226" t="s">
        <v>2967</v>
      </c>
      <c r="C116" s="3226">
        <v>13580</v>
      </c>
      <c r="D116" s="3226">
        <v>13520</v>
      </c>
      <c r="E116" s="3226"/>
      <c r="F116" s="3226"/>
      <c r="G116" s="3239">
        <v>8930</v>
      </c>
    </row>
    <row r="117" spans="1:7" s="3215" customFormat="1" ht="14.25" customHeight="1">
      <c r="A117" s="3226" t="s">
        <v>303</v>
      </c>
      <c r="B117" s="3226" t="s">
        <v>2974</v>
      </c>
      <c r="C117" s="3226">
        <v>17120</v>
      </c>
      <c r="D117" s="3226">
        <v>17040</v>
      </c>
      <c r="E117" s="3226"/>
      <c r="F117" s="3226"/>
      <c r="G117" s="3239">
        <v>11260</v>
      </c>
    </row>
    <row r="118" spans="1:7" s="3215" customFormat="1" ht="14.25" customHeight="1">
      <c r="A118" s="3226" t="s">
        <v>303</v>
      </c>
      <c r="B118" s="3226" t="s">
        <v>2979</v>
      </c>
      <c r="C118" s="3226">
        <v>14860</v>
      </c>
      <c r="D118" s="3226">
        <v>14790</v>
      </c>
      <c r="E118" s="3226"/>
      <c r="F118" s="3226"/>
      <c r="G118" s="3239">
        <v>9780</v>
      </c>
    </row>
    <row r="119" spans="1:7" s="3215" customFormat="1" ht="14.25" customHeight="1">
      <c r="A119" s="3226" t="s">
        <v>303</v>
      </c>
      <c r="B119" s="3226" t="s">
        <v>2983</v>
      </c>
      <c r="C119" s="3226">
        <v>16470</v>
      </c>
      <c r="D119" s="3226">
        <v>16400</v>
      </c>
      <c r="E119" s="3226"/>
      <c r="F119" s="3226"/>
      <c r="G119" s="3239">
        <v>10840</v>
      </c>
    </row>
    <row r="120" spans="1:7" s="3215" customFormat="1" ht="14.25" customHeight="1">
      <c r="A120" s="3226" t="s">
        <v>303</v>
      </c>
      <c r="B120" s="3226" t="s">
        <v>3069</v>
      </c>
      <c r="C120" s="3226"/>
      <c r="D120" s="3226"/>
      <c r="E120" s="3226"/>
      <c r="F120" s="3226">
        <v>4160</v>
      </c>
      <c r="G120" s="3239"/>
    </row>
    <row r="121" spans="1:7" s="3215" customFormat="1" ht="14.25" customHeight="1">
      <c r="A121" s="3226" t="s">
        <v>303</v>
      </c>
      <c r="B121" s="3226" t="s">
        <v>3070</v>
      </c>
      <c r="C121" s="3226"/>
      <c r="D121" s="3226"/>
      <c r="E121" s="3226"/>
      <c r="F121" s="3226">
        <v>3880</v>
      </c>
      <c r="G121" s="3239"/>
    </row>
    <row r="122" spans="1:7" s="3215" customFormat="1" ht="14.25" customHeight="1">
      <c r="A122" s="3226" t="s">
        <v>303</v>
      </c>
      <c r="B122" s="3226" t="s">
        <v>3071</v>
      </c>
      <c r="C122" s="3226">
        <v>13750</v>
      </c>
      <c r="D122" s="3226">
        <v>13680</v>
      </c>
      <c r="E122" s="3226">
        <v>16460</v>
      </c>
      <c r="F122" s="3226">
        <v>2880</v>
      </c>
      <c r="G122" s="3239">
        <v>9040</v>
      </c>
    </row>
    <row r="123" spans="1:7" s="3215" customFormat="1" ht="14.25" customHeight="1">
      <c r="A123" s="3226" t="s">
        <v>303</v>
      </c>
      <c r="B123" s="3226" t="s">
        <v>3002</v>
      </c>
      <c r="C123" s="3226">
        <v>13590</v>
      </c>
      <c r="D123" s="3226">
        <v>13520</v>
      </c>
      <c r="E123" s="3226">
        <v>16290</v>
      </c>
      <c r="F123" s="3226">
        <v>2790</v>
      </c>
      <c r="G123" s="3239">
        <v>8930</v>
      </c>
    </row>
    <row r="124" spans="1:7" s="3215" customFormat="1" ht="14.25" customHeight="1">
      <c r="A124" s="3226" t="s">
        <v>303</v>
      </c>
      <c r="B124" s="3226" t="s">
        <v>3007</v>
      </c>
      <c r="C124" s="3226">
        <v>13400</v>
      </c>
      <c r="D124" s="3226">
        <v>13320</v>
      </c>
      <c r="E124" s="3226">
        <v>16100</v>
      </c>
      <c r="F124" s="3226">
        <v>2320</v>
      </c>
      <c r="G124" s="3239">
        <v>8800</v>
      </c>
    </row>
    <row r="125" spans="1:7" s="3215" customFormat="1" ht="14.25" customHeight="1">
      <c r="A125" s="3226" t="s">
        <v>303</v>
      </c>
      <c r="B125" s="3226" t="s">
        <v>3012</v>
      </c>
      <c r="C125" s="3226">
        <v>12860</v>
      </c>
      <c r="D125" s="3226">
        <v>12790</v>
      </c>
      <c r="E125" s="3226">
        <v>15370</v>
      </c>
      <c r="F125" s="3226">
        <v>2280</v>
      </c>
      <c r="G125" s="3239">
        <v>8450</v>
      </c>
    </row>
    <row r="126" spans="1:7" s="3215" customFormat="1" ht="14.25" customHeight="1" thickBot="1">
      <c r="A126" s="3240" t="s">
        <v>303</v>
      </c>
      <c r="B126" s="3233" t="s">
        <v>3017</v>
      </c>
      <c r="C126" s="3233">
        <v>12960</v>
      </c>
      <c r="D126" s="3233">
        <v>12890</v>
      </c>
      <c r="E126" s="3233">
        <v>15530</v>
      </c>
      <c r="F126" s="3233">
        <v>2910</v>
      </c>
      <c r="G126" s="3241">
        <v>8520</v>
      </c>
    </row>
    <row r="127" spans="1:7" s="3215" customFormat="1" ht="14.25" customHeight="1">
      <c r="A127" s="3231" t="s">
        <v>29</v>
      </c>
      <c r="B127" s="3222" t="s">
        <v>3072</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3073</v>
      </c>
      <c r="C148" s="3226">
        <v>10370</v>
      </c>
      <c r="D148" s="3226">
        <v>10310</v>
      </c>
      <c r="E148" s="3226">
        <v>12970</v>
      </c>
      <c r="F148" s="3226"/>
      <c r="G148" s="3226">
        <v>6630</v>
      </c>
    </row>
    <row r="149" spans="1:7" s="3215" customFormat="1" ht="14.25" customHeight="1">
      <c r="A149" s="3226" t="s">
        <v>29</v>
      </c>
      <c r="B149" s="3226" t="s">
        <v>3074</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2948</v>
      </c>
      <c r="C153" s="3226">
        <v>10880</v>
      </c>
      <c r="D153" s="3226">
        <v>10820</v>
      </c>
      <c r="E153" s="3226">
        <v>13660</v>
      </c>
      <c r="F153" s="3226">
        <v>2260</v>
      </c>
      <c r="G153" s="3226">
        <v>6970</v>
      </c>
    </row>
    <row r="154" spans="1:7" s="3215" customFormat="1" ht="14.25" customHeight="1">
      <c r="A154" s="3226" t="s">
        <v>29</v>
      </c>
      <c r="B154" s="3226" t="s">
        <v>3075</v>
      </c>
      <c r="C154" s="3226">
        <v>11220</v>
      </c>
      <c r="D154" s="3226">
        <v>11160</v>
      </c>
      <c r="E154" s="3226">
        <v>14130</v>
      </c>
      <c r="F154" s="3226">
        <v>2230</v>
      </c>
      <c r="G154" s="3226">
        <v>7180</v>
      </c>
    </row>
    <row r="155" spans="1:7" s="3215" customFormat="1" ht="14.25" customHeight="1">
      <c r="A155" s="3226" t="s">
        <v>29</v>
      </c>
      <c r="B155" s="3226" t="s">
        <v>2961</v>
      </c>
      <c r="C155" s="3226">
        <v>10430</v>
      </c>
      <c r="D155" s="3226">
        <v>10380</v>
      </c>
      <c r="E155" s="3226">
        <v>13140</v>
      </c>
      <c r="F155" s="3226">
        <v>2080</v>
      </c>
      <c r="G155" s="3226">
        <v>6650</v>
      </c>
    </row>
    <row r="156" spans="1:7" s="3215" customFormat="1" ht="14.25" customHeight="1">
      <c r="A156" s="3226" t="s">
        <v>29</v>
      </c>
      <c r="B156" s="3226" t="s">
        <v>3076</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3077</v>
      </c>
      <c r="C160" s="3226">
        <v>11180</v>
      </c>
      <c r="D160" s="3226">
        <v>11140</v>
      </c>
      <c r="E160" s="3226">
        <v>14050</v>
      </c>
      <c r="F160" s="3226">
        <v>2270</v>
      </c>
      <c r="G160" s="3226">
        <v>7170</v>
      </c>
    </row>
    <row r="161" spans="1:7" s="3215" customFormat="1" ht="14.25" customHeight="1">
      <c r="A161" s="3226" t="s">
        <v>29</v>
      </c>
      <c r="B161" s="3226" t="s">
        <v>2993</v>
      </c>
      <c r="C161" s="3226">
        <v>11160</v>
      </c>
      <c r="D161" s="3226">
        <v>11120</v>
      </c>
      <c r="E161" s="3226">
        <v>14020</v>
      </c>
      <c r="F161" s="3226">
        <v>2150</v>
      </c>
      <c r="G161" s="3226">
        <v>7160</v>
      </c>
    </row>
    <row r="162" spans="1:7" s="3215" customFormat="1" ht="14.25" customHeight="1">
      <c r="A162" s="3226" t="s">
        <v>29</v>
      </c>
      <c r="B162" s="3226" t="s">
        <v>2998</v>
      </c>
      <c r="C162" s="3226">
        <v>9620</v>
      </c>
      <c r="D162" s="3226">
        <v>9570</v>
      </c>
      <c r="E162" s="3226">
        <v>12320</v>
      </c>
      <c r="F162" s="3226">
        <v>2010</v>
      </c>
      <c r="G162" s="3226">
        <v>6160</v>
      </c>
    </row>
    <row r="163" spans="1:7" s="3215" customFormat="1" ht="14.25" customHeight="1">
      <c r="A163" s="3226" t="s">
        <v>29</v>
      </c>
      <c r="B163" s="3226" t="s">
        <v>3003</v>
      </c>
      <c r="C163" s="3226">
        <v>9320</v>
      </c>
      <c r="D163" s="3226">
        <v>9270</v>
      </c>
      <c r="E163" s="3226">
        <v>11790</v>
      </c>
      <c r="F163" s="3226">
        <v>1920</v>
      </c>
      <c r="G163" s="3226">
        <v>5960</v>
      </c>
    </row>
    <row r="164" spans="1:7" s="3215" customFormat="1" ht="14.25" customHeight="1">
      <c r="A164" s="3226" t="s">
        <v>29</v>
      </c>
      <c r="B164" s="3226" t="s">
        <v>3008</v>
      </c>
      <c r="C164" s="3226"/>
      <c r="D164" s="3226"/>
      <c r="E164" s="3226"/>
      <c r="F164" s="3226">
        <v>1980</v>
      </c>
      <c r="G164" s="3226"/>
    </row>
    <row r="165" spans="1:7" s="3215" customFormat="1" ht="14.25" customHeight="1">
      <c r="A165" s="3226" t="s">
        <v>29</v>
      </c>
      <c r="B165" s="3226" t="s">
        <v>3078</v>
      </c>
      <c r="C165" s="3226">
        <v>11060</v>
      </c>
      <c r="D165" s="3226">
        <v>11030</v>
      </c>
      <c r="E165" s="3226">
        <v>13850</v>
      </c>
      <c r="F165" s="3226">
        <v>2170</v>
      </c>
      <c r="G165" s="3226">
        <v>7090</v>
      </c>
    </row>
    <row r="166" spans="1:7" s="3215" customFormat="1" ht="14.25" customHeight="1">
      <c r="A166" s="3226" t="s">
        <v>29</v>
      </c>
      <c r="B166" s="3226" t="s">
        <v>3018</v>
      </c>
      <c r="C166" s="3226">
        <v>11050</v>
      </c>
      <c r="D166" s="3226">
        <v>11010</v>
      </c>
      <c r="E166" s="3226">
        <v>13920</v>
      </c>
      <c r="F166" s="3226">
        <v>2140</v>
      </c>
      <c r="G166" s="3226">
        <v>7080</v>
      </c>
    </row>
    <row r="167" spans="1:7" s="3215" customFormat="1" ht="14.25" customHeight="1">
      <c r="A167" s="3226" t="s">
        <v>29</v>
      </c>
      <c r="B167" s="3226" t="s">
        <v>3022</v>
      </c>
      <c r="C167" s="3226">
        <v>10930</v>
      </c>
      <c r="D167" s="3226">
        <v>10890</v>
      </c>
      <c r="E167" s="3226">
        <v>13790</v>
      </c>
      <c r="F167" s="3226">
        <v>2010</v>
      </c>
      <c r="G167" s="3226">
        <v>7000</v>
      </c>
    </row>
    <row r="168" spans="1:7" s="3215" customFormat="1" ht="14.25" customHeight="1">
      <c r="A168" s="3226" t="s">
        <v>29</v>
      </c>
      <c r="B168" s="3226" t="s">
        <v>3027</v>
      </c>
      <c r="C168" s="3226">
        <v>9420</v>
      </c>
      <c r="D168" s="3226">
        <v>9380</v>
      </c>
      <c r="E168" s="3226">
        <v>11970</v>
      </c>
      <c r="F168" s="3226"/>
      <c r="G168" s="3226">
        <v>6040</v>
      </c>
    </row>
    <row r="169" spans="1:7" s="3215" customFormat="1" ht="14.25" customHeight="1">
      <c r="A169" s="3226" t="s">
        <v>29</v>
      </c>
      <c r="B169" s="3226" t="s">
        <v>3079</v>
      </c>
      <c r="C169" s="3226"/>
      <c r="D169" s="3226"/>
      <c r="E169" s="3226"/>
      <c r="F169" s="3226">
        <v>2880</v>
      </c>
      <c r="G169" s="3226"/>
    </row>
    <row r="170" spans="1:7" s="3215" customFormat="1" ht="14.25" customHeight="1">
      <c r="A170" s="3226" t="s">
        <v>29</v>
      </c>
      <c r="B170" s="3226" t="s">
        <v>3035</v>
      </c>
      <c r="C170" s="3226"/>
      <c r="D170" s="3226"/>
      <c r="E170" s="3226"/>
      <c r="F170" s="3226">
        <v>2880</v>
      </c>
      <c r="G170" s="3226"/>
    </row>
    <row r="171" spans="1:7" s="3215" customFormat="1" ht="14.25" customHeight="1">
      <c r="A171" s="3226" t="s">
        <v>29</v>
      </c>
      <c r="B171" s="3226" t="s">
        <v>3038</v>
      </c>
      <c r="C171" s="3226"/>
      <c r="D171" s="3226"/>
      <c r="E171" s="3226"/>
      <c r="F171" s="3226">
        <v>2880</v>
      </c>
      <c r="G171" s="3226"/>
    </row>
    <row r="172" spans="1:7" s="3215" customFormat="1" ht="14.25" customHeight="1">
      <c r="A172" s="3226" t="s">
        <v>29</v>
      </c>
      <c r="B172" s="3226" t="s">
        <v>3040</v>
      </c>
      <c r="C172" s="3226"/>
      <c r="D172" s="3226"/>
      <c r="E172" s="3226"/>
      <c r="F172" s="3226">
        <v>2880</v>
      </c>
      <c r="G172" s="3226"/>
    </row>
    <row r="173" spans="1:7" s="3215" customFormat="1" ht="14.25" customHeight="1">
      <c r="A173" s="3226" t="s">
        <v>29</v>
      </c>
      <c r="B173" s="3226" t="s">
        <v>3042</v>
      </c>
      <c r="C173" s="3226"/>
      <c r="D173" s="3226"/>
      <c r="E173" s="3226"/>
      <c r="F173" s="3226">
        <v>2150</v>
      </c>
      <c r="G173" s="3226"/>
    </row>
    <row r="174" spans="1:7" s="3215" customFormat="1" ht="14.25" customHeight="1">
      <c r="A174" s="3226" t="s">
        <v>29</v>
      </c>
      <c r="B174" s="3226" t="s">
        <v>3044</v>
      </c>
      <c r="C174" s="3226"/>
      <c r="D174" s="3226"/>
      <c r="E174" s="3226"/>
      <c r="F174" s="3226">
        <v>2030</v>
      </c>
      <c r="G174" s="3226"/>
    </row>
    <row r="175" spans="1:7" s="3215" customFormat="1" ht="14.25" customHeight="1">
      <c r="A175" s="3226" t="s">
        <v>29</v>
      </c>
      <c r="B175" s="3226" t="s">
        <v>3046</v>
      </c>
      <c r="C175" s="3226"/>
      <c r="D175" s="3226"/>
      <c r="E175" s="3226"/>
      <c r="F175" s="3226">
        <v>2780</v>
      </c>
      <c r="G175" s="3226"/>
    </row>
    <row r="176" spans="1:7" s="3215" customFormat="1" ht="14.25" customHeight="1">
      <c r="A176" s="3226" t="s">
        <v>29</v>
      </c>
      <c r="B176" s="3226" t="s">
        <v>3048</v>
      </c>
      <c r="C176" s="3226"/>
      <c r="D176" s="3226"/>
      <c r="E176" s="3226"/>
      <c r="F176" s="3226">
        <v>2780</v>
      </c>
      <c r="G176" s="3226"/>
    </row>
    <row r="177" spans="1:7" s="3215" customFormat="1" ht="14.25" customHeight="1">
      <c r="A177" s="3226" t="s">
        <v>29</v>
      </c>
      <c r="B177" s="3226" t="s">
        <v>3080</v>
      </c>
      <c r="C177" s="3226"/>
      <c r="D177" s="3226"/>
      <c r="E177" s="3226"/>
      <c r="F177" s="3226">
        <v>2780</v>
      </c>
      <c r="G177" s="3226"/>
    </row>
    <row r="178" spans="1:7" s="3215" customFormat="1" ht="14.25" customHeight="1">
      <c r="A178" s="3226" t="s">
        <v>29</v>
      </c>
      <c r="B178" s="3226" t="s">
        <v>3081</v>
      </c>
      <c r="C178" s="3226"/>
      <c r="D178" s="3226"/>
      <c r="E178" s="3226"/>
      <c r="F178" s="3226">
        <v>2060</v>
      </c>
      <c r="G178" s="3226"/>
    </row>
    <row r="179" spans="1:7" s="3215" customFormat="1" ht="14.25" customHeight="1">
      <c r="A179" s="3226" t="s">
        <v>29</v>
      </c>
      <c r="B179" s="3226" t="s">
        <v>3082</v>
      </c>
      <c r="C179" s="3226"/>
      <c r="D179" s="3226"/>
      <c r="E179" s="3226"/>
      <c r="F179" s="3226">
        <v>2120</v>
      </c>
      <c r="G179" s="3226"/>
    </row>
    <row r="180" spans="1:7" s="3215" customFormat="1" ht="14.25" customHeight="1">
      <c r="A180" s="3226" t="s">
        <v>29</v>
      </c>
      <c r="B180" s="3226" t="s">
        <v>3054</v>
      </c>
      <c r="C180" s="3226"/>
      <c r="D180" s="3226"/>
      <c r="E180" s="3226"/>
      <c r="F180" s="3226">
        <v>2340</v>
      </c>
      <c r="G180" s="3226"/>
    </row>
    <row r="181" spans="1:7" s="3215" customFormat="1" ht="14.25" customHeight="1">
      <c r="A181" s="3226" t="s">
        <v>29</v>
      </c>
      <c r="B181" s="3226" t="s">
        <v>3055</v>
      </c>
      <c r="C181" s="3226"/>
      <c r="D181" s="3226"/>
      <c r="E181" s="3226"/>
      <c r="F181" s="3226">
        <v>2340</v>
      </c>
      <c r="G181" s="3226"/>
    </row>
    <row r="182" spans="1:7" s="3215" customFormat="1" ht="14.25" customHeight="1">
      <c r="A182" s="3226" t="s">
        <v>29</v>
      </c>
      <c r="B182" s="3226" t="s">
        <v>3056</v>
      </c>
      <c r="C182" s="3226"/>
      <c r="D182" s="3226"/>
      <c r="E182" s="3226"/>
      <c r="F182" s="3226">
        <v>2340</v>
      </c>
      <c r="G182" s="3226"/>
    </row>
    <row r="183" spans="1:7" s="3215" customFormat="1" ht="14.25" customHeight="1">
      <c r="A183" s="3226" t="s">
        <v>29</v>
      </c>
      <c r="B183" s="3226" t="s">
        <v>3057</v>
      </c>
      <c r="C183" s="3226"/>
      <c r="D183" s="3226"/>
      <c r="E183" s="3226"/>
      <c r="F183" s="3226">
        <v>2340</v>
      </c>
      <c r="G183" s="3226"/>
    </row>
    <row r="184" spans="1:7" s="3215" customFormat="1" ht="14.25" customHeight="1">
      <c r="A184" s="3226" t="s">
        <v>29</v>
      </c>
      <c r="B184" s="3226" t="s">
        <v>3058</v>
      </c>
      <c r="C184" s="3226"/>
      <c r="D184" s="3226"/>
      <c r="E184" s="3226"/>
      <c r="F184" s="3226">
        <v>2340</v>
      </c>
      <c r="G184" s="3226"/>
    </row>
    <row r="185" spans="1:7" s="3215" customFormat="1" ht="14.25" customHeight="1">
      <c r="A185" s="3226" t="s">
        <v>29</v>
      </c>
      <c r="B185" s="3226" t="s">
        <v>3059</v>
      </c>
      <c r="C185" s="3226"/>
      <c r="D185" s="3226"/>
      <c r="E185" s="3226"/>
      <c r="F185" s="3226">
        <v>2530</v>
      </c>
      <c r="G185" s="3226"/>
    </row>
    <row r="186" spans="1:7" s="3215" customFormat="1" ht="14.25" customHeight="1">
      <c r="A186" s="3226" t="s">
        <v>29</v>
      </c>
      <c r="B186" s="3226" t="s">
        <v>3060</v>
      </c>
      <c r="C186" s="3226"/>
      <c r="D186" s="3226"/>
      <c r="E186" s="3226"/>
      <c r="F186" s="3226">
        <v>2550</v>
      </c>
      <c r="G186" s="3226"/>
    </row>
    <row r="187" spans="1:7" s="3215" customFormat="1" ht="14.25" customHeight="1">
      <c r="A187" s="3226" t="s">
        <v>29</v>
      </c>
      <c r="B187" s="3226" t="s">
        <v>3061</v>
      </c>
      <c r="C187" s="3226"/>
      <c r="D187" s="3226"/>
      <c r="E187" s="3226"/>
      <c r="F187" s="3226">
        <v>2070</v>
      </c>
      <c r="G187" s="3226"/>
    </row>
    <row r="188" spans="1:7" s="3215" customFormat="1" ht="14.25" customHeight="1">
      <c r="A188" s="3226" t="s">
        <v>29</v>
      </c>
      <c r="B188" s="3226" t="s">
        <v>3062</v>
      </c>
      <c r="C188" s="3226"/>
      <c r="D188" s="3226"/>
      <c r="E188" s="3226"/>
      <c r="F188" s="3226">
        <v>2340</v>
      </c>
      <c r="G188" s="3226"/>
    </row>
    <row r="189" spans="1:7" s="3215" customFormat="1" ht="14.25" customHeight="1" thickBot="1">
      <c r="A189" s="3234" t="s">
        <v>29</v>
      </c>
      <c r="B189" s="3237" t="s">
        <v>3063</v>
      </c>
      <c r="C189" s="3237"/>
      <c r="D189" s="3237"/>
      <c r="E189" s="3237"/>
      <c r="F189" s="3237">
        <v>2050</v>
      </c>
      <c r="G189" s="3237"/>
    </row>
    <row r="190" spans="1:7" s="3215" customFormat="1" ht="14.25" customHeight="1">
      <c r="A190" s="3231" t="s">
        <v>304</v>
      </c>
      <c r="B190" s="3222" t="s">
        <v>3083</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3084</v>
      </c>
      <c r="C199" s="3226">
        <v>8690</v>
      </c>
      <c r="D199" s="3226">
        <v>8630</v>
      </c>
      <c r="E199" s="3226">
        <v>11350</v>
      </c>
      <c r="F199" s="3226">
        <v>1600</v>
      </c>
      <c r="G199" s="3239">
        <v>5450</v>
      </c>
    </row>
    <row r="200" spans="1:7" s="3215" customFormat="1" ht="14.25" customHeight="1">
      <c r="A200" s="3226" t="s">
        <v>304</v>
      </c>
      <c r="B200" s="3226" t="s">
        <v>2895</v>
      </c>
      <c r="C200" s="3226"/>
      <c r="D200" s="3226"/>
      <c r="E200" s="3226"/>
      <c r="F200" s="3226">
        <v>1510</v>
      </c>
      <c r="G200" s="3239"/>
    </row>
    <row r="201" spans="1:7" s="3215" customFormat="1" ht="14.25" customHeight="1">
      <c r="A201" s="3226" t="s">
        <v>304</v>
      </c>
      <c r="B201" s="3226" t="s">
        <v>3085</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3086</v>
      </c>
      <c r="C203" s="3226">
        <v>8130</v>
      </c>
      <c r="D203" s="3226">
        <v>8070</v>
      </c>
      <c r="E203" s="3226">
        <v>10820</v>
      </c>
      <c r="F203" s="3226">
        <v>1690</v>
      </c>
      <c r="G203" s="3239">
        <v>5100</v>
      </c>
    </row>
    <row r="204" spans="1:7" s="3215" customFormat="1" ht="14.25" customHeight="1">
      <c r="A204" s="3226" t="s">
        <v>304</v>
      </c>
      <c r="B204" s="3226" t="s">
        <v>2906</v>
      </c>
      <c r="C204" s="3226">
        <v>8350</v>
      </c>
      <c r="D204" s="3226">
        <v>8290</v>
      </c>
      <c r="E204" s="3226">
        <v>11080</v>
      </c>
      <c r="F204" s="3226">
        <v>1450</v>
      </c>
      <c r="G204" s="3239">
        <v>5240</v>
      </c>
    </row>
    <row r="205" spans="1:7" s="3215" customFormat="1" ht="14.25" customHeight="1">
      <c r="A205" s="3226" t="s">
        <v>304</v>
      </c>
      <c r="B205" s="3226" t="s">
        <v>2908</v>
      </c>
      <c r="C205" s="3226">
        <v>7190</v>
      </c>
      <c r="D205" s="3226">
        <v>7130</v>
      </c>
      <c r="E205" s="3226">
        <v>9490</v>
      </c>
      <c r="F205" s="3226">
        <v>1470</v>
      </c>
      <c r="G205" s="3239">
        <v>4510</v>
      </c>
    </row>
    <row r="206" spans="1:7" s="3215" customFormat="1" ht="14.25" customHeight="1">
      <c r="A206" s="3226" t="s">
        <v>304</v>
      </c>
      <c r="B206" s="3226" t="s">
        <v>2911</v>
      </c>
      <c r="C206" s="3226">
        <v>7000</v>
      </c>
      <c r="D206" s="3226">
        <v>6950</v>
      </c>
      <c r="E206" s="3226">
        <v>9170</v>
      </c>
      <c r="F206" s="3226">
        <v>1400</v>
      </c>
      <c r="G206" s="3239">
        <v>4380</v>
      </c>
    </row>
    <row r="207" spans="1:7" s="3215" customFormat="1" ht="14.25" customHeight="1">
      <c r="A207" s="3226" t="s">
        <v>304</v>
      </c>
      <c r="B207" s="3226" t="s">
        <v>2913</v>
      </c>
      <c r="C207" s="3226">
        <v>6950</v>
      </c>
      <c r="D207" s="3226">
        <v>6900</v>
      </c>
      <c r="E207" s="3226">
        <v>9110</v>
      </c>
      <c r="F207" s="3226">
        <v>1790</v>
      </c>
      <c r="G207" s="3239">
        <v>4360</v>
      </c>
    </row>
    <row r="208" spans="1:7" s="3215" customFormat="1" ht="14.25" customHeight="1">
      <c r="A208" s="3226" t="s">
        <v>304</v>
      </c>
      <c r="B208" s="3226" t="s">
        <v>3087</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2923</v>
      </c>
      <c r="C210" s="3226">
        <v>8710</v>
      </c>
      <c r="D210" s="3226">
        <v>8660</v>
      </c>
      <c r="E210" s="3226">
        <v>11440</v>
      </c>
      <c r="F210" s="3226">
        <v>1740</v>
      </c>
      <c r="G210" s="3239">
        <v>5470</v>
      </c>
    </row>
    <row r="211" spans="1:7" s="3215" customFormat="1" ht="14.25" customHeight="1">
      <c r="A211" s="3226" t="s">
        <v>304</v>
      </c>
      <c r="B211" s="3226" t="s">
        <v>3088</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3089</v>
      </c>
      <c r="C214" s="3226">
        <v>8090</v>
      </c>
      <c r="D214" s="3226">
        <v>8030</v>
      </c>
      <c r="E214" s="3226">
        <v>10780</v>
      </c>
      <c r="F214" s="3226">
        <v>1570</v>
      </c>
      <c r="G214" s="3239">
        <v>5070</v>
      </c>
    </row>
    <row r="215" spans="1:7" s="3215" customFormat="1" ht="14.25" customHeight="1">
      <c r="A215" s="3226" t="s">
        <v>304</v>
      </c>
      <c r="B215" s="3226" t="s">
        <v>3090</v>
      </c>
      <c r="C215" s="3226">
        <v>7950</v>
      </c>
      <c r="D215" s="3226">
        <v>7900</v>
      </c>
      <c r="E215" s="3226">
        <v>10560</v>
      </c>
      <c r="F215" s="3226">
        <v>1630</v>
      </c>
      <c r="G215" s="3239">
        <v>4990</v>
      </c>
    </row>
    <row r="216" spans="1:7" s="3215" customFormat="1" ht="14.25" customHeight="1">
      <c r="A216" s="3226" t="s">
        <v>304</v>
      </c>
      <c r="B216" s="3226" t="s">
        <v>3091</v>
      </c>
      <c r="C216" s="3226">
        <v>8490</v>
      </c>
      <c r="D216" s="3226">
        <v>8440</v>
      </c>
      <c r="E216" s="3226">
        <v>11260</v>
      </c>
      <c r="F216" s="3226">
        <v>1690</v>
      </c>
      <c r="G216" s="3239">
        <v>5330</v>
      </c>
    </row>
    <row r="217" spans="1:7" s="3215" customFormat="1" ht="14.25" customHeight="1">
      <c r="A217" s="3226" t="s">
        <v>304</v>
      </c>
      <c r="B217" s="3226" t="s">
        <v>2956</v>
      </c>
      <c r="C217" s="3226">
        <v>8200</v>
      </c>
      <c r="D217" s="3226">
        <v>8150</v>
      </c>
      <c r="E217" s="3226">
        <v>10910</v>
      </c>
      <c r="F217" s="3226">
        <v>1670</v>
      </c>
      <c r="G217" s="3239">
        <v>5150</v>
      </c>
    </row>
    <row r="218" spans="1:7" s="3215" customFormat="1" ht="14.25" customHeight="1">
      <c r="A218" s="3226" t="s">
        <v>304</v>
      </c>
      <c r="B218" s="3226" t="s">
        <v>3092</v>
      </c>
      <c r="C218" s="3226"/>
      <c r="D218" s="3226"/>
      <c r="E218" s="3226"/>
      <c r="F218" s="3226">
        <v>2040</v>
      </c>
      <c r="G218" s="3239"/>
    </row>
    <row r="219" spans="1:7" s="3215" customFormat="1" ht="14.25" customHeight="1">
      <c r="A219" s="3226" t="s">
        <v>304</v>
      </c>
      <c r="B219" s="3226" t="s">
        <v>3093</v>
      </c>
      <c r="C219" s="3226"/>
      <c r="D219" s="3226"/>
      <c r="E219" s="3226"/>
      <c r="F219" s="3226">
        <v>2040</v>
      </c>
      <c r="G219" s="3239"/>
    </row>
    <row r="220" spans="1:7" s="3215" customFormat="1" ht="14.25" customHeight="1">
      <c r="A220" s="3226" t="s">
        <v>304</v>
      </c>
      <c r="B220" s="3226" t="s">
        <v>3094</v>
      </c>
      <c r="C220" s="3226"/>
      <c r="D220" s="3226"/>
      <c r="E220" s="3226"/>
      <c r="F220" s="3226">
        <v>2040</v>
      </c>
      <c r="G220" s="3239"/>
    </row>
    <row r="221" spans="1:7" s="3215" customFormat="1" ht="14.25" customHeight="1">
      <c r="A221" s="3226" t="s">
        <v>304</v>
      </c>
      <c r="B221" s="3226" t="s">
        <v>3095</v>
      </c>
      <c r="C221" s="3226"/>
      <c r="D221" s="3226"/>
      <c r="E221" s="3226"/>
      <c r="F221" s="3226">
        <v>2040</v>
      </c>
      <c r="G221" s="3239"/>
    </row>
    <row r="222" spans="1:7" s="3215" customFormat="1" ht="14.25" customHeight="1">
      <c r="A222" s="3226" t="s">
        <v>304</v>
      </c>
      <c r="B222" s="3226" t="s">
        <v>3096</v>
      </c>
      <c r="C222" s="3226"/>
      <c r="D222" s="3226"/>
      <c r="E222" s="3226"/>
      <c r="F222" s="3226">
        <v>2040</v>
      </c>
      <c r="G222" s="3239"/>
    </row>
    <row r="223" spans="1:7" s="3215" customFormat="1" ht="14.25" customHeight="1">
      <c r="A223" s="3226" t="s">
        <v>304</v>
      </c>
      <c r="B223" s="3226" t="s">
        <v>3097</v>
      </c>
      <c r="C223" s="3226"/>
      <c r="D223" s="3226"/>
      <c r="E223" s="3226"/>
      <c r="F223" s="3226">
        <v>1930</v>
      </c>
      <c r="G223" s="3239"/>
    </row>
    <row r="224" spans="1:7" s="3215" customFormat="1" ht="14.25" customHeight="1">
      <c r="A224" s="3226" t="s">
        <v>304</v>
      </c>
      <c r="B224" s="3226" t="s">
        <v>3098</v>
      </c>
      <c r="C224" s="3226"/>
      <c r="D224" s="3226"/>
      <c r="E224" s="3226"/>
      <c r="F224" s="3226">
        <v>1930</v>
      </c>
      <c r="G224" s="3239"/>
    </row>
    <row r="225" spans="1:7" s="3215" customFormat="1" ht="14.25" customHeight="1">
      <c r="A225" s="3226" t="s">
        <v>304</v>
      </c>
      <c r="B225" s="3226" t="s">
        <v>3099</v>
      </c>
      <c r="C225" s="3226"/>
      <c r="D225" s="3226"/>
      <c r="E225" s="3226"/>
      <c r="F225" s="3226">
        <v>1930</v>
      </c>
      <c r="G225" s="3239"/>
    </row>
    <row r="226" spans="1:7" s="3215" customFormat="1" ht="14.25" customHeight="1">
      <c r="A226" s="3226" t="s">
        <v>304</v>
      </c>
      <c r="B226" s="3226" t="s">
        <v>3100</v>
      </c>
      <c r="C226" s="3226"/>
      <c r="D226" s="3226"/>
      <c r="E226" s="3226"/>
      <c r="F226" s="3226">
        <v>1700</v>
      </c>
      <c r="G226" s="3239"/>
    </row>
    <row r="227" spans="1:7" s="3215" customFormat="1" ht="14.25" customHeight="1">
      <c r="A227" s="3226" t="s">
        <v>304</v>
      </c>
      <c r="B227" s="3226" t="s">
        <v>3101</v>
      </c>
      <c r="C227" s="3226"/>
      <c r="D227" s="3226"/>
      <c r="E227" s="3226"/>
      <c r="F227" s="3226">
        <v>1520</v>
      </c>
      <c r="G227" s="3239"/>
    </row>
    <row r="228" spans="1:7" s="3215" customFormat="1" ht="14.25" customHeight="1">
      <c r="A228" s="3226" t="s">
        <v>304</v>
      </c>
      <c r="B228" s="3226" t="s">
        <v>3102</v>
      </c>
      <c r="C228" s="3226"/>
      <c r="D228" s="3226"/>
      <c r="E228" s="3226"/>
      <c r="F228" s="3226">
        <v>1520</v>
      </c>
      <c r="G228" s="3239"/>
    </row>
    <row r="229" spans="1:7" s="3215" customFormat="1" ht="14.25" customHeight="1">
      <c r="A229" s="3226" t="s">
        <v>304</v>
      </c>
      <c r="B229" s="3226" t="s">
        <v>3019</v>
      </c>
      <c r="C229" s="3226"/>
      <c r="D229" s="3226"/>
      <c r="E229" s="3226"/>
      <c r="F229" s="3226">
        <v>1520</v>
      </c>
      <c r="G229" s="3239"/>
    </row>
    <row r="230" spans="1:7" s="3215" customFormat="1" ht="14.25" customHeight="1">
      <c r="A230" s="3226" t="s">
        <v>304</v>
      </c>
      <c r="B230" s="3226" t="s">
        <v>3103</v>
      </c>
      <c r="C230" s="3226"/>
      <c r="D230" s="3226"/>
      <c r="E230" s="3226"/>
      <c r="F230" s="3226">
        <v>1820</v>
      </c>
      <c r="G230" s="3239"/>
    </row>
    <row r="231" spans="1:7" s="3215" customFormat="1" ht="14.25" customHeight="1">
      <c r="A231" s="3226" t="s">
        <v>304</v>
      </c>
      <c r="B231" s="3226" t="s">
        <v>3104</v>
      </c>
      <c r="C231" s="3226"/>
      <c r="D231" s="3226"/>
      <c r="E231" s="3226"/>
      <c r="F231" s="3226">
        <v>1760</v>
      </c>
      <c r="G231" s="3239"/>
    </row>
    <row r="232" spans="1:7" s="3215" customFormat="1" ht="14.25" customHeight="1">
      <c r="A232" s="3226" t="s">
        <v>304</v>
      </c>
      <c r="B232" s="3226" t="s">
        <v>3105</v>
      </c>
      <c r="C232" s="3226"/>
      <c r="D232" s="3226"/>
      <c r="E232" s="3226"/>
      <c r="F232" s="3226">
        <v>1840</v>
      </c>
      <c r="G232" s="3239"/>
    </row>
    <row r="233" spans="1:7" s="3215" customFormat="1" ht="14.25" customHeight="1" thickBot="1">
      <c r="A233" s="3240" t="s">
        <v>304</v>
      </c>
      <c r="B233" s="3233" t="s">
        <v>3036</v>
      </c>
      <c r="C233" s="3233"/>
      <c r="D233" s="3233"/>
      <c r="E233" s="3233"/>
      <c r="F233" s="3233">
        <v>1770</v>
      </c>
      <c r="G233" s="3241"/>
    </row>
    <row r="234" spans="1:7" s="3215" customFormat="1" ht="14.25" customHeight="1">
      <c r="A234" s="3231" t="s">
        <v>305</v>
      </c>
      <c r="B234" s="3222" t="s">
        <v>3106</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2877</v>
      </c>
      <c r="C238" s="3226">
        <v>6920</v>
      </c>
      <c r="D238" s="3226">
        <v>6890</v>
      </c>
      <c r="E238" s="3226">
        <v>8640</v>
      </c>
      <c r="F238" s="3226">
        <v>1310</v>
      </c>
      <c r="G238" s="3226">
        <v>4230</v>
      </c>
    </row>
    <row r="239" spans="1:7" s="3215" customFormat="1" ht="14.25" customHeight="1">
      <c r="A239" s="3226" t="s">
        <v>305</v>
      </c>
      <c r="B239" s="3226" t="s">
        <v>3107</v>
      </c>
      <c r="C239" s="3226">
        <v>6780</v>
      </c>
      <c r="D239" s="3226">
        <v>6750</v>
      </c>
      <c r="E239" s="3226">
        <v>8440</v>
      </c>
      <c r="F239" s="3226">
        <v>1160</v>
      </c>
      <c r="G239" s="3226">
        <v>4140</v>
      </c>
    </row>
    <row r="240" spans="1:7" s="3215" customFormat="1" ht="14.25" customHeight="1">
      <c r="A240" s="3226" t="s">
        <v>305</v>
      </c>
      <c r="B240" s="3226" t="s">
        <v>3108</v>
      </c>
      <c r="C240" s="3226">
        <v>5420</v>
      </c>
      <c r="D240" s="3226">
        <v>5380</v>
      </c>
      <c r="E240" s="3226">
        <v>6640</v>
      </c>
      <c r="F240" s="3226">
        <v>1020</v>
      </c>
      <c r="G240" s="3226">
        <v>3300</v>
      </c>
    </row>
    <row r="241" spans="1:7" s="3215" customFormat="1" ht="14.25" customHeight="1">
      <c r="A241" s="3226" t="s">
        <v>305</v>
      </c>
      <c r="B241" s="3226" t="s">
        <v>3109</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3110</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3111</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3112</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3113</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3114</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2939</v>
      </c>
      <c r="C258" s="3226">
        <v>6190</v>
      </c>
      <c r="D258" s="3226">
        <v>6160</v>
      </c>
      <c r="E258" s="3226">
        <v>7680</v>
      </c>
      <c r="F258" s="3226">
        <v>1170</v>
      </c>
      <c r="G258" s="3226">
        <v>3780</v>
      </c>
    </row>
    <row r="259" spans="1:7" s="3215" customFormat="1" ht="14.25" customHeight="1">
      <c r="A259" s="3226" t="s">
        <v>305</v>
      </c>
      <c r="B259" s="3226" t="s">
        <v>3115</v>
      </c>
      <c r="C259" s="3226">
        <v>7610</v>
      </c>
      <c r="D259" s="3226">
        <v>7570</v>
      </c>
      <c r="E259" s="3226">
        <v>9350</v>
      </c>
      <c r="F259" s="3226">
        <v>1350</v>
      </c>
      <c r="G259" s="3226">
        <v>4650</v>
      </c>
    </row>
    <row r="260" spans="1:7" s="3215" customFormat="1" ht="14.25" customHeight="1">
      <c r="A260" s="3226" t="s">
        <v>305</v>
      </c>
      <c r="B260" s="3226" t="s">
        <v>3116</v>
      </c>
      <c r="C260" s="3226">
        <v>6920</v>
      </c>
      <c r="D260" s="3226">
        <v>6880</v>
      </c>
      <c r="E260" s="3226">
        <v>8380</v>
      </c>
      <c r="F260" s="3226">
        <v>1160</v>
      </c>
      <c r="G260" s="3226">
        <v>4220</v>
      </c>
    </row>
    <row r="261" spans="1:7" s="3215" customFormat="1" ht="14.25" customHeight="1">
      <c r="A261" s="3226" t="s">
        <v>305</v>
      </c>
      <c r="B261" s="3226" t="s">
        <v>3117</v>
      </c>
      <c r="C261" s="3226">
        <v>6850</v>
      </c>
      <c r="D261" s="3226">
        <v>6810</v>
      </c>
      <c r="E261" s="3226">
        <v>8290</v>
      </c>
      <c r="F261" s="3226">
        <v>1130</v>
      </c>
      <c r="G261" s="3226">
        <v>4180</v>
      </c>
    </row>
    <row r="262" spans="1:7" s="3215" customFormat="1" ht="14.25" customHeight="1">
      <c r="A262" s="3226" t="s">
        <v>305</v>
      </c>
      <c r="B262" s="3226" t="s">
        <v>3118</v>
      </c>
      <c r="C262" s="3226">
        <v>5860</v>
      </c>
      <c r="D262" s="3226">
        <v>5820</v>
      </c>
      <c r="E262" s="3226">
        <v>7640</v>
      </c>
      <c r="F262" s="3226">
        <v>1070</v>
      </c>
      <c r="G262" s="3226">
        <v>3570</v>
      </c>
    </row>
    <row r="263" spans="1:7" s="3215" customFormat="1" ht="14.25" customHeight="1">
      <c r="A263" s="3226" t="s">
        <v>305</v>
      </c>
      <c r="B263" s="3226" t="s">
        <v>3119</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3120</v>
      </c>
      <c r="C265" s="3226"/>
      <c r="D265" s="3226"/>
      <c r="E265" s="3226"/>
      <c r="F265" s="3226">
        <v>1500</v>
      </c>
      <c r="G265" s="3226"/>
    </row>
    <row r="266" spans="1:7" s="3215" customFormat="1" ht="14.25" customHeight="1">
      <c r="A266" s="3226" t="s">
        <v>305</v>
      </c>
      <c r="B266" s="3226" t="s">
        <v>3121</v>
      </c>
      <c r="C266" s="3226"/>
      <c r="D266" s="3226"/>
      <c r="E266" s="3226"/>
      <c r="F266" s="3226">
        <v>1500</v>
      </c>
      <c r="G266" s="3226"/>
    </row>
    <row r="267" spans="1:7" s="3215" customFormat="1" ht="14.25" customHeight="1">
      <c r="A267" s="3226" t="s">
        <v>305</v>
      </c>
      <c r="B267" s="3226" t="s">
        <v>3122</v>
      </c>
      <c r="C267" s="3226"/>
      <c r="D267" s="3226"/>
      <c r="E267" s="3226"/>
      <c r="F267" s="3226">
        <v>1500</v>
      </c>
      <c r="G267" s="3226"/>
    </row>
    <row r="268" spans="1:7" s="3215" customFormat="1" ht="14.25" customHeight="1">
      <c r="A268" s="3226" t="s">
        <v>305</v>
      </c>
      <c r="B268" s="3226" t="s">
        <v>3123</v>
      </c>
      <c r="C268" s="3226"/>
      <c r="D268" s="3226"/>
      <c r="E268" s="3226"/>
      <c r="F268" s="3226">
        <v>1290</v>
      </c>
      <c r="G268" s="3226"/>
    </row>
    <row r="269" spans="1:7" s="3215" customFormat="1" ht="14.25" customHeight="1">
      <c r="A269" s="3226" t="s">
        <v>305</v>
      </c>
      <c r="B269" s="3226" t="s">
        <v>3124</v>
      </c>
      <c r="C269" s="3226"/>
      <c r="D269" s="3226"/>
      <c r="E269" s="3226"/>
      <c r="F269" s="3226">
        <v>1150</v>
      </c>
      <c r="G269" s="3226"/>
    </row>
    <row r="270" spans="1:7" s="3215" customFormat="1" ht="14.25" customHeight="1">
      <c r="A270" s="3226" t="s">
        <v>305</v>
      </c>
      <c r="B270" s="3226" t="s">
        <v>3125</v>
      </c>
      <c r="C270" s="3226"/>
      <c r="D270" s="3226"/>
      <c r="E270" s="3226"/>
      <c r="F270" s="3226">
        <v>1380</v>
      </c>
      <c r="G270" s="3226"/>
    </row>
    <row r="271" spans="1:7" s="3215" customFormat="1" ht="14.25" customHeight="1">
      <c r="A271" s="3226" t="s">
        <v>305</v>
      </c>
      <c r="B271" s="3226" t="s">
        <v>3126</v>
      </c>
      <c r="C271" s="3226"/>
      <c r="D271" s="3226"/>
      <c r="E271" s="3226"/>
      <c r="F271" s="3226">
        <v>1460</v>
      </c>
      <c r="G271" s="3226"/>
    </row>
    <row r="272" spans="1:7" s="3215" customFormat="1" ht="14.25" customHeight="1">
      <c r="A272" s="3226" t="s">
        <v>305</v>
      </c>
      <c r="B272" s="3226" t="s">
        <v>3127</v>
      </c>
      <c r="C272" s="3226"/>
      <c r="D272" s="3226"/>
      <c r="E272" s="3226"/>
      <c r="F272" s="3226">
        <v>1460</v>
      </c>
      <c r="G272" s="3226"/>
    </row>
    <row r="273" spans="1:7" s="3215" customFormat="1" ht="14.25" customHeight="1">
      <c r="A273" s="3226" t="s">
        <v>305</v>
      </c>
      <c r="B273" s="3226" t="s">
        <v>3020</v>
      </c>
      <c r="C273" s="3226"/>
      <c r="D273" s="3226"/>
      <c r="E273" s="3226"/>
      <c r="F273" s="3226">
        <v>1490</v>
      </c>
      <c r="G273" s="3226"/>
    </row>
    <row r="274" spans="1:7" s="3215" customFormat="1" ht="14.25" customHeight="1">
      <c r="A274" s="3226" t="s">
        <v>305</v>
      </c>
      <c r="B274" s="3226" t="s">
        <v>3128</v>
      </c>
      <c r="C274" s="3226"/>
      <c r="D274" s="3226"/>
      <c r="E274" s="3226"/>
      <c r="F274" s="3226">
        <v>1490</v>
      </c>
      <c r="G274" s="3226"/>
    </row>
    <row r="275" spans="1:7" s="3215" customFormat="1" ht="14.25" customHeight="1">
      <c r="A275" s="3226" t="s">
        <v>305</v>
      </c>
      <c r="B275" s="3226" t="s">
        <v>3129</v>
      </c>
      <c r="C275" s="3226"/>
      <c r="D275" s="3226"/>
      <c r="E275" s="3226"/>
      <c r="F275" s="3226">
        <v>1220</v>
      </c>
      <c r="G275" s="3226"/>
    </row>
    <row r="276" spans="1:7" s="3215" customFormat="1" ht="14.25" customHeight="1" thickBot="1">
      <c r="A276" s="3234" t="s">
        <v>305</v>
      </c>
      <c r="B276" s="3236" t="s">
        <v>3130</v>
      </c>
      <c r="C276" s="3237"/>
      <c r="D276" s="3237"/>
      <c r="E276" s="3237"/>
      <c r="F276" s="3237">
        <v>1380</v>
      </c>
      <c r="G276" s="3237"/>
    </row>
    <row r="277" spans="1:7" s="3215" customFormat="1" ht="14.25" customHeight="1">
      <c r="A277" s="3231" t="s">
        <v>306</v>
      </c>
      <c r="B277" s="3222" t="s">
        <v>3131</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3132</v>
      </c>
      <c r="C279" s="3226">
        <v>4760</v>
      </c>
      <c r="D279" s="3226">
        <v>4720</v>
      </c>
      <c r="E279" s="3226">
        <v>5540</v>
      </c>
      <c r="F279" s="3226">
        <v>810</v>
      </c>
      <c r="G279" s="3239">
        <v>2850</v>
      </c>
    </row>
    <row r="280" spans="1:7" s="3215" customFormat="1" ht="14.25" customHeight="1">
      <c r="A280" s="3226" t="s">
        <v>306</v>
      </c>
      <c r="B280" s="3226" t="s">
        <v>3133</v>
      </c>
      <c r="C280" s="3226">
        <v>4010</v>
      </c>
      <c r="D280" s="3226">
        <v>3950</v>
      </c>
      <c r="E280" s="3226">
        <v>4710</v>
      </c>
      <c r="F280" s="3226">
        <v>800</v>
      </c>
      <c r="G280" s="3239">
        <v>2390</v>
      </c>
    </row>
    <row r="281" spans="1:7" s="3215" customFormat="1" ht="14.25" customHeight="1">
      <c r="A281" s="3226" t="s">
        <v>306</v>
      </c>
      <c r="B281" s="3226" t="s">
        <v>3134</v>
      </c>
      <c r="C281" s="3226">
        <v>4480</v>
      </c>
      <c r="D281" s="3226">
        <v>4420</v>
      </c>
      <c r="E281" s="3226">
        <v>5230</v>
      </c>
      <c r="F281" s="3226">
        <v>870</v>
      </c>
      <c r="G281" s="3239">
        <v>2660</v>
      </c>
    </row>
    <row r="282" spans="1:7" s="3215" customFormat="1" ht="14.25" customHeight="1">
      <c r="A282" s="3226" t="s">
        <v>306</v>
      </c>
      <c r="B282" s="3226" t="s">
        <v>3135</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3136</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3137</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2912</v>
      </c>
      <c r="C293" s="3226">
        <v>5320</v>
      </c>
      <c r="D293" s="3226">
        <v>5270</v>
      </c>
      <c r="E293" s="3226">
        <v>6160</v>
      </c>
      <c r="F293" s="3226">
        <v>990</v>
      </c>
      <c r="G293" s="3239">
        <v>3170</v>
      </c>
    </row>
    <row r="294" spans="1:7" s="3215" customFormat="1" ht="14.25" customHeight="1">
      <c r="A294" s="3226" t="s">
        <v>306</v>
      </c>
      <c r="B294" s="3226" t="s">
        <v>3138</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2931</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3139</v>
      </c>
      <c r="C302" s="3226">
        <v>5520</v>
      </c>
      <c r="D302" s="3226">
        <v>5470</v>
      </c>
      <c r="E302" s="3226">
        <v>6410</v>
      </c>
      <c r="F302" s="3226">
        <v>950</v>
      </c>
      <c r="G302" s="3239">
        <v>3300</v>
      </c>
    </row>
    <row r="303" spans="1:7" s="3215" customFormat="1" ht="14.25" customHeight="1">
      <c r="A303" s="3226" t="s">
        <v>306</v>
      </c>
      <c r="B303" s="3226" t="s">
        <v>2951</v>
      </c>
      <c r="C303" s="3226">
        <v>5630</v>
      </c>
      <c r="D303" s="3226">
        <v>5590</v>
      </c>
      <c r="E303" s="3226">
        <v>6550</v>
      </c>
      <c r="F303" s="3226">
        <v>1010</v>
      </c>
      <c r="G303" s="3239">
        <v>3370</v>
      </c>
    </row>
    <row r="304" spans="1:7" s="3215" customFormat="1" ht="14.25" customHeight="1">
      <c r="A304" s="3226" t="s">
        <v>306</v>
      </c>
      <c r="B304" s="3226" t="s">
        <v>2958</v>
      </c>
      <c r="C304" s="3226">
        <v>5680</v>
      </c>
      <c r="D304" s="3226">
        <v>5620</v>
      </c>
      <c r="E304" s="3226">
        <v>6620</v>
      </c>
      <c r="F304" s="3226">
        <v>1050</v>
      </c>
      <c r="G304" s="3239">
        <v>3390</v>
      </c>
    </row>
    <row r="305" spans="1:7" s="3215" customFormat="1" ht="14.25" customHeight="1">
      <c r="A305" s="3226" t="s">
        <v>306</v>
      </c>
      <c r="B305" s="3226" t="s">
        <v>2964</v>
      </c>
      <c r="C305" s="3226">
        <v>5590</v>
      </c>
      <c r="D305" s="3226">
        <v>5530</v>
      </c>
      <c r="E305" s="3226">
        <v>6460</v>
      </c>
      <c r="F305" s="3226">
        <v>900</v>
      </c>
      <c r="G305" s="3239">
        <v>3340</v>
      </c>
    </row>
    <row r="306" spans="1:7" s="3215" customFormat="1" ht="14.25" customHeight="1">
      <c r="A306" s="3226" t="s">
        <v>306</v>
      </c>
      <c r="B306" s="3226" t="s">
        <v>3140</v>
      </c>
      <c r="C306" s="3226">
        <v>5560</v>
      </c>
      <c r="D306" s="3226">
        <v>5510</v>
      </c>
      <c r="E306" s="3226">
        <v>6440</v>
      </c>
      <c r="F306" s="3226">
        <v>900</v>
      </c>
      <c r="G306" s="3239">
        <v>3320</v>
      </c>
    </row>
    <row r="307" spans="1:7" s="3215" customFormat="1" ht="14.25" customHeight="1">
      <c r="A307" s="3226" t="s">
        <v>306</v>
      </c>
      <c r="B307" s="3226" t="s">
        <v>2976</v>
      </c>
      <c r="C307" s="3226">
        <v>5650</v>
      </c>
      <c r="D307" s="3226">
        <v>5600</v>
      </c>
      <c r="E307" s="3226">
        <v>6590</v>
      </c>
      <c r="F307" s="3226">
        <v>930</v>
      </c>
      <c r="G307" s="3239">
        <v>3380</v>
      </c>
    </row>
    <row r="308" spans="1:7" s="3215" customFormat="1" ht="14.25" customHeight="1">
      <c r="A308" s="3226" t="s">
        <v>306</v>
      </c>
      <c r="B308" s="3226" t="s">
        <v>3141</v>
      </c>
      <c r="C308" s="3226">
        <v>5620</v>
      </c>
      <c r="D308" s="3226">
        <v>5580</v>
      </c>
      <c r="E308" s="3226">
        <v>6540</v>
      </c>
      <c r="F308" s="3226">
        <v>910</v>
      </c>
      <c r="G308" s="3239">
        <v>3370</v>
      </c>
    </row>
    <row r="309" spans="1:7" s="3215" customFormat="1" ht="14.25" customHeight="1">
      <c r="A309" s="3226" t="s">
        <v>306</v>
      </c>
      <c r="B309" s="3226" t="s">
        <v>3142</v>
      </c>
      <c r="C309" s="3226">
        <v>5060</v>
      </c>
      <c r="D309" s="3226">
        <v>5020</v>
      </c>
      <c r="E309" s="3226">
        <v>6370</v>
      </c>
      <c r="F309" s="3226">
        <v>800</v>
      </c>
      <c r="G309" s="3239">
        <v>3020</v>
      </c>
    </row>
    <row r="310" spans="1:7" s="3215" customFormat="1" ht="14.25" customHeight="1">
      <c r="A310" s="3226" t="s">
        <v>306</v>
      </c>
      <c r="B310" s="3226" t="s">
        <v>2991</v>
      </c>
      <c r="C310" s="3226">
        <v>5150</v>
      </c>
      <c r="D310" s="3226">
        <v>5110</v>
      </c>
      <c r="E310" s="3226">
        <v>6500</v>
      </c>
      <c r="F310" s="3226">
        <v>880</v>
      </c>
      <c r="G310" s="3239">
        <v>3080</v>
      </c>
    </row>
    <row r="311" spans="1:7" s="3215" customFormat="1" ht="14.25" customHeight="1">
      <c r="A311" s="3226" t="s">
        <v>306</v>
      </c>
      <c r="B311" s="3226" t="s">
        <v>3143</v>
      </c>
      <c r="C311" s="3226">
        <v>4750</v>
      </c>
      <c r="D311" s="3226">
        <v>4710</v>
      </c>
      <c r="E311" s="3226">
        <v>5510</v>
      </c>
      <c r="F311" s="3226">
        <v>880</v>
      </c>
      <c r="G311" s="3239">
        <v>2840</v>
      </c>
    </row>
    <row r="312" spans="1:7" s="3215" customFormat="1" ht="14.25" customHeight="1">
      <c r="A312" s="3226" t="s">
        <v>306</v>
      </c>
      <c r="B312" s="3226" t="s">
        <v>3001</v>
      </c>
      <c r="C312" s="3226">
        <v>4690</v>
      </c>
      <c r="D312" s="3226">
        <v>4640</v>
      </c>
      <c r="E312" s="3226">
        <v>5420</v>
      </c>
      <c r="F312" s="3226">
        <v>800</v>
      </c>
      <c r="G312" s="3239">
        <v>2800</v>
      </c>
    </row>
    <row r="313" spans="1:7" s="3215" customFormat="1" ht="14.25" customHeight="1">
      <c r="A313" s="3226" t="s">
        <v>306</v>
      </c>
      <c r="B313" s="3226" t="s">
        <v>3006</v>
      </c>
      <c r="C313" s="3226">
        <v>4810</v>
      </c>
      <c r="D313" s="3226">
        <v>4760</v>
      </c>
      <c r="E313" s="3226">
        <v>5550</v>
      </c>
      <c r="F313" s="3226">
        <v>920</v>
      </c>
      <c r="G313" s="3239">
        <v>2870</v>
      </c>
    </row>
    <row r="314" spans="1:7" s="3215" customFormat="1" ht="14.25" customHeight="1">
      <c r="A314" s="3226" t="s">
        <v>306</v>
      </c>
      <c r="B314" s="3226" t="s">
        <v>3144</v>
      </c>
      <c r="C314" s="3226"/>
      <c r="D314" s="3226"/>
      <c r="E314" s="3226"/>
      <c r="F314" s="3226">
        <v>1020</v>
      </c>
      <c r="G314" s="3239"/>
    </row>
    <row r="315" spans="1:7" s="3215" customFormat="1" ht="14.25" customHeight="1">
      <c r="A315" s="3226" t="s">
        <v>306</v>
      </c>
      <c r="B315" s="3226" t="s">
        <v>3145</v>
      </c>
      <c r="C315" s="3226"/>
      <c r="D315" s="3226"/>
      <c r="E315" s="3226"/>
      <c r="F315" s="3226">
        <v>1050</v>
      </c>
      <c r="G315" s="3239"/>
    </row>
    <row r="316" spans="1:7" s="3215" customFormat="1" ht="14.25" customHeight="1">
      <c r="A316" s="3226" t="s">
        <v>306</v>
      </c>
      <c r="B316" s="3226" t="s">
        <v>3021</v>
      </c>
      <c r="C316" s="3226"/>
      <c r="D316" s="3226"/>
      <c r="E316" s="3226"/>
      <c r="F316" s="3226">
        <v>900</v>
      </c>
      <c r="G316" s="3239"/>
    </row>
    <row r="317" spans="1:7" s="3215" customFormat="1" ht="14.25" customHeight="1">
      <c r="A317" s="3226" t="s">
        <v>306</v>
      </c>
      <c r="B317" s="3226" t="s">
        <v>3146</v>
      </c>
      <c r="C317" s="3226"/>
      <c r="D317" s="3226"/>
      <c r="E317" s="3226"/>
      <c r="F317" s="3226">
        <v>920</v>
      </c>
      <c r="G317" s="3239"/>
    </row>
    <row r="318" spans="1:7" s="3215" customFormat="1" ht="14.25" customHeight="1">
      <c r="A318" s="3226" t="s">
        <v>306</v>
      </c>
      <c r="B318" s="3226" t="s">
        <v>3147</v>
      </c>
      <c r="C318" s="3226"/>
      <c r="D318" s="3226"/>
      <c r="E318" s="3226"/>
      <c r="F318" s="3226">
        <v>1080</v>
      </c>
      <c r="G318" s="3239"/>
    </row>
    <row r="319" spans="1:7" s="3215" customFormat="1" ht="14.25" customHeight="1">
      <c r="A319" s="3226" t="s">
        <v>306</v>
      </c>
      <c r="B319" s="3226" t="s">
        <v>3034</v>
      </c>
      <c r="C319" s="3226"/>
      <c r="D319" s="3226"/>
      <c r="E319" s="3226"/>
      <c r="F319" s="3226">
        <v>1020</v>
      </c>
      <c r="G319" s="3239"/>
    </row>
    <row r="320" spans="1:7" s="3215" customFormat="1" ht="14.25" customHeight="1">
      <c r="A320" s="3226" t="s">
        <v>306</v>
      </c>
      <c r="B320" s="3226" t="s">
        <v>3037</v>
      </c>
      <c r="C320" s="3226"/>
      <c r="D320" s="3226"/>
      <c r="E320" s="3226"/>
      <c r="F320" s="3226">
        <v>1050</v>
      </c>
      <c r="G320" s="3239"/>
    </row>
    <row r="321" spans="1:7" s="3215" customFormat="1" ht="14.25" customHeight="1">
      <c r="A321" s="3226" t="s">
        <v>306</v>
      </c>
      <c r="B321" s="3226" t="s">
        <v>3039</v>
      </c>
      <c r="C321" s="3226"/>
      <c r="D321" s="3226"/>
      <c r="E321" s="3226"/>
      <c r="F321" s="3226">
        <v>960</v>
      </c>
      <c r="G321" s="3239"/>
    </row>
    <row r="322" spans="1:7" s="3215" customFormat="1" ht="14.25" customHeight="1">
      <c r="A322" s="3226" t="s">
        <v>306</v>
      </c>
      <c r="B322" s="3226" t="s">
        <v>3041</v>
      </c>
      <c r="C322" s="3226"/>
      <c r="D322" s="3226"/>
      <c r="E322" s="3226"/>
      <c r="F322" s="3226">
        <v>960</v>
      </c>
      <c r="G322" s="3239"/>
    </row>
    <row r="323" spans="1:7" s="3215" customFormat="1" ht="14.25" customHeight="1">
      <c r="A323" s="3226" t="s">
        <v>306</v>
      </c>
      <c r="B323" s="3226" t="s">
        <v>3043</v>
      </c>
      <c r="C323" s="3226"/>
      <c r="D323" s="3226"/>
      <c r="E323" s="3226"/>
      <c r="F323" s="3226">
        <v>880</v>
      </c>
      <c r="G323" s="3239"/>
    </row>
    <row r="324" spans="1:7" s="3215" customFormat="1" ht="14.25" customHeight="1">
      <c r="A324" s="3226" t="s">
        <v>306</v>
      </c>
      <c r="B324" s="3226" t="s">
        <v>3045</v>
      </c>
      <c r="C324" s="3226"/>
      <c r="D324" s="3226"/>
      <c r="E324" s="3226"/>
      <c r="F324" s="3226">
        <v>930</v>
      </c>
      <c r="G324" s="3239"/>
    </row>
    <row r="325" spans="1:7" s="3215" customFormat="1" ht="14.25" customHeight="1">
      <c r="A325" s="3226" t="s">
        <v>306</v>
      </c>
      <c r="B325" s="3227" t="s">
        <v>3047</v>
      </c>
      <c r="C325" s="3226"/>
      <c r="D325" s="3226"/>
      <c r="E325" s="3226"/>
      <c r="F325" s="3226">
        <v>900</v>
      </c>
      <c r="G325" s="3239"/>
    </row>
    <row r="326" spans="1:7" s="3215" customFormat="1" ht="14.25" customHeight="1" thickBot="1">
      <c r="A326" s="3240" t="s">
        <v>306</v>
      </c>
      <c r="B326" s="3233" t="s">
        <v>3049</v>
      </c>
      <c r="C326" s="3233"/>
      <c r="D326" s="3233"/>
      <c r="E326" s="3233"/>
      <c r="F326" s="3233">
        <v>790</v>
      </c>
      <c r="G326" s="3241"/>
    </row>
    <row r="327" spans="1:7" s="3215" customFormat="1" ht="14.25" customHeight="1">
      <c r="A327" s="3231" t="s">
        <v>307</v>
      </c>
      <c r="B327" s="3222" t="s">
        <v>3148</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3149</v>
      </c>
      <c r="C329" s="3226">
        <v>2730</v>
      </c>
      <c r="D329" s="3226">
        <v>2690</v>
      </c>
      <c r="E329" s="3226">
        <v>3100</v>
      </c>
      <c r="F329" s="3226">
        <v>660</v>
      </c>
      <c r="G329" s="3226">
        <v>1610</v>
      </c>
    </row>
    <row r="330" spans="1:7" s="3215" customFormat="1" ht="14.25" customHeight="1">
      <c r="A330" s="3226" t="s">
        <v>307</v>
      </c>
      <c r="B330" s="3226" t="s">
        <v>3150</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2883</v>
      </c>
      <c r="C332" s="3226">
        <v>3520</v>
      </c>
      <c r="D332" s="3226">
        <v>3480</v>
      </c>
      <c r="E332" s="3226">
        <v>3830</v>
      </c>
      <c r="F332" s="3226">
        <v>720</v>
      </c>
      <c r="G332" s="3226">
        <v>2090</v>
      </c>
    </row>
    <row r="333" spans="1:7" s="3215" customFormat="1" ht="14.25" customHeight="1">
      <c r="A333" s="3226" t="s">
        <v>307</v>
      </c>
      <c r="B333" s="3226" t="s">
        <v>3151</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2893</v>
      </c>
      <c r="C336" s="3226">
        <v>3570</v>
      </c>
      <c r="D336" s="3226">
        <v>3530</v>
      </c>
      <c r="E336" s="3226">
        <v>3880</v>
      </c>
      <c r="F336" s="3226">
        <v>770</v>
      </c>
      <c r="G336" s="3226">
        <v>2110</v>
      </c>
    </row>
    <row r="337" spans="1:10" s="3215" customFormat="1" ht="14.25" customHeight="1">
      <c r="A337" s="3226" t="s">
        <v>307</v>
      </c>
      <c r="B337" s="3226" t="s">
        <v>3152</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3153</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3154</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2918</v>
      </c>
      <c r="C345" s="3226">
        <v>3190</v>
      </c>
      <c r="D345" s="3226">
        <v>3140</v>
      </c>
      <c r="E345" s="3226">
        <v>3450</v>
      </c>
      <c r="F345" s="3226">
        <v>720</v>
      </c>
      <c r="G345" s="3226">
        <v>1880</v>
      </c>
      <c r="J345" s="3215"/>
    </row>
    <row r="346" spans="1:10">
      <c r="A346" s="3226" t="s">
        <v>307</v>
      </c>
      <c r="B346" s="3226" t="s">
        <v>3155</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2927</v>
      </c>
      <c r="C348" s="3226">
        <v>4000</v>
      </c>
      <c r="D348" s="3226">
        <v>3950</v>
      </c>
      <c r="E348" s="3226">
        <v>4430</v>
      </c>
      <c r="F348" s="3226">
        <v>760</v>
      </c>
      <c r="G348" s="3226">
        <v>2360</v>
      </c>
      <c r="J348" s="3215"/>
    </row>
    <row r="349" spans="1:10">
      <c r="A349" s="3226" t="s">
        <v>307</v>
      </c>
      <c r="B349" s="3226" t="s">
        <v>2932</v>
      </c>
      <c r="C349" s="3226">
        <v>3820</v>
      </c>
      <c r="D349" s="3226">
        <v>3780</v>
      </c>
      <c r="E349" s="3226">
        <v>4170</v>
      </c>
      <c r="F349" s="3226">
        <v>710</v>
      </c>
      <c r="G349" s="3226">
        <v>2260</v>
      </c>
      <c r="J349" s="3215"/>
    </row>
    <row r="350" spans="1:10">
      <c r="A350" s="3226" t="s">
        <v>307</v>
      </c>
      <c r="B350" s="3226" t="s">
        <v>3156</v>
      </c>
      <c r="C350" s="3226">
        <v>3760</v>
      </c>
      <c r="D350" s="3226">
        <v>3730</v>
      </c>
      <c r="E350" s="3226">
        <v>4100</v>
      </c>
      <c r="F350" s="3226">
        <v>800</v>
      </c>
      <c r="G350" s="3226">
        <v>2230</v>
      </c>
      <c r="J350" s="3215"/>
    </row>
    <row r="351" spans="1:10">
      <c r="A351" s="3226" t="s">
        <v>307</v>
      </c>
      <c r="B351" s="3226" t="s">
        <v>2940</v>
      </c>
      <c r="C351" s="3226">
        <v>3610</v>
      </c>
      <c r="D351" s="3226">
        <v>3580</v>
      </c>
      <c r="E351" s="3226">
        <v>3930</v>
      </c>
      <c r="F351" s="3226">
        <v>700</v>
      </c>
      <c r="G351" s="3226">
        <v>2140</v>
      </c>
      <c r="J351" s="3215"/>
    </row>
    <row r="352" spans="1:10">
      <c r="A352" s="3226" t="s">
        <v>307</v>
      </c>
      <c r="B352" s="3226" t="s">
        <v>2945</v>
      </c>
      <c r="C352" s="3226">
        <v>3670</v>
      </c>
      <c r="D352" s="3226">
        <v>3630</v>
      </c>
      <c r="E352" s="3226">
        <v>4000</v>
      </c>
      <c r="F352" s="3226">
        <v>750</v>
      </c>
      <c r="G352" s="3226">
        <v>2180</v>
      </c>
    </row>
    <row r="353" spans="1:7" s="3219" customFormat="1">
      <c r="A353" s="3226" t="s">
        <v>307</v>
      </c>
      <c r="B353" s="3226" t="s">
        <v>3157</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2965</v>
      </c>
      <c r="C355" s="3226">
        <v>3650</v>
      </c>
      <c r="D355" s="3226">
        <v>3610</v>
      </c>
      <c r="E355" s="3226">
        <v>4200</v>
      </c>
      <c r="F355" s="3226">
        <v>640</v>
      </c>
      <c r="G355" s="3226">
        <v>2160</v>
      </c>
    </row>
    <row r="356" spans="1:7" s="3219" customFormat="1">
      <c r="A356" s="3226" t="s">
        <v>307</v>
      </c>
      <c r="B356" s="3226" t="s">
        <v>2972</v>
      </c>
      <c r="C356" s="3226">
        <v>3260</v>
      </c>
      <c r="D356" s="3226">
        <v>3230</v>
      </c>
      <c r="E356" s="3226">
        <v>3740</v>
      </c>
      <c r="F356" s="3226">
        <v>600</v>
      </c>
      <c r="G356" s="3226">
        <v>1930</v>
      </c>
    </row>
    <row r="357" spans="1:7" s="3219" customFormat="1" ht="12" thickBot="1">
      <c r="A357" s="3234" t="s">
        <v>307</v>
      </c>
      <c r="B357" s="3237" t="s">
        <v>3158</v>
      </c>
      <c r="C357" s="3237">
        <v>3690</v>
      </c>
      <c r="D357" s="3237">
        <v>3650</v>
      </c>
      <c r="E357" s="3237">
        <v>4020</v>
      </c>
      <c r="F357" s="3237">
        <v>700</v>
      </c>
      <c r="G357" s="3237">
        <v>2190</v>
      </c>
    </row>
    <row r="358" spans="1:7" s="3219" customFormat="1">
      <c r="A358" s="3231" t="s">
        <v>3159</v>
      </c>
      <c r="B358" s="3222" t="s">
        <v>3160</v>
      </c>
      <c r="C358" s="3222">
        <v>2080</v>
      </c>
      <c r="D358" s="3222">
        <v>2040</v>
      </c>
      <c r="E358" s="3222">
        <v>2010</v>
      </c>
      <c r="F358" s="3222">
        <v>530</v>
      </c>
      <c r="G358" s="3238">
        <v>1230</v>
      </c>
    </row>
    <row r="359" spans="1:7" s="3219" customFormat="1">
      <c r="A359" s="3226" t="s">
        <v>3159</v>
      </c>
      <c r="B359" s="3226" t="s">
        <v>3161</v>
      </c>
      <c r="C359" s="3226">
        <v>1850</v>
      </c>
      <c r="D359" s="3226">
        <v>1820</v>
      </c>
      <c r="E359" s="3226">
        <v>1780</v>
      </c>
      <c r="F359" s="3226">
        <v>520</v>
      </c>
      <c r="G359" s="3239">
        <v>1100</v>
      </c>
    </row>
    <row r="360" spans="1:7" s="3219" customFormat="1">
      <c r="A360" s="3226" t="s">
        <v>3159</v>
      </c>
      <c r="B360" s="3226" t="s">
        <v>3162</v>
      </c>
      <c r="C360" s="3226">
        <v>2020</v>
      </c>
      <c r="D360" s="3226">
        <v>1990</v>
      </c>
      <c r="E360" s="3226">
        <v>1950</v>
      </c>
      <c r="F360" s="3226">
        <v>500</v>
      </c>
      <c r="G360" s="3239">
        <v>1200</v>
      </c>
    </row>
    <row r="361" spans="1:7" s="3219" customFormat="1">
      <c r="A361" s="3226" t="s">
        <v>3159</v>
      </c>
      <c r="B361" s="3226" t="s">
        <v>153</v>
      </c>
      <c r="C361" s="3226">
        <v>2260</v>
      </c>
      <c r="D361" s="3226">
        <v>2220</v>
      </c>
      <c r="E361" s="3226">
        <v>2180</v>
      </c>
      <c r="F361" s="3226">
        <v>580</v>
      </c>
      <c r="G361" s="3239">
        <v>1340</v>
      </c>
    </row>
    <row r="362" spans="1:7" s="3219" customFormat="1">
      <c r="A362" s="3226" t="s">
        <v>3159</v>
      </c>
      <c r="B362" s="3226" t="s">
        <v>3163</v>
      </c>
      <c r="C362" s="3226">
        <v>2650</v>
      </c>
      <c r="D362" s="3226">
        <v>2610</v>
      </c>
      <c r="E362" s="3226">
        <v>2570</v>
      </c>
      <c r="F362" s="3226">
        <v>630</v>
      </c>
      <c r="G362" s="3239">
        <v>1570</v>
      </c>
    </row>
    <row r="363" spans="1:7" s="3219" customFormat="1">
      <c r="A363" s="3226" t="s">
        <v>3159</v>
      </c>
      <c r="B363" s="3226" t="s">
        <v>2884</v>
      </c>
      <c r="C363" s="3226">
        <v>2390</v>
      </c>
      <c r="D363" s="3226">
        <v>2360</v>
      </c>
      <c r="E363" s="3226">
        <v>2320</v>
      </c>
      <c r="F363" s="3226">
        <v>600</v>
      </c>
      <c r="G363" s="3239">
        <v>1420</v>
      </c>
    </row>
    <row r="364" spans="1:7" s="3219" customFormat="1">
      <c r="A364" s="3226" t="s">
        <v>3159</v>
      </c>
      <c r="B364" s="3226" t="s">
        <v>3164</v>
      </c>
      <c r="C364" s="3226">
        <v>2050</v>
      </c>
      <c r="D364" s="3226">
        <v>2030</v>
      </c>
      <c r="E364" s="3226">
        <v>1990</v>
      </c>
      <c r="F364" s="3226">
        <v>550</v>
      </c>
      <c r="G364" s="3239">
        <v>1220</v>
      </c>
    </row>
    <row r="365" spans="1:7" s="3219" customFormat="1">
      <c r="A365" s="3226" t="s">
        <v>3159</v>
      </c>
      <c r="B365" s="3226" t="s">
        <v>200</v>
      </c>
      <c r="C365" s="3226">
        <v>2140</v>
      </c>
      <c r="D365" s="3226">
        <v>2100</v>
      </c>
      <c r="E365" s="3226">
        <v>2060</v>
      </c>
      <c r="F365" s="3226">
        <v>540</v>
      </c>
      <c r="G365" s="3239">
        <v>1270</v>
      </c>
    </row>
    <row r="366" spans="1:7" s="3219" customFormat="1">
      <c r="A366" s="3226" t="s">
        <v>3159</v>
      </c>
      <c r="B366" s="3226" t="s">
        <v>2891</v>
      </c>
      <c r="C366" s="3226">
        <v>2410</v>
      </c>
      <c r="D366" s="3226">
        <v>2370</v>
      </c>
      <c r="E366" s="3226">
        <v>2330</v>
      </c>
      <c r="F366" s="3226">
        <v>570</v>
      </c>
      <c r="G366" s="3239">
        <v>1440</v>
      </c>
    </row>
    <row r="367" spans="1:7" s="3219" customFormat="1">
      <c r="A367" s="3226" t="s">
        <v>3159</v>
      </c>
      <c r="B367" s="3226" t="s">
        <v>3165</v>
      </c>
      <c r="C367" s="3226">
        <v>2300</v>
      </c>
      <c r="D367" s="3226">
        <v>2260</v>
      </c>
      <c r="E367" s="3226">
        <v>2220</v>
      </c>
      <c r="F367" s="3226">
        <v>560</v>
      </c>
      <c r="G367" s="3239">
        <v>1370</v>
      </c>
    </row>
    <row r="368" spans="1:7" s="3219" customFormat="1">
      <c r="A368" s="3226" t="s">
        <v>3159</v>
      </c>
      <c r="B368" s="3226" t="s">
        <v>3166</v>
      </c>
      <c r="C368" s="3226">
        <v>2430</v>
      </c>
      <c r="D368" s="3226">
        <v>2390</v>
      </c>
      <c r="E368" s="3226">
        <v>2350</v>
      </c>
      <c r="F368" s="3226">
        <v>570</v>
      </c>
      <c r="G368" s="3239">
        <v>1450</v>
      </c>
    </row>
    <row r="369" spans="1:7" s="3219" customFormat="1">
      <c r="A369" s="3226" t="s">
        <v>3159</v>
      </c>
      <c r="B369" s="3226" t="s">
        <v>214</v>
      </c>
      <c r="C369" s="3226">
        <v>2320</v>
      </c>
      <c r="D369" s="3226">
        <v>2290</v>
      </c>
      <c r="E369" s="3226">
        <v>2250</v>
      </c>
      <c r="F369" s="3226">
        <v>550</v>
      </c>
      <c r="G369" s="3239">
        <v>1380</v>
      </c>
    </row>
    <row r="370" spans="1:7" s="3219" customFormat="1">
      <c r="A370" s="3226" t="s">
        <v>3159</v>
      </c>
      <c r="B370" s="3226" t="s">
        <v>221</v>
      </c>
      <c r="C370" s="3226">
        <v>2190</v>
      </c>
      <c r="D370" s="3226">
        <v>2170</v>
      </c>
      <c r="E370" s="3226">
        <v>2130</v>
      </c>
      <c r="F370" s="3226">
        <v>530</v>
      </c>
      <c r="G370" s="3239">
        <v>1310</v>
      </c>
    </row>
    <row r="371" spans="1:7" s="3219" customFormat="1">
      <c r="A371" s="3226" t="s">
        <v>3159</v>
      </c>
      <c r="B371" s="3226" t="s">
        <v>229</v>
      </c>
      <c r="C371" s="3226">
        <v>2460</v>
      </c>
      <c r="D371" s="3226">
        <v>2420</v>
      </c>
      <c r="E371" s="3226">
        <v>2370</v>
      </c>
      <c r="F371" s="3226">
        <v>560</v>
      </c>
      <c r="G371" s="3239">
        <v>1470</v>
      </c>
    </row>
    <row r="372" spans="1:7" s="3219" customFormat="1">
      <c r="A372" s="3226" t="s">
        <v>3159</v>
      </c>
      <c r="B372" s="3226" t="s">
        <v>3167</v>
      </c>
      <c r="C372" s="3226">
        <v>2250</v>
      </c>
      <c r="D372" s="3226">
        <v>2210</v>
      </c>
      <c r="E372" s="3226">
        <v>2180</v>
      </c>
      <c r="F372" s="3226">
        <v>550</v>
      </c>
      <c r="G372" s="3239">
        <v>1340</v>
      </c>
    </row>
    <row r="373" spans="1:7" s="3219" customFormat="1">
      <c r="A373" s="3226" t="s">
        <v>3159</v>
      </c>
      <c r="B373" s="3226" t="s">
        <v>258</v>
      </c>
      <c r="C373" s="3226">
        <v>2210</v>
      </c>
      <c r="D373" s="3226">
        <v>2190</v>
      </c>
      <c r="E373" s="3226">
        <v>2150</v>
      </c>
      <c r="F373" s="3226">
        <v>530</v>
      </c>
      <c r="G373" s="3239">
        <v>1320</v>
      </c>
    </row>
    <row r="374" spans="1:7" s="3219" customFormat="1">
      <c r="A374" s="3226" t="s">
        <v>3159</v>
      </c>
      <c r="B374" s="3226" t="s">
        <v>266</v>
      </c>
      <c r="C374" s="3226">
        <v>2320</v>
      </c>
      <c r="D374" s="3226">
        <v>2280</v>
      </c>
      <c r="E374" s="3226">
        <v>2230</v>
      </c>
      <c r="F374" s="3226">
        <v>580</v>
      </c>
      <c r="G374" s="3239">
        <v>1380</v>
      </c>
    </row>
    <row r="375" spans="1:7" s="3219" customFormat="1">
      <c r="A375" s="3226" t="s">
        <v>3159</v>
      </c>
      <c r="B375" s="3226" t="s">
        <v>3168</v>
      </c>
      <c r="C375" s="3226">
        <v>2090</v>
      </c>
      <c r="D375" s="3226">
        <v>2050</v>
      </c>
      <c r="E375" s="3226">
        <v>2020</v>
      </c>
      <c r="F375" s="3226">
        <v>520</v>
      </c>
      <c r="G375" s="3239">
        <v>1240</v>
      </c>
    </row>
    <row r="376" spans="1:7" s="3219" customFormat="1">
      <c r="A376" s="3226" t="s">
        <v>3159</v>
      </c>
      <c r="B376" s="3226" t="s">
        <v>277</v>
      </c>
      <c r="C376" s="3226">
        <v>2010</v>
      </c>
      <c r="D376" s="3226">
        <v>1980</v>
      </c>
      <c r="E376" s="3226">
        <v>1940</v>
      </c>
      <c r="F376" s="3226">
        <v>540</v>
      </c>
      <c r="G376" s="3239">
        <v>1190</v>
      </c>
    </row>
    <row r="377" spans="1:7" s="3219" customFormat="1" ht="12" thickBot="1">
      <c r="A377" s="3234" t="s">
        <v>3159</v>
      </c>
      <c r="B377" s="3237" t="s">
        <v>2921</v>
      </c>
      <c r="C377" s="3237">
        <v>1930</v>
      </c>
      <c r="D377" s="3237">
        <v>1890</v>
      </c>
      <c r="E377" s="3237">
        <v>1860</v>
      </c>
      <c r="F377" s="3237">
        <v>530</v>
      </c>
      <c r="G377" s="3242">
        <v>1150</v>
      </c>
    </row>
    <row r="378" spans="1:7" s="3219" customFormat="1">
      <c r="A378" s="3243" t="s">
        <v>3169</v>
      </c>
      <c r="B378" s="3222" t="s">
        <v>3170</v>
      </c>
      <c r="C378" s="3222">
        <v>1520</v>
      </c>
      <c r="D378" s="3222">
        <v>1490</v>
      </c>
      <c r="E378" s="3222">
        <v>1460</v>
      </c>
      <c r="F378" s="3222">
        <v>460</v>
      </c>
      <c r="G378" s="3238">
        <v>940</v>
      </c>
    </row>
    <row r="379" spans="1:7" s="3219" customFormat="1">
      <c r="A379" s="3244" t="s">
        <v>3169</v>
      </c>
      <c r="B379" s="3226" t="s">
        <v>3171</v>
      </c>
      <c r="C379" s="3226">
        <v>1500</v>
      </c>
      <c r="D379" s="3226">
        <v>1470</v>
      </c>
      <c r="E379" s="3226">
        <v>1430</v>
      </c>
      <c r="F379" s="3226">
        <v>460</v>
      </c>
      <c r="G379" s="3239">
        <v>920</v>
      </c>
    </row>
    <row r="380" spans="1:7" s="3219" customFormat="1">
      <c r="A380" s="3244" t="s">
        <v>3169</v>
      </c>
      <c r="B380" s="3226" t="s">
        <v>3172</v>
      </c>
      <c r="C380" s="3226">
        <v>1620</v>
      </c>
      <c r="D380" s="3226">
        <v>1590</v>
      </c>
      <c r="E380" s="3226">
        <v>1560</v>
      </c>
      <c r="F380" s="3226">
        <v>480</v>
      </c>
      <c r="G380" s="3239">
        <v>1000</v>
      </c>
    </row>
    <row r="381" spans="1:7" s="3219" customFormat="1">
      <c r="A381" s="3244" t="s">
        <v>3169</v>
      </c>
      <c r="B381" s="3226" t="s">
        <v>3173</v>
      </c>
      <c r="C381" s="3226">
        <v>1460</v>
      </c>
      <c r="D381" s="3226">
        <v>1430</v>
      </c>
      <c r="E381" s="3226">
        <v>1390</v>
      </c>
      <c r="F381" s="3226">
        <v>450</v>
      </c>
      <c r="G381" s="3239">
        <v>900</v>
      </c>
    </row>
    <row r="382" spans="1:7" s="3219" customFormat="1">
      <c r="A382" s="3244" t="s">
        <v>3169</v>
      </c>
      <c r="B382" s="3226" t="s">
        <v>3174</v>
      </c>
      <c r="C382" s="3226">
        <v>1310</v>
      </c>
      <c r="D382" s="3226">
        <v>1280</v>
      </c>
      <c r="E382" s="3226">
        <v>1250</v>
      </c>
      <c r="F382" s="3226">
        <v>440</v>
      </c>
      <c r="G382" s="3239">
        <v>800</v>
      </c>
    </row>
    <row r="383" spans="1:7" s="3219" customFormat="1">
      <c r="A383" s="3244" t="s">
        <v>3169</v>
      </c>
      <c r="B383" s="3226" t="s">
        <v>3175</v>
      </c>
      <c r="C383" s="3226">
        <v>1260</v>
      </c>
      <c r="D383" s="3226">
        <v>1230</v>
      </c>
      <c r="E383" s="3226">
        <v>1200</v>
      </c>
      <c r="F383" s="3226">
        <v>420</v>
      </c>
      <c r="G383" s="3239">
        <v>770</v>
      </c>
    </row>
    <row r="384" spans="1:7" s="3219" customFormat="1" ht="12" thickBot="1">
      <c r="A384" s="3245" t="s">
        <v>3169</v>
      </c>
      <c r="B384" s="3233" t="s">
        <v>3176</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85" t="s">
        <v>3177</v>
      </c>
      <c r="B1" s="3785"/>
    </row>
    <row r="2" spans="1:7" ht="14.25" thickBot="1">
      <c r="A2" s="3248"/>
      <c r="B2" s="3248"/>
    </row>
    <row r="3" spans="1:7" ht="14.25" thickBot="1">
      <c r="A3" s="3248"/>
      <c r="B3" s="3248"/>
      <c r="C3" s="3249" t="s">
        <v>2805</v>
      </c>
      <c r="D3" s="3249" t="s">
        <v>2863</v>
      </c>
      <c r="E3" s="3249" t="s">
        <v>2807</v>
      </c>
      <c r="F3" s="3249" t="s">
        <v>2864</v>
      </c>
      <c r="G3" s="3249" t="s">
        <v>2625</v>
      </c>
    </row>
    <row r="4" spans="1:7" ht="14.25" thickBot="1">
      <c r="A4" s="3250" t="s">
        <v>2862</v>
      </c>
      <c r="B4" s="3251" t="s">
        <v>2868</v>
      </c>
      <c r="C4" s="3249"/>
      <c r="D4" s="3249"/>
      <c r="E4" s="3249"/>
      <c r="F4" s="3249"/>
      <c r="G4" s="3249"/>
    </row>
    <row r="5" spans="1:7">
      <c r="A5" s="3252" t="s">
        <v>2836</v>
      </c>
      <c r="B5" s="3253" t="s">
        <v>2850</v>
      </c>
      <c r="C5" s="3254">
        <v>9.8000000000000004E-2</v>
      </c>
      <c r="D5" s="3254">
        <v>8.6999999999999994E-2</v>
      </c>
      <c r="E5" s="3254">
        <v>8.6999999999999994E-2</v>
      </c>
      <c r="F5" s="3254">
        <v>9.8000000000000004E-2</v>
      </c>
      <c r="G5" s="3255">
        <v>9.5000000000000001E-2</v>
      </c>
    </row>
    <row r="6" spans="1:7">
      <c r="A6" s="3256" t="s">
        <v>144</v>
      </c>
      <c r="B6" s="3257" t="s">
        <v>2865</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2851</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2901</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2919</v>
      </c>
      <c r="C29" s="3266"/>
      <c r="D29" s="3262">
        <v>5.1999999999999998E-2</v>
      </c>
      <c r="E29" s="3262">
        <v>7.0000000000000007E-2</v>
      </c>
      <c r="F29" s="3266"/>
      <c r="G29" s="3264">
        <v>7.0999999999999994E-2</v>
      </c>
    </row>
    <row r="30" spans="1:7">
      <c r="A30" s="3267" t="s">
        <v>296</v>
      </c>
      <c r="B30" s="3253" t="s">
        <v>2852</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2838</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2922</v>
      </c>
      <c r="C50" s="3258">
        <v>9.8000000000000004E-2</v>
      </c>
      <c r="D50" s="3258">
        <v>7.2999999999999995E-2</v>
      </c>
      <c r="E50" s="3258">
        <v>7.0999999999999994E-2</v>
      </c>
      <c r="F50" s="3269"/>
      <c r="G50" s="3259">
        <v>7.2999999999999995E-2</v>
      </c>
    </row>
    <row r="51" spans="1:7">
      <c r="A51" s="3268" t="s">
        <v>296</v>
      </c>
      <c r="B51" s="3257" t="s">
        <v>2924</v>
      </c>
      <c r="C51" s="3258">
        <v>9.9000000000000005E-2</v>
      </c>
      <c r="D51" s="3258">
        <v>8.5000000000000006E-2</v>
      </c>
      <c r="E51" s="3258">
        <v>6.3E-2</v>
      </c>
      <c r="F51" s="3269"/>
      <c r="G51" s="3259">
        <v>9.6000000000000002E-2</v>
      </c>
    </row>
    <row r="52" spans="1:7">
      <c r="A52" s="3268" t="s">
        <v>296</v>
      </c>
      <c r="B52" s="3257" t="s">
        <v>2928</v>
      </c>
      <c r="C52" s="3258">
        <v>7.3999999999999996E-2</v>
      </c>
      <c r="D52" s="3258">
        <v>9.6000000000000002E-2</v>
      </c>
      <c r="E52" s="3258">
        <v>0.05</v>
      </c>
      <c r="F52" s="3269"/>
      <c r="G52" s="3259">
        <v>9.8000000000000004E-2</v>
      </c>
    </row>
    <row r="53" spans="1:7">
      <c r="A53" s="3268" t="s">
        <v>296</v>
      </c>
      <c r="B53" s="3257" t="s">
        <v>2933</v>
      </c>
      <c r="C53" s="3258">
        <v>8.5999999999999993E-2</v>
      </c>
      <c r="D53" s="3269"/>
      <c r="E53" s="3258">
        <v>9.1999999999999998E-2</v>
      </c>
      <c r="F53" s="3269"/>
      <c r="G53" s="3270"/>
    </row>
    <row r="54" spans="1:7" ht="14.25" thickBot="1">
      <c r="A54" s="3271" t="s">
        <v>296</v>
      </c>
      <c r="B54" s="3261" t="s">
        <v>2936</v>
      </c>
      <c r="C54" s="3262">
        <v>9.6000000000000002E-2</v>
      </c>
      <c r="D54" s="3263"/>
      <c r="E54" s="3272"/>
      <c r="F54" s="3263"/>
      <c r="G54" s="3273"/>
    </row>
    <row r="55" spans="1:7">
      <c r="A55" s="3267" t="s">
        <v>110</v>
      </c>
      <c r="B55" s="3253" t="s">
        <v>2853</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2934</v>
      </c>
      <c r="C78" s="3258">
        <v>0.1</v>
      </c>
      <c r="D78" s="3258">
        <v>8.5000000000000006E-2</v>
      </c>
      <c r="E78" s="3258">
        <v>9.6000000000000002E-2</v>
      </c>
      <c r="F78" s="3269"/>
      <c r="G78" s="3259">
        <v>9.6000000000000002E-2</v>
      </c>
    </row>
    <row r="79" spans="1:7">
      <c r="A79" s="3268" t="s">
        <v>110</v>
      </c>
      <c r="B79" s="3257" t="s">
        <v>2937</v>
      </c>
      <c r="C79" s="3258">
        <v>0.05</v>
      </c>
      <c r="D79" s="3258">
        <v>9.6000000000000002E-2</v>
      </c>
      <c r="E79" s="3258">
        <v>9.5000000000000001E-2</v>
      </c>
      <c r="F79" s="3269"/>
      <c r="G79" s="3259">
        <v>9.8000000000000004E-2</v>
      </c>
    </row>
    <row r="80" spans="1:7">
      <c r="A80" s="3268" t="s">
        <v>110</v>
      </c>
      <c r="B80" s="3257" t="s">
        <v>2941</v>
      </c>
      <c r="C80" s="3258">
        <v>8.5999999999999993E-2</v>
      </c>
      <c r="D80" s="3274"/>
      <c r="E80" s="3258">
        <v>0.1</v>
      </c>
      <c r="F80" s="3269"/>
      <c r="G80" s="3270"/>
    </row>
    <row r="81" spans="1:7">
      <c r="A81" s="3268" t="s">
        <v>110</v>
      </c>
      <c r="B81" s="3257" t="s">
        <v>2946</v>
      </c>
      <c r="C81" s="3258">
        <v>9.6000000000000002E-2</v>
      </c>
      <c r="D81" s="3269"/>
      <c r="E81" s="3258">
        <v>9.8000000000000004E-2</v>
      </c>
      <c r="F81" s="3269"/>
      <c r="G81" s="3270"/>
    </row>
    <row r="82" spans="1:7">
      <c r="A82" s="3268" t="s">
        <v>110</v>
      </c>
      <c r="B82" s="3257" t="s">
        <v>2953</v>
      </c>
      <c r="C82" s="3274"/>
      <c r="D82" s="3269"/>
      <c r="E82" s="3258">
        <v>7.6999999999999999E-2</v>
      </c>
      <c r="F82" s="3269"/>
      <c r="G82" s="3270"/>
    </row>
    <row r="83" spans="1:7">
      <c r="A83" s="3268" t="s">
        <v>110</v>
      </c>
      <c r="B83" s="3257" t="s">
        <v>2959</v>
      </c>
      <c r="C83" s="3269"/>
      <c r="D83" s="3269"/>
      <c r="E83" s="3269"/>
      <c r="F83" s="3258">
        <v>0.1</v>
      </c>
      <c r="G83" s="3275"/>
    </row>
    <row r="84" spans="1:7">
      <c r="A84" s="3268" t="s">
        <v>110</v>
      </c>
      <c r="B84" s="3257" t="s">
        <v>2966</v>
      </c>
      <c r="C84" s="3269"/>
      <c r="D84" s="3269"/>
      <c r="E84" s="3269"/>
      <c r="F84" s="3258">
        <v>0.1</v>
      </c>
      <c r="G84" s="3275"/>
    </row>
    <row r="85" spans="1:7">
      <c r="A85" s="3268" t="s">
        <v>110</v>
      </c>
      <c r="B85" s="3257" t="s">
        <v>2973</v>
      </c>
      <c r="C85" s="3269"/>
      <c r="D85" s="3269"/>
      <c r="E85" s="3269"/>
      <c r="F85" s="3258">
        <v>0.1</v>
      </c>
      <c r="G85" s="3275"/>
    </row>
    <row r="86" spans="1:7" ht="14.25" thickBot="1">
      <c r="A86" s="3271" t="s">
        <v>110</v>
      </c>
      <c r="B86" s="3261" t="s">
        <v>2978</v>
      </c>
      <c r="C86" s="3262">
        <v>9.8000000000000004E-2</v>
      </c>
      <c r="D86" s="3262">
        <v>9.8000000000000004E-2</v>
      </c>
      <c r="E86" s="3262">
        <v>9.6000000000000002E-2</v>
      </c>
      <c r="F86" s="3272"/>
      <c r="G86" s="3264">
        <v>0.1</v>
      </c>
    </row>
    <row r="87" spans="1:7">
      <c r="A87" s="3267" t="s">
        <v>303</v>
      </c>
      <c r="B87" s="3253" t="s">
        <v>2854</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2947</v>
      </c>
      <c r="C113" s="3258">
        <v>0.1</v>
      </c>
      <c r="D113" s="3258">
        <v>0.1</v>
      </c>
      <c r="E113" s="3269"/>
      <c r="F113" s="3269"/>
      <c r="G113" s="3259">
        <v>0.1</v>
      </c>
    </row>
    <row r="114" spans="1:7">
      <c r="A114" s="3268" t="s">
        <v>303</v>
      </c>
      <c r="B114" s="3257" t="s">
        <v>2954</v>
      </c>
      <c r="C114" s="3258">
        <v>9.7000000000000003E-2</v>
      </c>
      <c r="D114" s="3258">
        <v>9.7000000000000003E-2</v>
      </c>
      <c r="E114" s="3269"/>
      <c r="F114" s="3269"/>
      <c r="G114" s="3259">
        <v>9.9000000000000005E-2</v>
      </c>
    </row>
    <row r="115" spans="1:7">
      <c r="A115" s="3268" t="s">
        <v>303</v>
      </c>
      <c r="B115" s="3257" t="s">
        <v>2960</v>
      </c>
      <c r="C115" s="3258">
        <v>0.1</v>
      </c>
      <c r="D115" s="3258">
        <v>0.1</v>
      </c>
      <c r="E115" s="3269"/>
      <c r="F115" s="3269"/>
      <c r="G115" s="3259">
        <v>0.1</v>
      </c>
    </row>
    <row r="116" spans="1:7">
      <c r="A116" s="3268" t="s">
        <v>303</v>
      </c>
      <c r="B116" s="3257" t="s">
        <v>2967</v>
      </c>
      <c r="C116" s="3258">
        <v>0.1</v>
      </c>
      <c r="D116" s="3258">
        <v>0.1</v>
      </c>
      <c r="E116" s="3269"/>
      <c r="F116" s="3269"/>
      <c r="G116" s="3259">
        <v>0.1</v>
      </c>
    </row>
    <row r="117" spans="1:7">
      <c r="A117" s="3268" t="s">
        <v>303</v>
      </c>
      <c r="B117" s="3257" t="s">
        <v>2974</v>
      </c>
      <c r="C117" s="3258">
        <v>9.7000000000000003E-2</v>
      </c>
      <c r="D117" s="3258">
        <v>9.7000000000000003E-2</v>
      </c>
      <c r="E117" s="3269"/>
      <c r="F117" s="3269"/>
      <c r="G117" s="3259">
        <v>9.7000000000000003E-2</v>
      </c>
    </row>
    <row r="118" spans="1:7">
      <c r="A118" s="3268" t="s">
        <v>303</v>
      </c>
      <c r="B118" s="3257" t="s">
        <v>2979</v>
      </c>
      <c r="C118" s="3258">
        <v>0.1</v>
      </c>
      <c r="D118" s="3258">
        <v>0.1</v>
      </c>
      <c r="E118" s="3269"/>
      <c r="F118" s="3269"/>
      <c r="G118" s="3259">
        <v>0.1</v>
      </c>
    </row>
    <row r="119" spans="1:7">
      <c r="A119" s="3268" t="s">
        <v>303</v>
      </c>
      <c r="B119" s="3257" t="s">
        <v>2983</v>
      </c>
      <c r="C119" s="3258">
        <v>5.0999999999999997E-2</v>
      </c>
      <c r="D119" s="3258">
        <v>5.1999999999999998E-2</v>
      </c>
      <c r="E119" s="3269"/>
      <c r="F119" s="3274"/>
      <c r="G119" s="3259">
        <v>0.06</v>
      </c>
    </row>
    <row r="120" spans="1:7">
      <c r="A120" s="3268" t="s">
        <v>303</v>
      </c>
      <c r="B120" s="3257" t="s">
        <v>2987</v>
      </c>
      <c r="C120" s="3269"/>
      <c r="D120" s="3269"/>
      <c r="E120" s="3269"/>
      <c r="F120" s="3258">
        <v>0.1</v>
      </c>
      <c r="G120" s="3275"/>
    </row>
    <row r="121" spans="1:7">
      <c r="A121" s="3268" t="s">
        <v>303</v>
      </c>
      <c r="B121" s="3257" t="s">
        <v>2992</v>
      </c>
      <c r="C121" s="3269"/>
      <c r="D121" s="3269"/>
      <c r="E121" s="3269"/>
      <c r="F121" s="3258">
        <v>0.1</v>
      </c>
      <c r="G121" s="3275"/>
    </row>
    <row r="122" spans="1:7">
      <c r="A122" s="3268" t="s">
        <v>303</v>
      </c>
      <c r="B122" s="3257" t="s">
        <v>2997</v>
      </c>
      <c r="C122" s="3258">
        <v>0.1</v>
      </c>
      <c r="D122" s="3258">
        <v>0.1</v>
      </c>
      <c r="E122" s="3258">
        <v>9.8000000000000004E-2</v>
      </c>
      <c r="F122" s="3258">
        <v>0.1</v>
      </c>
      <c r="G122" s="3259">
        <v>0.1</v>
      </c>
    </row>
    <row r="123" spans="1:7">
      <c r="A123" s="3268" t="s">
        <v>303</v>
      </c>
      <c r="B123" s="3257" t="s">
        <v>3002</v>
      </c>
      <c r="C123" s="3258">
        <v>0.1</v>
      </c>
      <c r="D123" s="3258">
        <v>0.1</v>
      </c>
      <c r="E123" s="3258">
        <v>9.8000000000000004E-2</v>
      </c>
      <c r="F123" s="3258">
        <v>0.1</v>
      </c>
      <c r="G123" s="3259">
        <v>0.1</v>
      </c>
    </row>
    <row r="124" spans="1:7">
      <c r="A124" s="3268" t="s">
        <v>303</v>
      </c>
      <c r="B124" s="3257" t="s">
        <v>3007</v>
      </c>
      <c r="C124" s="3258">
        <v>0.1</v>
      </c>
      <c r="D124" s="3258">
        <v>0.1</v>
      </c>
      <c r="E124" s="3258">
        <v>9.8000000000000004E-2</v>
      </c>
      <c r="F124" s="3274"/>
      <c r="G124" s="3259">
        <v>0.1</v>
      </c>
    </row>
    <row r="125" spans="1:7">
      <c r="A125" s="3268" t="s">
        <v>303</v>
      </c>
      <c r="B125" s="3257" t="s">
        <v>3012</v>
      </c>
      <c r="C125" s="3258">
        <v>9.8000000000000004E-2</v>
      </c>
      <c r="D125" s="3258">
        <v>9.8000000000000004E-2</v>
      </c>
      <c r="E125" s="3258">
        <v>9.6000000000000002E-2</v>
      </c>
      <c r="F125" s="3274"/>
      <c r="G125" s="3259">
        <v>0.1</v>
      </c>
    </row>
    <row r="126" spans="1:7" ht="14.25" thickBot="1">
      <c r="A126" s="3271" t="s">
        <v>303</v>
      </c>
      <c r="B126" s="3261" t="s">
        <v>3178</v>
      </c>
      <c r="C126" s="3262">
        <v>0.1</v>
      </c>
      <c r="D126" s="3262">
        <v>0.1</v>
      </c>
      <c r="E126" s="3262">
        <v>9.8000000000000004E-2</v>
      </c>
      <c r="F126" s="3262">
        <v>0.1</v>
      </c>
      <c r="G126" s="3264">
        <v>0.1</v>
      </c>
    </row>
    <row r="127" spans="1:7">
      <c r="A127" s="3267" t="s">
        <v>29</v>
      </c>
      <c r="B127" s="3253" t="s">
        <v>2855</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2925</v>
      </c>
      <c r="C148" s="3258">
        <v>0.13</v>
      </c>
      <c r="D148" s="3258">
        <v>0.13</v>
      </c>
      <c r="E148" s="3258">
        <v>0.13</v>
      </c>
      <c r="F148" s="3269"/>
      <c r="G148" s="3259">
        <v>0.13</v>
      </c>
    </row>
    <row r="149" spans="1:7">
      <c r="A149" s="3268" t="s">
        <v>29</v>
      </c>
      <c r="B149" s="3257" t="s">
        <v>2929</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2948</v>
      </c>
      <c r="C153" s="3258">
        <v>0.13</v>
      </c>
      <c r="D153" s="3258">
        <v>0.13</v>
      </c>
      <c r="E153" s="3258">
        <v>0.13</v>
      </c>
      <c r="F153" s="3258">
        <v>0.13</v>
      </c>
      <c r="G153" s="3259">
        <v>0.13</v>
      </c>
    </row>
    <row r="154" spans="1:7">
      <c r="A154" s="3268" t="s">
        <v>29</v>
      </c>
      <c r="B154" s="3257" t="s">
        <v>2955</v>
      </c>
      <c r="C154" s="3258">
        <v>0.121</v>
      </c>
      <c r="D154" s="3258">
        <v>0.121</v>
      </c>
      <c r="E154" s="3258">
        <v>0.105</v>
      </c>
      <c r="F154" s="3258">
        <v>0.121</v>
      </c>
      <c r="G154" s="3259">
        <v>0.123</v>
      </c>
    </row>
    <row r="155" spans="1:7">
      <c r="A155" s="3268" t="s">
        <v>29</v>
      </c>
      <c r="B155" s="3257" t="s">
        <v>2961</v>
      </c>
      <c r="C155" s="3258">
        <v>0.1</v>
      </c>
      <c r="D155" s="3258">
        <v>0.1</v>
      </c>
      <c r="E155" s="3258">
        <v>0.1</v>
      </c>
      <c r="F155" s="3258">
        <v>0.1</v>
      </c>
      <c r="G155" s="3259">
        <v>0.1</v>
      </c>
    </row>
    <row r="156" spans="1:7">
      <c r="A156" s="3268" t="s">
        <v>29</v>
      </c>
      <c r="B156" s="3257" t="s">
        <v>2968</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2988</v>
      </c>
      <c r="C160" s="3258">
        <v>0.13</v>
      </c>
      <c r="D160" s="3258">
        <v>0.13</v>
      </c>
      <c r="E160" s="3258">
        <v>0.124</v>
      </c>
      <c r="F160" s="3258">
        <v>0.126</v>
      </c>
      <c r="G160" s="3259">
        <v>0.13</v>
      </c>
    </row>
    <row r="161" spans="1:7">
      <c r="A161" s="3268" t="s">
        <v>29</v>
      </c>
      <c r="B161" s="3257" t="s">
        <v>2993</v>
      </c>
      <c r="C161" s="3258">
        <v>0.13</v>
      </c>
      <c r="D161" s="3258">
        <v>0.13</v>
      </c>
      <c r="E161" s="3258">
        <v>0.124</v>
      </c>
      <c r="F161" s="3258">
        <v>0.127</v>
      </c>
      <c r="G161" s="3259">
        <v>0.13</v>
      </c>
    </row>
    <row r="162" spans="1:7">
      <c r="A162" s="3268" t="s">
        <v>29</v>
      </c>
      <c r="B162" s="3257" t="s">
        <v>2998</v>
      </c>
      <c r="C162" s="3258">
        <v>0.1</v>
      </c>
      <c r="D162" s="3258">
        <v>0.1</v>
      </c>
      <c r="E162" s="3258">
        <v>0.1</v>
      </c>
      <c r="F162" s="3258">
        <v>0.121</v>
      </c>
      <c r="G162" s="3259">
        <v>0.105</v>
      </c>
    </row>
    <row r="163" spans="1:7">
      <c r="A163" s="3268" t="s">
        <v>29</v>
      </c>
      <c r="B163" s="3257" t="s">
        <v>3003</v>
      </c>
      <c r="C163" s="3258">
        <v>0.1</v>
      </c>
      <c r="D163" s="3258">
        <v>0.1</v>
      </c>
      <c r="E163" s="3258">
        <v>0.1</v>
      </c>
      <c r="F163" s="3258">
        <v>0.1</v>
      </c>
      <c r="G163" s="3259">
        <v>0.1</v>
      </c>
    </row>
    <row r="164" spans="1:7">
      <c r="A164" s="3268" t="s">
        <v>29</v>
      </c>
      <c r="B164" s="3257" t="s">
        <v>3008</v>
      </c>
      <c r="C164" s="3274"/>
      <c r="D164" s="3274"/>
      <c r="E164" s="3274"/>
      <c r="F164" s="3258">
        <v>0.1</v>
      </c>
      <c r="G164" s="3270"/>
    </row>
    <row r="165" spans="1:7">
      <c r="A165" s="3268" t="s">
        <v>29</v>
      </c>
      <c r="B165" s="3257" t="s">
        <v>3179</v>
      </c>
      <c r="C165" s="3258">
        <v>0.126</v>
      </c>
      <c r="D165" s="3258">
        <v>0.126</v>
      </c>
      <c r="E165" s="3258">
        <v>0.11899999999999999</v>
      </c>
      <c r="F165" s="3258">
        <v>0.13</v>
      </c>
      <c r="G165" s="3259">
        <v>0.128</v>
      </c>
    </row>
    <row r="166" spans="1:7">
      <c r="A166" s="3268" t="s">
        <v>29</v>
      </c>
      <c r="B166" s="3257" t="s">
        <v>3018</v>
      </c>
      <c r="C166" s="3258">
        <v>0.129</v>
      </c>
      <c r="D166" s="3258">
        <v>0.129</v>
      </c>
      <c r="E166" s="3258">
        <v>0.123</v>
      </c>
      <c r="F166" s="3258">
        <v>0.128</v>
      </c>
      <c r="G166" s="3259">
        <v>0.13</v>
      </c>
    </row>
    <row r="167" spans="1:7">
      <c r="A167" s="3268" t="s">
        <v>29</v>
      </c>
      <c r="B167" s="3257" t="s">
        <v>3022</v>
      </c>
      <c r="C167" s="3258">
        <v>0.125</v>
      </c>
      <c r="D167" s="3258">
        <v>0.125</v>
      </c>
      <c r="E167" s="3258">
        <v>0.11700000000000001</v>
      </c>
      <c r="F167" s="3258">
        <v>0.13</v>
      </c>
      <c r="G167" s="3259">
        <v>0.126</v>
      </c>
    </row>
    <row r="168" spans="1:7">
      <c r="A168" s="3268" t="s">
        <v>29</v>
      </c>
      <c r="B168" s="3257" t="s">
        <v>3027</v>
      </c>
      <c r="C168" s="3258">
        <v>0.128</v>
      </c>
      <c r="D168" s="3258">
        <v>0.128</v>
      </c>
      <c r="E168" s="3258">
        <v>0.123</v>
      </c>
      <c r="F168" s="3269"/>
      <c r="G168" s="3259">
        <v>0.13</v>
      </c>
    </row>
    <row r="169" spans="1:7">
      <c r="A169" s="3268" t="s">
        <v>29</v>
      </c>
      <c r="B169" s="3257" t="s">
        <v>3180</v>
      </c>
      <c r="C169" s="3274"/>
      <c r="D169" s="3274"/>
      <c r="E169" s="3274"/>
      <c r="F169" s="3258">
        <v>0.05</v>
      </c>
      <c r="G169" s="3270"/>
    </row>
    <row r="170" spans="1:7">
      <c r="A170" s="3268" t="s">
        <v>29</v>
      </c>
      <c r="B170" s="3257" t="s">
        <v>3181</v>
      </c>
      <c r="C170" s="3274"/>
      <c r="D170" s="3274"/>
      <c r="E170" s="3274"/>
      <c r="F170" s="3258">
        <v>0.05</v>
      </c>
      <c r="G170" s="3270"/>
    </row>
    <row r="171" spans="1:7">
      <c r="A171" s="3268" t="s">
        <v>29</v>
      </c>
      <c r="B171" s="3257" t="s">
        <v>3182</v>
      </c>
      <c r="C171" s="3274"/>
      <c r="D171" s="3274"/>
      <c r="E171" s="3274"/>
      <c r="F171" s="3258">
        <v>0.05</v>
      </c>
      <c r="G171" s="3275"/>
    </row>
    <row r="172" spans="1:7">
      <c r="A172" s="3268" t="s">
        <v>29</v>
      </c>
      <c r="B172" s="3257" t="s">
        <v>3183</v>
      </c>
      <c r="C172" s="3274"/>
      <c r="D172" s="3274"/>
      <c r="E172" s="3274"/>
      <c r="F172" s="3258">
        <v>0.05</v>
      </c>
      <c r="G172" s="3275"/>
    </row>
    <row r="173" spans="1:7">
      <c r="A173" s="3268" t="s">
        <v>29</v>
      </c>
      <c r="B173" s="3257" t="s">
        <v>3184</v>
      </c>
      <c r="C173" s="3274"/>
      <c r="D173" s="3274"/>
      <c r="E173" s="3274"/>
      <c r="F173" s="3258">
        <v>0.05</v>
      </c>
      <c r="G173" s="3270"/>
    </row>
    <row r="174" spans="1:7">
      <c r="A174" s="3268" t="s">
        <v>29</v>
      </c>
      <c r="B174" s="3257" t="s">
        <v>3185</v>
      </c>
      <c r="C174" s="3274"/>
      <c r="D174" s="3274"/>
      <c r="E174" s="3274"/>
      <c r="F174" s="3258">
        <v>0.05</v>
      </c>
      <c r="G174" s="3270"/>
    </row>
    <row r="175" spans="1:7">
      <c r="A175" s="3268" t="s">
        <v>29</v>
      </c>
      <c r="B175" s="3257" t="s">
        <v>3186</v>
      </c>
      <c r="C175" s="3274"/>
      <c r="D175" s="3274"/>
      <c r="E175" s="3274"/>
      <c r="F175" s="3258">
        <v>0.05</v>
      </c>
      <c r="G175" s="3270"/>
    </row>
    <row r="176" spans="1:7">
      <c r="A176" s="3268" t="s">
        <v>29</v>
      </c>
      <c r="B176" s="3257" t="s">
        <v>3187</v>
      </c>
      <c r="C176" s="3274"/>
      <c r="D176" s="3274"/>
      <c r="E176" s="3274"/>
      <c r="F176" s="3258">
        <v>0.05</v>
      </c>
      <c r="G176" s="3270"/>
    </row>
    <row r="177" spans="1:7">
      <c r="A177" s="3268" t="s">
        <v>29</v>
      </c>
      <c r="B177" s="3257" t="s">
        <v>3188</v>
      </c>
      <c r="C177" s="3269"/>
      <c r="D177" s="3269"/>
      <c r="E177" s="3269"/>
      <c r="F177" s="3258">
        <v>0.05</v>
      </c>
      <c r="G177" s="3275"/>
    </row>
    <row r="178" spans="1:7">
      <c r="A178" s="3268" t="s">
        <v>29</v>
      </c>
      <c r="B178" s="3257" t="s">
        <v>3189</v>
      </c>
      <c r="C178" s="3269"/>
      <c r="D178" s="3269"/>
      <c r="E178" s="3269"/>
      <c r="F178" s="3258">
        <v>0.05</v>
      </c>
      <c r="G178" s="3275"/>
    </row>
    <row r="179" spans="1:7">
      <c r="A179" s="3268" t="s">
        <v>29</v>
      </c>
      <c r="B179" s="3257" t="s">
        <v>3190</v>
      </c>
      <c r="C179" s="3269"/>
      <c r="D179" s="3269"/>
      <c r="E179" s="3269"/>
      <c r="F179" s="3258">
        <v>0.05</v>
      </c>
      <c r="G179" s="3275"/>
    </row>
    <row r="180" spans="1:7">
      <c r="A180" s="3268" t="s">
        <v>29</v>
      </c>
      <c r="B180" s="3257" t="s">
        <v>3191</v>
      </c>
      <c r="C180" s="3269"/>
      <c r="D180" s="3269"/>
      <c r="E180" s="3269"/>
      <c r="F180" s="3258">
        <v>0.05</v>
      </c>
      <c r="G180" s="3275"/>
    </row>
    <row r="181" spans="1:7">
      <c r="A181" s="3268" t="s">
        <v>29</v>
      </c>
      <c r="B181" s="3257" t="s">
        <v>3192</v>
      </c>
      <c r="C181" s="3269"/>
      <c r="D181" s="3269"/>
      <c r="E181" s="3269"/>
      <c r="F181" s="3258">
        <v>0.05</v>
      </c>
      <c r="G181" s="3275"/>
    </row>
    <row r="182" spans="1:7">
      <c r="A182" s="3268" t="s">
        <v>29</v>
      </c>
      <c r="B182" s="3257" t="s">
        <v>3193</v>
      </c>
      <c r="C182" s="3269"/>
      <c r="D182" s="3269"/>
      <c r="E182" s="3269"/>
      <c r="F182" s="3258">
        <v>0.05</v>
      </c>
      <c r="G182" s="3275"/>
    </row>
    <row r="183" spans="1:7">
      <c r="A183" s="3268" t="s">
        <v>29</v>
      </c>
      <c r="B183" s="3257" t="s">
        <v>3194</v>
      </c>
      <c r="C183" s="3269"/>
      <c r="D183" s="3269"/>
      <c r="E183" s="3269"/>
      <c r="F183" s="3258">
        <v>0.05</v>
      </c>
      <c r="G183" s="3275"/>
    </row>
    <row r="184" spans="1:7">
      <c r="A184" s="3268" t="s">
        <v>29</v>
      </c>
      <c r="B184" s="3257" t="s">
        <v>3195</v>
      </c>
      <c r="C184" s="3269"/>
      <c r="D184" s="3269"/>
      <c r="E184" s="3269"/>
      <c r="F184" s="3258">
        <v>0.05</v>
      </c>
      <c r="G184" s="3275"/>
    </row>
    <row r="185" spans="1:7">
      <c r="A185" s="3268" t="s">
        <v>29</v>
      </c>
      <c r="B185" s="3257" t="s">
        <v>3196</v>
      </c>
      <c r="C185" s="3269"/>
      <c r="D185" s="3269"/>
      <c r="E185" s="3269"/>
      <c r="F185" s="3258">
        <v>0.05</v>
      </c>
      <c r="G185" s="3275"/>
    </row>
    <row r="186" spans="1:7">
      <c r="A186" s="3268" t="s">
        <v>29</v>
      </c>
      <c r="B186" s="3257" t="s">
        <v>3197</v>
      </c>
      <c r="C186" s="3269"/>
      <c r="D186" s="3269"/>
      <c r="E186" s="3269"/>
      <c r="F186" s="3258">
        <v>0.05</v>
      </c>
      <c r="G186" s="3275"/>
    </row>
    <row r="187" spans="1:7">
      <c r="A187" s="3268" t="s">
        <v>29</v>
      </c>
      <c r="B187" s="3257" t="s">
        <v>3198</v>
      </c>
      <c r="C187" s="3269"/>
      <c r="D187" s="3269"/>
      <c r="E187" s="3269"/>
      <c r="F187" s="3258">
        <v>0.05</v>
      </c>
      <c r="G187" s="3275"/>
    </row>
    <row r="188" spans="1:7">
      <c r="A188" s="3268" t="s">
        <v>29</v>
      </c>
      <c r="B188" s="3257" t="s">
        <v>3199</v>
      </c>
      <c r="C188" s="3269"/>
      <c r="D188" s="3269"/>
      <c r="E188" s="3269"/>
      <c r="F188" s="3258">
        <v>0.05</v>
      </c>
      <c r="G188" s="3275"/>
    </row>
    <row r="189" spans="1:7" ht="14.25" thickBot="1">
      <c r="A189" s="3271" t="s">
        <v>29</v>
      </c>
      <c r="B189" s="3261" t="s">
        <v>3200</v>
      </c>
      <c r="C189" s="3263"/>
      <c r="D189" s="3263"/>
      <c r="E189" s="3263"/>
      <c r="F189" s="3262">
        <v>0.05</v>
      </c>
      <c r="G189" s="3276"/>
    </row>
    <row r="190" spans="1:7">
      <c r="A190" s="3267" t="s">
        <v>304</v>
      </c>
      <c r="B190" s="3253" t="s">
        <v>2856</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2892</v>
      </c>
      <c r="C199" s="3258">
        <v>0.13</v>
      </c>
      <c r="D199" s="3258">
        <v>0.13</v>
      </c>
      <c r="E199" s="3258">
        <v>0.13</v>
      </c>
      <c r="F199" s="3258">
        <v>0.13</v>
      </c>
      <c r="G199" s="3259">
        <v>0.13</v>
      </c>
    </row>
    <row r="200" spans="1:7">
      <c r="A200" s="3268" t="s">
        <v>304</v>
      </c>
      <c r="B200" s="3257" t="s">
        <v>2895</v>
      </c>
      <c r="C200" s="3274"/>
      <c r="D200" s="3274"/>
      <c r="E200" s="3274"/>
      <c r="F200" s="3258">
        <v>0.13</v>
      </c>
      <c r="G200" s="3270"/>
    </row>
    <row r="201" spans="1:7">
      <c r="A201" s="3268" t="s">
        <v>304</v>
      </c>
      <c r="B201" s="3257" t="s">
        <v>2900</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2903</v>
      </c>
      <c r="C203" s="3258">
        <v>0.129</v>
      </c>
      <c r="D203" s="3258">
        <v>0.129</v>
      </c>
      <c r="E203" s="3258">
        <v>0.13</v>
      </c>
      <c r="F203" s="3258">
        <v>0.13</v>
      </c>
      <c r="G203" s="3259">
        <v>0.13</v>
      </c>
    </row>
    <row r="204" spans="1:7">
      <c r="A204" s="3268" t="s">
        <v>304</v>
      </c>
      <c r="B204" s="3257" t="s">
        <v>2906</v>
      </c>
      <c r="C204" s="3258">
        <v>0.129</v>
      </c>
      <c r="D204" s="3258">
        <v>0.129</v>
      </c>
      <c r="E204" s="3258">
        <v>0.123</v>
      </c>
      <c r="F204" s="3258">
        <v>0.13</v>
      </c>
      <c r="G204" s="3259">
        <v>0.13</v>
      </c>
    </row>
    <row r="205" spans="1:7">
      <c r="A205" s="3268" t="s">
        <v>304</v>
      </c>
      <c r="B205" s="3257" t="s">
        <v>2908</v>
      </c>
      <c r="C205" s="3258">
        <v>0.13</v>
      </c>
      <c r="D205" s="3258">
        <v>0.13</v>
      </c>
      <c r="E205" s="3258">
        <v>0.13</v>
      </c>
      <c r="F205" s="3258">
        <v>0.13</v>
      </c>
      <c r="G205" s="3259">
        <v>0.13</v>
      </c>
    </row>
    <row r="206" spans="1:7">
      <c r="A206" s="3268" t="s">
        <v>304</v>
      </c>
      <c r="B206" s="3257" t="s">
        <v>2911</v>
      </c>
      <c r="C206" s="3258">
        <v>0.13</v>
      </c>
      <c r="D206" s="3258">
        <v>0.13</v>
      </c>
      <c r="E206" s="3258">
        <v>0.13</v>
      </c>
      <c r="F206" s="3258">
        <v>0.128</v>
      </c>
      <c r="G206" s="3259">
        <v>0.13</v>
      </c>
    </row>
    <row r="207" spans="1:7">
      <c r="A207" s="3268" t="s">
        <v>304</v>
      </c>
      <c r="B207" s="3257" t="s">
        <v>2913</v>
      </c>
      <c r="C207" s="3258">
        <v>0.13</v>
      </c>
      <c r="D207" s="3258">
        <v>0.13</v>
      </c>
      <c r="E207" s="3258">
        <v>0.13</v>
      </c>
      <c r="F207" s="3258">
        <v>0.13</v>
      </c>
      <c r="G207" s="3259">
        <v>0.13</v>
      </c>
    </row>
    <row r="208" spans="1:7">
      <c r="A208" s="3268" t="s">
        <v>304</v>
      </c>
      <c r="B208" s="3257" t="s">
        <v>2916</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2923</v>
      </c>
      <c r="C210" s="3258">
        <v>0.121</v>
      </c>
      <c r="D210" s="3258">
        <v>0.121</v>
      </c>
      <c r="E210" s="3258">
        <v>0.125</v>
      </c>
      <c r="F210" s="3258">
        <v>0.13</v>
      </c>
      <c r="G210" s="3259">
        <v>0.123</v>
      </c>
    </row>
    <row r="211" spans="1:7">
      <c r="A211" s="3268" t="s">
        <v>304</v>
      </c>
      <c r="B211" s="3257" t="s">
        <v>2926</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2938</v>
      </c>
      <c r="C214" s="3258">
        <v>0.128</v>
      </c>
      <c r="D214" s="3258">
        <v>0.128</v>
      </c>
      <c r="E214" s="3258">
        <v>0.13</v>
      </c>
      <c r="F214" s="3258">
        <v>0.13</v>
      </c>
      <c r="G214" s="3259">
        <v>0.13</v>
      </c>
    </row>
    <row r="215" spans="1:7">
      <c r="A215" s="3268" t="s">
        <v>304</v>
      </c>
      <c r="B215" s="3257" t="s">
        <v>2942</v>
      </c>
      <c r="C215" s="3258">
        <v>0.13</v>
      </c>
      <c r="D215" s="3258">
        <v>0.13</v>
      </c>
      <c r="E215" s="3258">
        <v>0.13</v>
      </c>
      <c r="F215" s="3258">
        <v>0.129</v>
      </c>
      <c r="G215" s="3259">
        <v>0.13</v>
      </c>
    </row>
    <row r="216" spans="1:7">
      <c r="A216" s="3268" t="s">
        <v>304</v>
      </c>
      <c r="B216" s="3257" t="s">
        <v>2949</v>
      </c>
      <c r="C216" s="3258">
        <v>0.13</v>
      </c>
      <c r="D216" s="3258">
        <v>0.13</v>
      </c>
      <c r="E216" s="3258">
        <v>0.13</v>
      </c>
      <c r="F216" s="3258">
        <v>0.13</v>
      </c>
      <c r="G216" s="3259">
        <v>0.13</v>
      </c>
    </row>
    <row r="217" spans="1:7">
      <c r="A217" s="3268" t="s">
        <v>304</v>
      </c>
      <c r="B217" s="3257" t="s">
        <v>2956</v>
      </c>
      <c r="C217" s="3258">
        <v>0.129</v>
      </c>
      <c r="D217" s="3258">
        <v>0.129</v>
      </c>
      <c r="E217" s="3258">
        <v>0.13</v>
      </c>
      <c r="F217" s="3258">
        <v>0.13</v>
      </c>
      <c r="G217" s="3259">
        <v>0.13</v>
      </c>
    </row>
    <row r="218" spans="1:7">
      <c r="A218" s="3268" t="s">
        <v>304</v>
      </c>
      <c r="B218" s="3257" t="s">
        <v>2962</v>
      </c>
      <c r="C218" s="3269"/>
      <c r="D218" s="3269"/>
      <c r="E218" s="3269"/>
      <c r="F218" s="3258">
        <v>0.05</v>
      </c>
      <c r="G218" s="3275"/>
    </row>
    <row r="219" spans="1:7">
      <c r="A219" s="3268" t="s">
        <v>304</v>
      </c>
      <c r="B219" s="3257" t="s">
        <v>2969</v>
      </c>
      <c r="C219" s="3269"/>
      <c r="D219" s="3269"/>
      <c r="E219" s="3269"/>
      <c r="F219" s="3258">
        <v>0.05</v>
      </c>
      <c r="G219" s="3275"/>
    </row>
    <row r="220" spans="1:7">
      <c r="A220" s="3268" t="s">
        <v>304</v>
      </c>
      <c r="B220" s="3257" t="s">
        <v>2975</v>
      </c>
      <c r="C220" s="3269"/>
      <c r="D220" s="3269"/>
      <c r="E220" s="3269"/>
      <c r="F220" s="3258">
        <v>0.05</v>
      </c>
      <c r="G220" s="3275"/>
    </row>
    <row r="221" spans="1:7">
      <c r="A221" s="3268" t="s">
        <v>304</v>
      </c>
      <c r="B221" s="3257" t="s">
        <v>2980</v>
      </c>
      <c r="C221" s="3269"/>
      <c r="D221" s="3269"/>
      <c r="E221" s="3269"/>
      <c r="F221" s="3258">
        <v>0.05</v>
      </c>
      <c r="G221" s="3275"/>
    </row>
    <row r="222" spans="1:7">
      <c r="A222" s="3268" t="s">
        <v>304</v>
      </c>
      <c r="B222" s="3257" t="s">
        <v>2984</v>
      </c>
      <c r="C222" s="3269"/>
      <c r="D222" s="3269"/>
      <c r="E222" s="3269"/>
      <c r="F222" s="3258">
        <v>0.05</v>
      </c>
      <c r="G222" s="3275"/>
    </row>
    <row r="223" spans="1:7">
      <c r="A223" s="3268" t="s">
        <v>304</v>
      </c>
      <c r="B223" s="3257" t="s">
        <v>2989</v>
      </c>
      <c r="C223" s="3269"/>
      <c r="D223" s="3269"/>
      <c r="E223" s="3269"/>
      <c r="F223" s="3258">
        <v>0.05</v>
      </c>
      <c r="G223" s="3275"/>
    </row>
    <row r="224" spans="1:7">
      <c r="A224" s="3268" t="s">
        <v>304</v>
      </c>
      <c r="B224" s="3257" t="s">
        <v>2994</v>
      </c>
      <c r="C224" s="3269"/>
      <c r="D224" s="3269"/>
      <c r="E224" s="3269"/>
      <c r="F224" s="3258">
        <v>0.05</v>
      </c>
      <c r="G224" s="3275"/>
    </row>
    <row r="225" spans="1:7">
      <c r="A225" s="3268" t="s">
        <v>304</v>
      </c>
      <c r="B225" s="3257" t="s">
        <v>2999</v>
      </c>
      <c r="C225" s="3269"/>
      <c r="D225" s="3269"/>
      <c r="E225" s="3269"/>
      <c r="F225" s="3258">
        <v>0.05</v>
      </c>
      <c r="G225" s="3275"/>
    </row>
    <row r="226" spans="1:7">
      <c r="A226" s="3268" t="s">
        <v>304</v>
      </c>
      <c r="B226" s="3257" t="s">
        <v>3201</v>
      </c>
      <c r="C226" s="3269"/>
      <c r="D226" s="3269"/>
      <c r="E226" s="3269"/>
      <c r="F226" s="3258">
        <v>0.05</v>
      </c>
      <c r="G226" s="3275"/>
    </row>
    <row r="227" spans="1:7">
      <c r="A227" s="3268" t="s">
        <v>304</v>
      </c>
      <c r="B227" s="3257" t="s">
        <v>3202</v>
      </c>
      <c r="C227" s="3269"/>
      <c r="D227" s="3269"/>
      <c r="E227" s="3269"/>
      <c r="F227" s="3258">
        <v>0.05</v>
      </c>
      <c r="G227" s="3275"/>
    </row>
    <row r="228" spans="1:7">
      <c r="A228" s="3268" t="s">
        <v>304</v>
      </c>
      <c r="B228" s="3257" t="s">
        <v>3203</v>
      </c>
      <c r="C228" s="3269"/>
      <c r="D228" s="3269"/>
      <c r="E228" s="3269"/>
      <c r="F228" s="3258">
        <v>0.05</v>
      </c>
      <c r="G228" s="3275"/>
    </row>
    <row r="229" spans="1:7">
      <c r="A229" s="3268" t="s">
        <v>304</v>
      </c>
      <c r="B229" s="3257" t="s">
        <v>3204</v>
      </c>
      <c r="C229" s="3269"/>
      <c r="D229" s="3269"/>
      <c r="E229" s="3269"/>
      <c r="F229" s="3258">
        <v>0.05</v>
      </c>
      <c r="G229" s="3275"/>
    </row>
    <row r="230" spans="1:7">
      <c r="A230" s="3268" t="s">
        <v>304</v>
      </c>
      <c r="B230" s="3257" t="s">
        <v>3205</v>
      </c>
      <c r="C230" s="3269"/>
      <c r="D230" s="3269"/>
      <c r="E230" s="3269"/>
      <c r="F230" s="3258">
        <v>0.05</v>
      </c>
      <c r="G230" s="3275"/>
    </row>
    <row r="231" spans="1:7">
      <c r="A231" s="3268" t="s">
        <v>304</v>
      </c>
      <c r="B231" s="3257" t="s">
        <v>3206</v>
      </c>
      <c r="C231" s="3269"/>
      <c r="D231" s="3269"/>
      <c r="E231" s="3269"/>
      <c r="F231" s="3258">
        <v>0.05</v>
      </c>
      <c r="G231" s="3275"/>
    </row>
    <row r="232" spans="1:7">
      <c r="A232" s="3268" t="s">
        <v>304</v>
      </c>
      <c r="B232" s="3257" t="s">
        <v>3207</v>
      </c>
      <c r="C232" s="3269"/>
      <c r="D232" s="3269"/>
      <c r="E232" s="3269"/>
      <c r="F232" s="3258">
        <v>0.05</v>
      </c>
      <c r="G232" s="3275"/>
    </row>
    <row r="233" spans="1:7" ht="14.25" thickBot="1">
      <c r="A233" s="3271" t="s">
        <v>304</v>
      </c>
      <c r="B233" s="3261" t="s">
        <v>3208</v>
      </c>
      <c r="C233" s="3263"/>
      <c r="D233" s="3263"/>
      <c r="E233" s="3263"/>
      <c r="F233" s="3262">
        <v>0.05</v>
      </c>
      <c r="G233" s="3276"/>
    </row>
    <row r="234" spans="1:7">
      <c r="A234" s="3267" t="s">
        <v>305</v>
      </c>
      <c r="B234" s="3253" t="s">
        <v>2857</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2877</v>
      </c>
      <c r="C238" s="3258">
        <v>0.14899999999999999</v>
      </c>
      <c r="D238" s="3258">
        <v>0.14899999999999999</v>
      </c>
      <c r="E238" s="3258">
        <v>0.15</v>
      </c>
      <c r="F238" s="3258">
        <v>0.15</v>
      </c>
      <c r="G238" s="3259">
        <v>0.15</v>
      </c>
    </row>
    <row r="239" spans="1:7">
      <c r="A239" s="3268" t="s">
        <v>305</v>
      </c>
      <c r="B239" s="3257" t="s">
        <v>2881</v>
      </c>
      <c r="C239" s="3258">
        <v>0.15</v>
      </c>
      <c r="D239" s="3258">
        <v>0.15</v>
      </c>
      <c r="E239" s="3258">
        <v>0.15</v>
      </c>
      <c r="F239" s="3258">
        <v>0.15</v>
      </c>
      <c r="G239" s="3259">
        <v>0.15</v>
      </c>
    </row>
    <row r="240" spans="1:7">
      <c r="A240" s="3268" t="s">
        <v>305</v>
      </c>
      <c r="B240" s="3257" t="s">
        <v>2886</v>
      </c>
      <c r="C240" s="3258">
        <v>0.15</v>
      </c>
      <c r="D240" s="3258">
        <v>0.15</v>
      </c>
      <c r="E240" s="3258">
        <v>0.15</v>
      </c>
      <c r="F240" s="3258">
        <v>0.15</v>
      </c>
      <c r="G240" s="3259">
        <v>0.15</v>
      </c>
    </row>
    <row r="241" spans="1:7">
      <c r="A241" s="3268" t="s">
        <v>305</v>
      </c>
      <c r="B241" s="3257" t="s">
        <v>2890</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2896</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2904</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2909</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2917</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2930</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2939</v>
      </c>
      <c r="C258" s="3258">
        <v>0.14299999999999999</v>
      </c>
      <c r="D258" s="3258">
        <v>0.14299999999999999</v>
      </c>
      <c r="E258" s="3258">
        <v>0.15</v>
      </c>
      <c r="F258" s="3258">
        <v>0.14799999999999999</v>
      </c>
      <c r="G258" s="3259">
        <v>0.14599999999999999</v>
      </c>
    </row>
    <row r="259" spans="1:7">
      <c r="A259" s="3268" t="s">
        <v>305</v>
      </c>
      <c r="B259" s="3257" t="s">
        <v>2943</v>
      </c>
      <c r="C259" s="3258">
        <v>0.14399999999999999</v>
      </c>
      <c r="D259" s="3258">
        <v>0.14399999999999999</v>
      </c>
      <c r="E259" s="3258">
        <v>0.14899999999999999</v>
      </c>
      <c r="F259" s="3258">
        <v>0.14699999999999999</v>
      </c>
      <c r="G259" s="3259">
        <v>0.14599999999999999</v>
      </c>
    </row>
    <row r="260" spans="1:7">
      <c r="A260" s="3268" t="s">
        <v>305</v>
      </c>
      <c r="B260" s="3257" t="s">
        <v>2950</v>
      </c>
      <c r="C260" s="3258">
        <v>0.109</v>
      </c>
      <c r="D260" s="3258">
        <v>0.111</v>
      </c>
      <c r="E260" s="3258">
        <v>0.13100000000000001</v>
      </c>
      <c r="F260" s="3258">
        <v>0.126</v>
      </c>
      <c r="G260" s="3259">
        <v>0.11899999999999999</v>
      </c>
    </row>
    <row r="261" spans="1:7">
      <c r="A261" s="3268" t="s">
        <v>305</v>
      </c>
      <c r="B261" s="3257" t="s">
        <v>2957</v>
      </c>
      <c r="C261" s="3258">
        <v>0.1</v>
      </c>
      <c r="D261" s="3258">
        <v>0.1</v>
      </c>
      <c r="E261" s="3258">
        <v>0.11799999999999999</v>
      </c>
      <c r="F261" s="3258">
        <v>0.108</v>
      </c>
      <c r="G261" s="3259">
        <v>0.107</v>
      </c>
    </row>
    <row r="262" spans="1:7">
      <c r="A262" s="3268" t="s">
        <v>305</v>
      </c>
      <c r="B262" s="3257" t="s">
        <v>2963</v>
      </c>
      <c r="C262" s="3258">
        <v>0.1</v>
      </c>
      <c r="D262" s="3258">
        <v>0.1</v>
      </c>
      <c r="E262" s="3258">
        <v>0.1</v>
      </c>
      <c r="F262" s="3258">
        <v>0.14099999999999999</v>
      </c>
      <c r="G262" s="3259">
        <v>0.1</v>
      </c>
    </row>
    <row r="263" spans="1:7">
      <c r="A263" s="3268" t="s">
        <v>305</v>
      </c>
      <c r="B263" s="3257" t="s">
        <v>2970</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2981</v>
      </c>
      <c r="C265" s="3269"/>
      <c r="D265" s="3269"/>
      <c r="E265" s="3269"/>
      <c r="F265" s="3258">
        <v>0.05</v>
      </c>
      <c r="G265" s="3275"/>
    </row>
    <row r="266" spans="1:7">
      <c r="A266" s="3268" t="s">
        <v>305</v>
      </c>
      <c r="B266" s="3257" t="s">
        <v>2985</v>
      </c>
      <c r="C266" s="3269"/>
      <c r="D266" s="3269"/>
      <c r="E266" s="3269"/>
      <c r="F266" s="3258">
        <v>0.05</v>
      </c>
      <c r="G266" s="3275"/>
    </row>
    <row r="267" spans="1:7">
      <c r="A267" s="3268" t="s">
        <v>305</v>
      </c>
      <c r="B267" s="3257" t="s">
        <v>2990</v>
      </c>
      <c r="C267" s="3269"/>
      <c r="D267" s="3269"/>
      <c r="E267" s="3269"/>
      <c r="F267" s="3258">
        <v>0.05</v>
      </c>
      <c r="G267" s="3275"/>
    </row>
    <row r="268" spans="1:7">
      <c r="A268" s="3268" t="s">
        <v>305</v>
      </c>
      <c r="B268" s="3257" t="s">
        <v>2995</v>
      </c>
      <c r="C268" s="3269"/>
      <c r="D268" s="3269"/>
      <c r="E268" s="3269"/>
      <c r="F268" s="3258">
        <v>0.05</v>
      </c>
      <c r="G268" s="3275"/>
    </row>
    <row r="269" spans="1:7">
      <c r="A269" s="3268" t="s">
        <v>305</v>
      </c>
      <c r="B269" s="3257" t="s">
        <v>3000</v>
      </c>
      <c r="C269" s="3269"/>
      <c r="D269" s="3269"/>
      <c r="E269" s="3269"/>
      <c r="F269" s="3258">
        <v>0.05</v>
      </c>
      <c r="G269" s="3275"/>
    </row>
    <row r="270" spans="1:7">
      <c r="A270" s="3268" t="s">
        <v>305</v>
      </c>
      <c r="B270" s="3257" t="s">
        <v>3005</v>
      </c>
      <c r="C270" s="3269"/>
      <c r="D270" s="3269"/>
      <c r="E270" s="3269"/>
      <c r="F270" s="3258">
        <v>0.05</v>
      </c>
      <c r="G270" s="3275"/>
    </row>
    <row r="271" spans="1:7">
      <c r="A271" s="3268" t="s">
        <v>305</v>
      </c>
      <c r="B271" s="3257" t="s">
        <v>3209</v>
      </c>
      <c r="C271" s="3269"/>
      <c r="D271" s="3269"/>
      <c r="E271" s="3269"/>
      <c r="F271" s="3258">
        <v>0.05</v>
      </c>
      <c r="G271" s="3275"/>
    </row>
    <row r="272" spans="1:7">
      <c r="A272" s="3268" t="s">
        <v>305</v>
      </c>
      <c r="B272" s="3257" t="s">
        <v>3210</v>
      </c>
      <c r="C272" s="3269"/>
      <c r="D272" s="3269"/>
      <c r="E272" s="3269"/>
      <c r="F272" s="3258">
        <v>0.05</v>
      </c>
      <c r="G272" s="3275"/>
    </row>
    <row r="273" spans="1:7">
      <c r="A273" s="3268" t="s">
        <v>305</v>
      </c>
      <c r="B273" s="3257" t="s">
        <v>3211</v>
      </c>
      <c r="C273" s="3269"/>
      <c r="D273" s="3269"/>
      <c r="E273" s="3269"/>
      <c r="F273" s="3258">
        <v>0.05</v>
      </c>
      <c r="G273" s="3275"/>
    </row>
    <row r="274" spans="1:7">
      <c r="A274" s="3268" t="s">
        <v>305</v>
      </c>
      <c r="B274" s="3257" t="s">
        <v>3212</v>
      </c>
      <c r="C274" s="3269"/>
      <c r="D274" s="3269"/>
      <c r="E274" s="3269"/>
      <c r="F274" s="3258">
        <v>0.05</v>
      </c>
      <c r="G274" s="3275"/>
    </row>
    <row r="275" spans="1:7">
      <c r="A275" s="3268" t="s">
        <v>305</v>
      </c>
      <c r="B275" s="3257" t="s">
        <v>3213</v>
      </c>
      <c r="C275" s="3269"/>
      <c r="D275" s="3269"/>
      <c r="E275" s="3269"/>
      <c r="F275" s="3258">
        <v>0.05</v>
      </c>
      <c r="G275" s="3275"/>
    </row>
    <row r="276" spans="1:7" ht="14.25" thickBot="1">
      <c r="A276" s="3271" t="s">
        <v>305</v>
      </c>
      <c r="B276" s="3261" t="s">
        <v>3214</v>
      </c>
      <c r="C276" s="3263"/>
      <c r="D276" s="3263"/>
      <c r="E276" s="3263"/>
      <c r="F276" s="3262">
        <v>0.05</v>
      </c>
      <c r="G276" s="3276"/>
    </row>
    <row r="277" spans="1:7">
      <c r="A277" s="3267" t="s">
        <v>306</v>
      </c>
      <c r="B277" s="3253" t="s">
        <v>2858</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2870</v>
      </c>
      <c r="C279" s="3258">
        <v>0.15</v>
      </c>
      <c r="D279" s="3258">
        <v>0.15</v>
      </c>
      <c r="E279" s="3258">
        <v>0.15</v>
      </c>
      <c r="F279" s="3258">
        <v>0.15</v>
      </c>
      <c r="G279" s="3259">
        <v>0.15</v>
      </c>
    </row>
    <row r="280" spans="1:7">
      <c r="A280" s="3268" t="s">
        <v>306</v>
      </c>
      <c r="B280" s="3257" t="s">
        <v>2874</v>
      </c>
      <c r="C280" s="3258">
        <v>0.15</v>
      </c>
      <c r="D280" s="3258">
        <v>0.15</v>
      </c>
      <c r="E280" s="3258">
        <v>0.15</v>
      </c>
      <c r="F280" s="3258">
        <v>0.15</v>
      </c>
      <c r="G280" s="3259">
        <v>0.15</v>
      </c>
    </row>
    <row r="281" spans="1:7">
      <c r="A281" s="3268" t="s">
        <v>306</v>
      </c>
      <c r="B281" s="3257" t="s">
        <v>2878</v>
      </c>
      <c r="C281" s="3258">
        <v>0.15</v>
      </c>
      <c r="D281" s="3258">
        <v>0.15</v>
      </c>
      <c r="E281" s="3258">
        <v>0.15</v>
      </c>
      <c r="F281" s="3258">
        <v>0.15</v>
      </c>
      <c r="G281" s="3259">
        <v>0.15</v>
      </c>
    </row>
    <row r="282" spans="1:7">
      <c r="A282" s="3268" t="s">
        <v>306</v>
      </c>
      <c r="B282" s="3257" t="s">
        <v>2882</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2897</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2902</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2912</v>
      </c>
      <c r="C293" s="3258">
        <v>0.15</v>
      </c>
      <c r="D293" s="3258">
        <v>0.15</v>
      </c>
      <c r="E293" s="3258">
        <v>0.15</v>
      </c>
      <c r="F293" s="3258">
        <v>0.14499999999999999</v>
      </c>
      <c r="G293" s="3259">
        <v>0.15</v>
      </c>
    </row>
    <row r="294" spans="1:7">
      <c r="A294" s="3268" t="s">
        <v>306</v>
      </c>
      <c r="B294" s="3257" t="s">
        <v>2914</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2931</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2944</v>
      </c>
      <c r="C302" s="3258">
        <v>0.15</v>
      </c>
      <c r="D302" s="3258">
        <v>0.15</v>
      </c>
      <c r="E302" s="3258">
        <v>0.15</v>
      </c>
      <c r="F302" s="3258">
        <v>0.14699999999999999</v>
      </c>
      <c r="G302" s="3259">
        <v>0.15</v>
      </c>
    </row>
    <row r="303" spans="1:7">
      <c r="A303" s="3268" t="s">
        <v>306</v>
      </c>
      <c r="B303" s="3257" t="s">
        <v>2951</v>
      </c>
      <c r="C303" s="3258">
        <v>0.15</v>
      </c>
      <c r="D303" s="3258">
        <v>0.15</v>
      </c>
      <c r="E303" s="3258">
        <v>0.15</v>
      </c>
      <c r="F303" s="3258">
        <v>0.14199999999999999</v>
      </c>
      <c r="G303" s="3259">
        <v>0.15</v>
      </c>
    </row>
    <row r="304" spans="1:7">
      <c r="A304" s="3268" t="s">
        <v>306</v>
      </c>
      <c r="B304" s="3257" t="s">
        <v>2958</v>
      </c>
      <c r="C304" s="3258">
        <v>0.15</v>
      </c>
      <c r="D304" s="3258">
        <v>0.15</v>
      </c>
      <c r="E304" s="3258">
        <v>0.15</v>
      </c>
      <c r="F304" s="3258">
        <v>0.14499999999999999</v>
      </c>
      <c r="G304" s="3259">
        <v>0.15</v>
      </c>
    </row>
    <row r="305" spans="1:7">
      <c r="A305" s="3268" t="s">
        <v>306</v>
      </c>
      <c r="B305" s="3257" t="s">
        <v>2964</v>
      </c>
      <c r="C305" s="3258">
        <v>0.15</v>
      </c>
      <c r="D305" s="3258">
        <v>0.15</v>
      </c>
      <c r="E305" s="3258">
        <v>0.15</v>
      </c>
      <c r="F305" s="3258">
        <v>0.111</v>
      </c>
      <c r="G305" s="3259">
        <v>0.15</v>
      </c>
    </row>
    <row r="306" spans="1:7">
      <c r="A306" s="3268" t="s">
        <v>306</v>
      </c>
      <c r="B306" s="3257" t="s">
        <v>2971</v>
      </c>
      <c r="C306" s="3258">
        <v>0.15</v>
      </c>
      <c r="D306" s="3258">
        <v>0.15</v>
      </c>
      <c r="E306" s="3258">
        <v>0.15</v>
      </c>
      <c r="F306" s="3258">
        <v>0.126</v>
      </c>
      <c r="G306" s="3259">
        <v>0.15</v>
      </c>
    </row>
    <row r="307" spans="1:7">
      <c r="A307" s="3268" t="s">
        <v>306</v>
      </c>
      <c r="B307" s="3257" t="s">
        <v>2976</v>
      </c>
      <c r="C307" s="3258">
        <v>0.15</v>
      </c>
      <c r="D307" s="3258">
        <v>0.15</v>
      </c>
      <c r="E307" s="3258">
        <v>0.15</v>
      </c>
      <c r="F307" s="3258">
        <v>0.12</v>
      </c>
      <c r="G307" s="3259">
        <v>0.15</v>
      </c>
    </row>
    <row r="308" spans="1:7">
      <c r="A308" s="3268" t="s">
        <v>306</v>
      </c>
      <c r="B308" s="3257" t="s">
        <v>2982</v>
      </c>
      <c r="C308" s="3258">
        <v>0.15</v>
      </c>
      <c r="D308" s="3258">
        <v>0.15</v>
      </c>
      <c r="E308" s="3258">
        <v>0.15</v>
      </c>
      <c r="F308" s="3258">
        <v>0.13</v>
      </c>
      <c r="G308" s="3259">
        <v>0.15</v>
      </c>
    </row>
    <row r="309" spans="1:7">
      <c r="A309" s="3268" t="s">
        <v>306</v>
      </c>
      <c r="B309" s="3257" t="s">
        <v>2986</v>
      </c>
      <c r="C309" s="3258">
        <v>0.15</v>
      </c>
      <c r="D309" s="3258">
        <v>0.15</v>
      </c>
      <c r="E309" s="3258">
        <v>0.15</v>
      </c>
      <c r="F309" s="3258">
        <v>0.14099999999999999</v>
      </c>
      <c r="G309" s="3259">
        <v>0.15</v>
      </c>
    </row>
    <row r="310" spans="1:7">
      <c r="A310" s="3268" t="s">
        <v>306</v>
      </c>
      <c r="B310" s="3257" t="s">
        <v>2991</v>
      </c>
      <c r="C310" s="3258">
        <v>0.15</v>
      </c>
      <c r="D310" s="3258">
        <v>0.15</v>
      </c>
      <c r="E310" s="3258">
        <v>0.15</v>
      </c>
      <c r="F310" s="3258">
        <v>0.15</v>
      </c>
      <c r="G310" s="3259">
        <v>0.15</v>
      </c>
    </row>
    <row r="311" spans="1:7">
      <c r="A311" s="3268" t="s">
        <v>306</v>
      </c>
      <c r="B311" s="3257" t="s">
        <v>2996</v>
      </c>
      <c r="C311" s="3258">
        <v>0.13200000000000001</v>
      </c>
      <c r="D311" s="3258">
        <v>0.13300000000000001</v>
      </c>
      <c r="E311" s="3258">
        <v>0.14499999999999999</v>
      </c>
      <c r="F311" s="3258">
        <v>0.14199999999999999</v>
      </c>
      <c r="G311" s="3259">
        <v>0.14000000000000001</v>
      </c>
    </row>
    <row r="312" spans="1:7">
      <c r="A312" s="3268" t="s">
        <v>306</v>
      </c>
      <c r="B312" s="3257" t="s">
        <v>3001</v>
      </c>
      <c r="C312" s="3258">
        <v>0.13800000000000001</v>
      </c>
      <c r="D312" s="3258">
        <v>0.14000000000000001</v>
      </c>
      <c r="E312" s="3258">
        <v>0.14599999999999999</v>
      </c>
      <c r="F312" s="3258">
        <v>0.14899999999999999</v>
      </c>
      <c r="G312" s="3259">
        <v>0.14199999999999999</v>
      </c>
    </row>
    <row r="313" spans="1:7">
      <c r="A313" s="3268" t="s">
        <v>306</v>
      </c>
      <c r="B313" s="3257" t="s">
        <v>3006</v>
      </c>
      <c r="C313" s="3258">
        <v>0.125</v>
      </c>
      <c r="D313" s="3258">
        <v>0.127</v>
      </c>
      <c r="E313" s="3258">
        <v>0.14399999999999999</v>
      </c>
      <c r="F313" s="3258">
        <v>0.115</v>
      </c>
      <c r="G313" s="3259">
        <v>0.13600000000000001</v>
      </c>
    </row>
    <row r="314" spans="1:7">
      <c r="A314" s="3268" t="s">
        <v>306</v>
      </c>
      <c r="B314" s="3257" t="s">
        <v>3215</v>
      </c>
      <c r="C314" s="3274"/>
      <c r="D314" s="3274"/>
      <c r="E314" s="3274"/>
      <c r="F314" s="3258">
        <v>0.05</v>
      </c>
      <c r="G314" s="3275"/>
    </row>
    <row r="315" spans="1:7">
      <c r="A315" s="3268" t="s">
        <v>306</v>
      </c>
      <c r="B315" s="3257" t="s">
        <v>3216</v>
      </c>
      <c r="C315" s="3274"/>
      <c r="D315" s="3274"/>
      <c r="E315" s="3274"/>
      <c r="F315" s="3258">
        <v>0.05</v>
      </c>
      <c r="G315" s="3275"/>
    </row>
    <row r="316" spans="1:7">
      <c r="A316" s="3268" t="s">
        <v>306</v>
      </c>
      <c r="B316" s="3257" t="s">
        <v>3217</v>
      </c>
      <c r="C316" s="3269"/>
      <c r="D316" s="3269"/>
      <c r="E316" s="3269"/>
      <c r="F316" s="3258">
        <v>0.05</v>
      </c>
      <c r="G316" s="3275"/>
    </row>
    <row r="317" spans="1:7">
      <c r="A317" s="3268" t="s">
        <v>306</v>
      </c>
      <c r="B317" s="3257" t="s">
        <v>3218</v>
      </c>
      <c r="C317" s="3269"/>
      <c r="D317" s="3269"/>
      <c r="E317" s="3269"/>
      <c r="F317" s="3258">
        <v>0.05</v>
      </c>
      <c r="G317" s="3275"/>
    </row>
    <row r="318" spans="1:7">
      <c r="A318" s="3268" t="s">
        <v>306</v>
      </c>
      <c r="B318" s="3257" t="s">
        <v>3219</v>
      </c>
      <c r="C318" s="3269"/>
      <c r="D318" s="3269"/>
      <c r="E318" s="3269"/>
      <c r="F318" s="3258">
        <v>0.05</v>
      </c>
      <c r="G318" s="3275"/>
    </row>
    <row r="319" spans="1:7">
      <c r="A319" s="3268" t="s">
        <v>306</v>
      </c>
      <c r="B319" s="3257" t="s">
        <v>3220</v>
      </c>
      <c r="C319" s="3269"/>
      <c r="D319" s="3269"/>
      <c r="E319" s="3269"/>
      <c r="F319" s="3258">
        <v>0.05</v>
      </c>
      <c r="G319" s="3275"/>
    </row>
    <row r="320" spans="1:7">
      <c r="A320" s="3268" t="s">
        <v>306</v>
      </c>
      <c r="B320" s="3257" t="s">
        <v>3221</v>
      </c>
      <c r="C320" s="3269"/>
      <c r="D320" s="3269"/>
      <c r="E320" s="3269"/>
      <c r="F320" s="3258">
        <v>0.05</v>
      </c>
      <c r="G320" s="3275"/>
    </row>
    <row r="321" spans="1:7">
      <c r="A321" s="3268" t="s">
        <v>306</v>
      </c>
      <c r="B321" s="3257" t="s">
        <v>3222</v>
      </c>
      <c r="C321" s="3269"/>
      <c r="D321" s="3269"/>
      <c r="E321" s="3269"/>
      <c r="F321" s="3258">
        <v>0.05</v>
      </c>
      <c r="G321" s="3275"/>
    </row>
    <row r="322" spans="1:7">
      <c r="A322" s="3268" t="s">
        <v>306</v>
      </c>
      <c r="B322" s="3257" t="s">
        <v>3223</v>
      </c>
      <c r="C322" s="3269"/>
      <c r="D322" s="3269"/>
      <c r="E322" s="3269"/>
      <c r="F322" s="3258">
        <v>0.05</v>
      </c>
      <c r="G322" s="3275"/>
    </row>
    <row r="323" spans="1:7">
      <c r="A323" s="3268" t="s">
        <v>306</v>
      </c>
      <c r="B323" s="3257" t="s">
        <v>3224</v>
      </c>
      <c r="C323" s="3269"/>
      <c r="D323" s="3269"/>
      <c r="E323" s="3269"/>
      <c r="F323" s="3258">
        <v>0.05</v>
      </c>
      <c r="G323" s="3275"/>
    </row>
    <row r="324" spans="1:7">
      <c r="A324" s="3268" t="s">
        <v>306</v>
      </c>
      <c r="B324" s="3257" t="s">
        <v>3225</v>
      </c>
      <c r="C324" s="3269"/>
      <c r="D324" s="3269"/>
      <c r="E324" s="3269"/>
      <c r="F324" s="3258">
        <v>0.05</v>
      </c>
      <c r="G324" s="3275"/>
    </row>
    <row r="325" spans="1:7">
      <c r="A325" s="3268" t="s">
        <v>306</v>
      </c>
      <c r="B325" s="3257" t="s">
        <v>3226</v>
      </c>
      <c r="C325" s="3269"/>
      <c r="D325" s="3269"/>
      <c r="E325" s="3269"/>
      <c r="F325" s="3258">
        <v>0.05</v>
      </c>
      <c r="G325" s="3275"/>
    </row>
    <row r="326" spans="1:7" ht="14.25" thickBot="1">
      <c r="A326" s="3271" t="s">
        <v>306</v>
      </c>
      <c r="B326" s="3261" t="s">
        <v>3227</v>
      </c>
      <c r="C326" s="3263"/>
      <c r="D326" s="3263"/>
      <c r="E326" s="3263"/>
      <c r="F326" s="3262">
        <v>0.05</v>
      </c>
      <c r="G326" s="3276"/>
    </row>
    <row r="327" spans="1:7">
      <c r="A327" s="3267" t="s">
        <v>307</v>
      </c>
      <c r="B327" s="3253" t="s">
        <v>2859</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2871</v>
      </c>
      <c r="C329" s="3258">
        <v>0.15</v>
      </c>
      <c r="D329" s="3258">
        <v>0.15</v>
      </c>
      <c r="E329" s="3258">
        <v>0.15</v>
      </c>
      <c r="F329" s="3258">
        <v>0.15</v>
      </c>
      <c r="G329" s="3259">
        <v>0.15</v>
      </c>
    </row>
    <row r="330" spans="1:7">
      <c r="A330" s="3268" t="s">
        <v>307</v>
      </c>
      <c r="B330" s="3257" t="s">
        <v>2875</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2883</v>
      </c>
      <c r="C332" s="3258">
        <v>0.15</v>
      </c>
      <c r="D332" s="3258">
        <v>0.15</v>
      </c>
      <c r="E332" s="3258">
        <v>0.15</v>
      </c>
      <c r="F332" s="3258">
        <v>0.15</v>
      </c>
      <c r="G332" s="3259">
        <v>0.15</v>
      </c>
    </row>
    <row r="333" spans="1:7">
      <c r="A333" s="3268" t="s">
        <v>307</v>
      </c>
      <c r="B333" s="3257" t="s">
        <v>2887</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2893</v>
      </c>
      <c r="C336" s="3258">
        <v>0.15</v>
      </c>
      <c r="D336" s="3258">
        <v>0.15</v>
      </c>
      <c r="E336" s="3258">
        <v>0.15</v>
      </c>
      <c r="F336" s="3258">
        <v>0.14199999999999999</v>
      </c>
      <c r="G336" s="3259">
        <v>0.15</v>
      </c>
    </row>
    <row r="337" spans="1:7">
      <c r="A337" s="3268" t="s">
        <v>307</v>
      </c>
      <c r="B337" s="3257" t="s">
        <v>2898</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2905</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2910</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2918</v>
      </c>
      <c r="C345" s="3258">
        <v>0.15</v>
      </c>
      <c r="D345" s="3258">
        <v>0.15</v>
      </c>
      <c r="E345" s="3258">
        <v>0.15</v>
      </c>
      <c r="F345" s="3258">
        <v>0.13800000000000001</v>
      </c>
      <c r="G345" s="3259">
        <v>0.15</v>
      </c>
    </row>
    <row r="346" spans="1:7">
      <c r="A346" s="3268" t="s">
        <v>307</v>
      </c>
      <c r="B346" s="3257" t="s">
        <v>2920</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2927</v>
      </c>
      <c r="C348" s="3258">
        <v>0.15</v>
      </c>
      <c r="D348" s="3258">
        <v>0.15</v>
      </c>
      <c r="E348" s="3258">
        <v>0.15</v>
      </c>
      <c r="F348" s="3258">
        <v>0.14399999999999999</v>
      </c>
      <c r="G348" s="3259">
        <v>0.15</v>
      </c>
    </row>
    <row r="349" spans="1:7">
      <c r="A349" s="3268" t="s">
        <v>307</v>
      </c>
      <c r="B349" s="3257" t="s">
        <v>2932</v>
      </c>
      <c r="C349" s="3258">
        <v>0.15</v>
      </c>
      <c r="D349" s="3258">
        <v>0.15</v>
      </c>
      <c r="E349" s="3258">
        <v>0.15</v>
      </c>
      <c r="F349" s="3258">
        <v>0.15</v>
      </c>
      <c r="G349" s="3259">
        <v>0.15</v>
      </c>
    </row>
    <row r="350" spans="1:7">
      <c r="A350" s="3268" t="s">
        <v>307</v>
      </c>
      <c r="B350" s="3257" t="s">
        <v>2935</v>
      </c>
      <c r="C350" s="3258">
        <v>0.15</v>
      </c>
      <c r="D350" s="3258">
        <v>0.15</v>
      </c>
      <c r="E350" s="3258">
        <v>0.15</v>
      </c>
      <c r="F350" s="3258">
        <v>0.14699999999999999</v>
      </c>
      <c r="G350" s="3259">
        <v>0.15</v>
      </c>
    </row>
    <row r="351" spans="1:7">
      <c r="A351" s="3268" t="s">
        <v>307</v>
      </c>
      <c r="B351" s="3257" t="s">
        <v>2940</v>
      </c>
      <c r="C351" s="3258">
        <v>0.15</v>
      </c>
      <c r="D351" s="3258">
        <v>0.15</v>
      </c>
      <c r="E351" s="3258">
        <v>0.15</v>
      </c>
      <c r="F351" s="3258">
        <v>0.13</v>
      </c>
      <c r="G351" s="3259">
        <v>0.15</v>
      </c>
    </row>
    <row r="352" spans="1:7">
      <c r="A352" s="3268" t="s">
        <v>307</v>
      </c>
      <c r="B352" s="3257" t="s">
        <v>2945</v>
      </c>
      <c r="C352" s="3258">
        <v>0.15</v>
      </c>
      <c r="D352" s="3258">
        <v>0.15</v>
      </c>
      <c r="E352" s="3258">
        <v>0.15</v>
      </c>
      <c r="F352" s="3258">
        <v>0.14599999999999999</v>
      </c>
      <c r="G352" s="3259">
        <v>0.15</v>
      </c>
    </row>
    <row r="353" spans="1:7">
      <c r="A353" s="3268" t="s">
        <v>307</v>
      </c>
      <c r="B353" s="3257" t="s">
        <v>2952</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2965</v>
      </c>
      <c r="C355" s="3258">
        <v>0.15</v>
      </c>
      <c r="D355" s="3258">
        <v>0.15</v>
      </c>
      <c r="E355" s="3258">
        <v>0.15</v>
      </c>
      <c r="F355" s="3258">
        <v>0.15</v>
      </c>
      <c r="G355" s="3259">
        <v>0.15</v>
      </c>
    </row>
    <row r="356" spans="1:7">
      <c r="A356" s="3268" t="s">
        <v>307</v>
      </c>
      <c r="B356" s="3257" t="s">
        <v>2972</v>
      </c>
      <c r="C356" s="3258">
        <v>0.15</v>
      </c>
      <c r="D356" s="3258">
        <v>0.15</v>
      </c>
      <c r="E356" s="3258">
        <v>0.15</v>
      </c>
      <c r="F356" s="3258">
        <v>0.15</v>
      </c>
      <c r="G356" s="3259">
        <v>0.15</v>
      </c>
    </row>
    <row r="357" spans="1:7" ht="14.25" thickBot="1">
      <c r="A357" s="3271" t="s">
        <v>307</v>
      </c>
      <c r="B357" s="3261" t="s">
        <v>2977</v>
      </c>
      <c r="C357" s="3262">
        <v>0.126</v>
      </c>
      <c r="D357" s="3262">
        <v>0.127</v>
      </c>
      <c r="E357" s="3262">
        <v>0.14299999999999999</v>
      </c>
      <c r="F357" s="3262">
        <v>0.125</v>
      </c>
      <c r="G357" s="3264">
        <v>0.129</v>
      </c>
    </row>
    <row r="358" spans="1:7">
      <c r="A358" s="3267" t="s">
        <v>2846</v>
      </c>
      <c r="B358" s="3253" t="s">
        <v>2860</v>
      </c>
      <c r="C358" s="3254">
        <v>0.15</v>
      </c>
      <c r="D358" s="3254">
        <v>0.15</v>
      </c>
      <c r="E358" s="3254">
        <v>0.15</v>
      </c>
      <c r="F358" s="3254">
        <v>0.15</v>
      </c>
      <c r="G358" s="3255">
        <v>0.15</v>
      </c>
    </row>
    <row r="359" spans="1:7">
      <c r="A359" s="3268" t="s">
        <v>2846</v>
      </c>
      <c r="B359" s="3257" t="s">
        <v>2866</v>
      </c>
      <c r="C359" s="3258">
        <v>0.1</v>
      </c>
      <c r="D359" s="3258">
        <v>0.1</v>
      </c>
      <c r="E359" s="3258">
        <v>0.1</v>
      </c>
      <c r="F359" s="3258">
        <v>0.1</v>
      </c>
      <c r="G359" s="3259">
        <v>0.1</v>
      </c>
    </row>
    <row r="360" spans="1:7">
      <c r="A360" s="3268" t="s">
        <v>2846</v>
      </c>
      <c r="B360" s="3257" t="s">
        <v>2872</v>
      </c>
      <c r="C360" s="3258">
        <v>0.15</v>
      </c>
      <c r="D360" s="3258">
        <v>0.15</v>
      </c>
      <c r="E360" s="3258">
        <v>0.15</v>
      </c>
      <c r="F360" s="3258">
        <v>0.14899999999999999</v>
      </c>
      <c r="G360" s="3259">
        <v>0.15</v>
      </c>
    </row>
    <row r="361" spans="1:7">
      <c r="A361" s="3268" t="s">
        <v>2846</v>
      </c>
      <c r="B361" s="3257" t="s">
        <v>153</v>
      </c>
      <c r="C361" s="3258">
        <v>0.15</v>
      </c>
      <c r="D361" s="3258">
        <v>0.15</v>
      </c>
      <c r="E361" s="3258">
        <v>0.15</v>
      </c>
      <c r="F361" s="3258">
        <v>0.115</v>
      </c>
      <c r="G361" s="3259">
        <v>0.15</v>
      </c>
    </row>
    <row r="362" spans="1:7">
      <c r="A362" s="3268" t="s">
        <v>2846</v>
      </c>
      <c r="B362" s="3257" t="s">
        <v>2879</v>
      </c>
      <c r="C362" s="3258">
        <v>0.15</v>
      </c>
      <c r="D362" s="3258">
        <v>0.15</v>
      </c>
      <c r="E362" s="3258">
        <v>0.15</v>
      </c>
      <c r="F362" s="3258">
        <v>0.106</v>
      </c>
      <c r="G362" s="3259">
        <v>0.15</v>
      </c>
    </row>
    <row r="363" spans="1:7">
      <c r="A363" s="3268" t="s">
        <v>2846</v>
      </c>
      <c r="B363" s="3257" t="s">
        <v>2884</v>
      </c>
      <c r="C363" s="3258">
        <v>0.15</v>
      </c>
      <c r="D363" s="3258">
        <v>0.15</v>
      </c>
      <c r="E363" s="3258">
        <v>0.15</v>
      </c>
      <c r="F363" s="3258">
        <v>0.14699999999999999</v>
      </c>
      <c r="G363" s="3259">
        <v>0.15</v>
      </c>
    </row>
    <row r="364" spans="1:7">
      <c r="A364" s="3268" t="s">
        <v>2846</v>
      </c>
      <c r="B364" s="3257" t="s">
        <v>2888</v>
      </c>
      <c r="C364" s="3258">
        <v>0.15</v>
      </c>
      <c r="D364" s="3258">
        <v>0.15</v>
      </c>
      <c r="E364" s="3258">
        <v>0.15</v>
      </c>
      <c r="F364" s="3258">
        <v>0.14799999999999999</v>
      </c>
      <c r="G364" s="3259">
        <v>0.15</v>
      </c>
    </row>
    <row r="365" spans="1:7">
      <c r="A365" s="3268" t="s">
        <v>2846</v>
      </c>
      <c r="B365" s="3257" t="s">
        <v>200</v>
      </c>
      <c r="C365" s="3258">
        <v>0.15</v>
      </c>
      <c r="D365" s="3258">
        <v>0.15</v>
      </c>
      <c r="E365" s="3258">
        <v>0.15</v>
      </c>
      <c r="F365" s="3258">
        <v>0.15</v>
      </c>
      <c r="G365" s="3259">
        <v>0.15</v>
      </c>
    </row>
    <row r="366" spans="1:7">
      <c r="A366" s="3268" t="s">
        <v>2846</v>
      </c>
      <c r="B366" s="3257" t="s">
        <v>2891</v>
      </c>
      <c r="C366" s="3258">
        <v>0.15</v>
      </c>
      <c r="D366" s="3258">
        <v>0.15</v>
      </c>
      <c r="E366" s="3258">
        <v>0.15</v>
      </c>
      <c r="F366" s="3258">
        <v>0.15</v>
      </c>
      <c r="G366" s="3259">
        <v>0.15</v>
      </c>
    </row>
    <row r="367" spans="1:7">
      <c r="A367" s="3268" t="s">
        <v>2846</v>
      </c>
      <c r="B367" s="3257" t="s">
        <v>2894</v>
      </c>
      <c r="C367" s="3258">
        <v>0.15</v>
      </c>
      <c r="D367" s="3258">
        <v>0.15</v>
      </c>
      <c r="E367" s="3258">
        <v>0.15</v>
      </c>
      <c r="F367" s="3258">
        <v>0.14699999999999999</v>
      </c>
      <c r="G367" s="3259">
        <v>0.15</v>
      </c>
    </row>
    <row r="368" spans="1:7">
      <c r="A368" s="3268" t="s">
        <v>2846</v>
      </c>
      <c r="B368" s="3257" t="s">
        <v>2899</v>
      </c>
      <c r="C368" s="3258">
        <v>0.15</v>
      </c>
      <c r="D368" s="3258">
        <v>0.15</v>
      </c>
      <c r="E368" s="3258">
        <v>0.15</v>
      </c>
      <c r="F368" s="3258">
        <v>0.13600000000000001</v>
      </c>
      <c r="G368" s="3259">
        <v>0.15</v>
      </c>
    </row>
    <row r="369" spans="1:7">
      <c r="A369" s="3268" t="s">
        <v>2846</v>
      </c>
      <c r="B369" s="3257" t="s">
        <v>214</v>
      </c>
      <c r="C369" s="3258">
        <v>0.15</v>
      </c>
      <c r="D369" s="3258">
        <v>0.15</v>
      </c>
      <c r="E369" s="3258">
        <v>0.15</v>
      </c>
      <c r="F369" s="3258">
        <v>0.14399999999999999</v>
      </c>
      <c r="G369" s="3259">
        <v>0.15</v>
      </c>
    </row>
    <row r="370" spans="1:7">
      <c r="A370" s="3268" t="s">
        <v>2846</v>
      </c>
      <c r="B370" s="3257" t="s">
        <v>221</v>
      </c>
      <c r="C370" s="3258">
        <v>0.15</v>
      </c>
      <c r="D370" s="3258">
        <v>0.15</v>
      </c>
      <c r="E370" s="3258">
        <v>0.15</v>
      </c>
      <c r="F370" s="3258">
        <v>0.14599999999999999</v>
      </c>
      <c r="G370" s="3259">
        <v>0.15</v>
      </c>
    </row>
    <row r="371" spans="1:7">
      <c r="A371" s="3268" t="s">
        <v>2846</v>
      </c>
      <c r="B371" s="3257" t="s">
        <v>229</v>
      </c>
      <c r="C371" s="3258">
        <v>0.15</v>
      </c>
      <c r="D371" s="3258">
        <v>0.15</v>
      </c>
      <c r="E371" s="3258">
        <v>0.15</v>
      </c>
      <c r="F371" s="3258">
        <v>0.12</v>
      </c>
      <c r="G371" s="3259">
        <v>0.15</v>
      </c>
    </row>
    <row r="372" spans="1:7">
      <c r="A372" s="3268" t="s">
        <v>2846</v>
      </c>
      <c r="B372" s="3257" t="s">
        <v>2907</v>
      </c>
      <c r="C372" s="3258">
        <v>0.15</v>
      </c>
      <c r="D372" s="3258">
        <v>0.15</v>
      </c>
      <c r="E372" s="3258">
        <v>0.15</v>
      </c>
      <c r="F372" s="3258">
        <v>0.14299999999999999</v>
      </c>
      <c r="G372" s="3259">
        <v>0.15</v>
      </c>
    </row>
    <row r="373" spans="1:7">
      <c r="A373" s="3268" t="s">
        <v>2846</v>
      </c>
      <c r="B373" s="3257" t="s">
        <v>258</v>
      </c>
      <c r="C373" s="3258">
        <v>0.15</v>
      </c>
      <c r="D373" s="3258">
        <v>0.15</v>
      </c>
      <c r="E373" s="3258">
        <v>0.15</v>
      </c>
      <c r="F373" s="3258">
        <v>0.14599999999999999</v>
      </c>
      <c r="G373" s="3259">
        <v>0.15</v>
      </c>
    </row>
    <row r="374" spans="1:7">
      <c r="A374" s="3268" t="s">
        <v>2846</v>
      </c>
      <c r="B374" s="3257" t="s">
        <v>266</v>
      </c>
      <c r="C374" s="3258">
        <v>0.15</v>
      </c>
      <c r="D374" s="3258">
        <v>0.15</v>
      </c>
      <c r="E374" s="3258">
        <v>0.15</v>
      </c>
      <c r="F374" s="3258">
        <v>0.14399999999999999</v>
      </c>
      <c r="G374" s="3259">
        <v>0.15</v>
      </c>
    </row>
    <row r="375" spans="1:7">
      <c r="A375" s="3268" t="s">
        <v>2846</v>
      </c>
      <c r="B375" s="3257" t="s">
        <v>2915</v>
      </c>
      <c r="C375" s="3258">
        <v>0.15</v>
      </c>
      <c r="D375" s="3258">
        <v>0.15</v>
      </c>
      <c r="E375" s="3258">
        <v>0.15</v>
      </c>
      <c r="F375" s="3258">
        <v>0.13</v>
      </c>
      <c r="G375" s="3259">
        <v>0.15</v>
      </c>
    </row>
    <row r="376" spans="1:7">
      <c r="A376" s="3268" t="s">
        <v>2846</v>
      </c>
      <c r="B376" s="3257" t="s">
        <v>277</v>
      </c>
      <c r="C376" s="3258">
        <v>0.15</v>
      </c>
      <c r="D376" s="3258">
        <v>0.15</v>
      </c>
      <c r="E376" s="3258">
        <v>0.15</v>
      </c>
      <c r="F376" s="3258">
        <v>0.14199999999999999</v>
      </c>
      <c r="G376" s="3259">
        <v>0.15</v>
      </c>
    </row>
    <row r="377" spans="1:7" ht="14.25" thickBot="1">
      <c r="A377" s="3271" t="s">
        <v>2846</v>
      </c>
      <c r="B377" s="3261" t="s">
        <v>2921</v>
      </c>
      <c r="C377" s="3262">
        <v>0.15</v>
      </c>
      <c r="D377" s="3262">
        <v>0.15</v>
      </c>
      <c r="E377" s="3262">
        <v>0.15</v>
      </c>
      <c r="F377" s="3262">
        <v>0.14000000000000001</v>
      </c>
      <c r="G377" s="3264">
        <v>0.15</v>
      </c>
    </row>
    <row r="378" spans="1:7">
      <c r="A378" s="3267" t="s">
        <v>2847</v>
      </c>
      <c r="B378" s="3253" t="s">
        <v>2861</v>
      </c>
      <c r="C378" s="3254">
        <v>0.15</v>
      </c>
      <c r="D378" s="3254">
        <v>0.15</v>
      </c>
      <c r="E378" s="3254">
        <v>0.15</v>
      </c>
      <c r="F378" s="3254">
        <v>0.107</v>
      </c>
      <c r="G378" s="3255">
        <v>0.15</v>
      </c>
    </row>
    <row r="379" spans="1:7">
      <c r="A379" s="3268" t="s">
        <v>2847</v>
      </c>
      <c r="B379" s="3257" t="s">
        <v>2867</v>
      </c>
      <c r="C379" s="3258">
        <v>0.15</v>
      </c>
      <c r="D379" s="3258">
        <v>0.15</v>
      </c>
      <c r="E379" s="3258">
        <v>0.15</v>
      </c>
      <c r="F379" s="3258">
        <v>0.115</v>
      </c>
      <c r="G379" s="3259">
        <v>0.14899999999999999</v>
      </c>
    </row>
    <row r="380" spans="1:7">
      <c r="A380" s="3268" t="s">
        <v>2847</v>
      </c>
      <c r="B380" s="3257" t="s">
        <v>2873</v>
      </c>
      <c r="C380" s="3258">
        <v>0.15</v>
      </c>
      <c r="D380" s="3258">
        <v>0.15</v>
      </c>
      <c r="E380" s="3258">
        <v>0.15</v>
      </c>
      <c r="F380" s="3258">
        <v>0.1</v>
      </c>
      <c r="G380" s="3259">
        <v>0.14799999999999999</v>
      </c>
    </row>
    <row r="381" spans="1:7">
      <c r="A381" s="3268" t="s">
        <v>2847</v>
      </c>
      <c r="B381" s="3257" t="s">
        <v>2876</v>
      </c>
      <c r="C381" s="3258">
        <v>0.15</v>
      </c>
      <c r="D381" s="3258">
        <v>0.15</v>
      </c>
      <c r="E381" s="3258">
        <v>0.15</v>
      </c>
      <c r="F381" s="3258">
        <v>0.126</v>
      </c>
      <c r="G381" s="3259">
        <v>0.15</v>
      </c>
    </row>
    <row r="382" spans="1:7">
      <c r="A382" s="3268" t="s">
        <v>2847</v>
      </c>
      <c r="B382" s="3257" t="s">
        <v>2880</v>
      </c>
      <c r="C382" s="3258">
        <v>0.15</v>
      </c>
      <c r="D382" s="3258">
        <v>0.15</v>
      </c>
      <c r="E382" s="3258">
        <v>0.15</v>
      </c>
      <c r="F382" s="3258">
        <v>0.15</v>
      </c>
      <c r="G382" s="3259">
        <v>0.15</v>
      </c>
    </row>
    <row r="383" spans="1:7">
      <c r="A383" s="3268" t="s">
        <v>2847</v>
      </c>
      <c r="B383" s="3257" t="s">
        <v>2885</v>
      </c>
      <c r="C383" s="3258">
        <v>0.15</v>
      </c>
      <c r="D383" s="3258">
        <v>0.15</v>
      </c>
      <c r="E383" s="3258">
        <v>0.15</v>
      </c>
      <c r="F383" s="3258">
        <v>0.14699999999999999</v>
      </c>
      <c r="G383" s="3259">
        <v>0.15</v>
      </c>
    </row>
    <row r="384" spans="1:7" ht="14.25" thickBot="1">
      <c r="A384" s="3278" t="s">
        <v>2847</v>
      </c>
      <c r="B384" s="3279" t="s">
        <v>2889</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86" t="s">
        <v>3228</v>
      </c>
      <c r="B1" s="3786"/>
      <c r="C1" s="3786"/>
      <c r="D1" s="3786"/>
      <c r="E1" s="3786"/>
      <c r="F1" s="3787"/>
    </row>
    <row r="2" spans="1:6">
      <c r="A2" s="3284" t="s">
        <v>3229</v>
      </c>
      <c r="B2" s="3285"/>
      <c r="C2" s="3285"/>
      <c r="D2" s="3285"/>
      <c r="E2" s="3285"/>
      <c r="F2" s="3285"/>
    </row>
    <row r="3" spans="1:6">
      <c r="A3" s="3284" t="s">
        <v>3230</v>
      </c>
      <c r="B3" s="3285"/>
      <c r="C3" s="3285"/>
      <c r="D3" s="3285"/>
      <c r="E3" s="3285"/>
      <c r="F3" s="3286" t="s">
        <v>3231</v>
      </c>
    </row>
    <row r="4" spans="1:6">
      <c r="A4" s="3287" t="s">
        <v>672</v>
      </c>
      <c r="B4" s="3287" t="s">
        <v>673</v>
      </c>
      <c r="C4" s="3287" t="s">
        <v>21</v>
      </c>
      <c r="D4" s="3287" t="s">
        <v>674</v>
      </c>
      <c r="E4" s="3287" t="s">
        <v>3</v>
      </c>
      <c r="F4" s="3287" t="s">
        <v>3232</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45058</v>
      </c>
      <c r="B1" s="3203" t="s">
        <v>2834</v>
      </c>
      <c r="C1" s="3204"/>
      <c r="D1" s="3204"/>
      <c r="E1" s="3204"/>
      <c r="F1" s="3204"/>
      <c r="G1" s="3204"/>
      <c r="H1" s="3204"/>
      <c r="I1" s="3204"/>
      <c r="J1" s="3158"/>
      <c r="K1" s="3204" t="s">
        <v>454</v>
      </c>
      <c r="L1" s="3204"/>
      <c r="M1" s="3204"/>
      <c r="N1" s="3204"/>
      <c r="O1" s="3204"/>
      <c r="P1" s="3204"/>
      <c r="Q1" s="3158"/>
      <c r="R1" s="3788" t="s">
        <v>456</v>
      </c>
      <c r="S1" s="3789"/>
      <c r="T1" s="3789"/>
      <c r="U1" s="3789"/>
      <c r="V1" s="3789"/>
      <c r="W1" s="3789"/>
      <c r="X1" s="3158"/>
      <c r="Y1" s="3788" t="s">
        <v>457</v>
      </c>
      <c r="Z1" s="3789"/>
      <c r="AA1" s="3789"/>
      <c r="AB1" s="3789"/>
      <c r="AC1" s="3789"/>
      <c r="AD1" s="3789"/>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2814</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2815</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2816</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2817</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2818</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2819</v>
      </c>
    </row>
    <row r="20" spans="1:30" s="3002" customFormat="1"/>
    <row r="21" spans="1:30" s="3202" customFormat="1" ht="12.75">
      <c r="B21" s="3203" t="s">
        <v>2820</v>
      </c>
      <c r="C21" s="3204"/>
      <c r="D21" s="3204"/>
      <c r="E21" s="3204"/>
      <c r="F21" s="3204"/>
      <c r="G21" s="3204"/>
      <c r="H21" s="3204"/>
      <c r="I21" s="3204"/>
      <c r="J21" s="3158"/>
      <c r="K21" s="3204" t="s">
        <v>2821</v>
      </c>
      <c r="L21" s="3204"/>
      <c r="M21" s="3204"/>
      <c r="N21" s="3204"/>
      <c r="O21" s="3204"/>
      <c r="P21" s="3204"/>
      <c r="Q21" s="3158"/>
      <c r="R21" s="3788" t="s">
        <v>2822</v>
      </c>
      <c r="S21" s="3789"/>
      <c r="T21" s="3789"/>
      <c r="U21" s="3789"/>
      <c r="V21" s="3789"/>
      <c r="W21" s="3789"/>
      <c r="X21" s="3158"/>
      <c r="Y21" s="3788" t="s">
        <v>2823</v>
      </c>
      <c r="Z21" s="3789"/>
      <c r="AA21" s="3789"/>
      <c r="AB21" s="3789"/>
      <c r="AC21" s="3789"/>
      <c r="AD21" s="3789"/>
    </row>
    <row r="22" spans="1:30" s="3136" customFormat="1" ht="14.25" thickBot="1">
      <c r="B22" s="3137"/>
      <c r="C22" s="3138"/>
      <c r="D22" s="3139" t="s">
        <v>2824</v>
      </c>
      <c r="E22" s="3140" t="s">
        <v>2825</v>
      </c>
      <c r="F22" s="3140" t="s">
        <v>2826</v>
      </c>
      <c r="G22" s="3140" t="s">
        <v>2827</v>
      </c>
      <c r="H22" s="3140"/>
      <c r="I22" s="3140" t="s">
        <v>2828</v>
      </c>
      <c r="J22" s="3141"/>
      <c r="K22" s="3139" t="s">
        <v>2824</v>
      </c>
      <c r="L22" s="3140" t="s">
        <v>2825</v>
      </c>
      <c r="M22" s="3140" t="s">
        <v>2826</v>
      </c>
      <c r="N22" s="3140" t="s">
        <v>2827</v>
      </c>
      <c r="O22" s="3140"/>
      <c r="P22" s="3140" t="s">
        <v>2828</v>
      </c>
      <c r="Q22" s="3141"/>
      <c r="R22" s="3139" t="s">
        <v>2824</v>
      </c>
      <c r="S22" s="3140" t="s">
        <v>2825</v>
      </c>
      <c r="T22" s="3140" t="s">
        <v>2826</v>
      </c>
      <c r="U22" s="3140" t="s">
        <v>2827</v>
      </c>
      <c r="V22" s="3140"/>
      <c r="W22" s="3140" t="s">
        <v>2828</v>
      </c>
      <c r="X22" s="3141"/>
      <c r="Y22" s="3139" t="s">
        <v>2824</v>
      </c>
      <c r="Z22" s="3140" t="s">
        <v>2825</v>
      </c>
      <c r="AA22" s="3140" t="s">
        <v>2826</v>
      </c>
      <c r="AB22" s="3140" t="s">
        <v>2827</v>
      </c>
      <c r="AC22" s="3140"/>
      <c r="AD22" s="3140" t="s">
        <v>2828</v>
      </c>
    </row>
    <row r="23" spans="1:30" s="3154" customFormat="1" ht="12.75">
      <c r="A23" s="3142" t="s">
        <v>2829</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1.0344</v>
      </c>
      <c r="T25" s="3176">
        <f>ROUND(IF([2]项目基本情况!$B$8="出让",SUMPRODUCT(PRODUCT(1+M25:M$36)),SUMPRODUCT(PRODUCT(1+M25:M$35))),4)</f>
        <v>1.0224</v>
      </c>
      <c r="U25" s="3176">
        <f>ROUND(IF([2]项目基本情况!$B$8="出让",SUMPRODUCT(PRODUCT(1+N25:N$36)),SUMPRODUCT(PRODUCT(1+N25:N$35))),4)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1.0344</v>
      </c>
      <c r="T26" s="3176">
        <f>ROUND(IF([2]项目基本情况!$B$8="出让",SUMPRODUCT(PRODUCT(1+M26:M$36)),SUMPRODUCT(PRODUCT(1+M26:M$35))),4)</f>
        <v>1.0224</v>
      </c>
      <c r="U26" s="3176">
        <f>ROUND(IF([2]项目基本情况!$B$8="出让",SUMPRODUCT(PRODUCT(1+N26:N$36)),SUMPRODUCT(PRODUCT(1+N26:N$35))),4)</f>
        <v>1.0573999999999999</v>
      </c>
      <c r="V26" s="3176"/>
      <c r="W26" s="3176">
        <f t="shared" ref="W26:W28" si="32">T26</f>
        <v>1.0224</v>
      </c>
      <c r="X26" s="3174"/>
      <c r="Y26" s="3177"/>
      <c r="Z26" s="3205"/>
      <c r="AA26" s="3442"/>
      <c r="AB26" s="3442"/>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1.0344</v>
      </c>
      <c r="T27" s="3176">
        <f>ROUND(IF([2]项目基本情况!$B$8="出让",SUMPRODUCT(PRODUCT(1+M27:M$36)),SUMPRODUCT(PRODUCT(1+M27:M$35))),4)</f>
        <v>1.0224</v>
      </c>
      <c r="U27" s="3176">
        <f>ROUND(IF([2]项目基本情况!$B$8="出让",SUMPRODUCT(PRODUCT(1+N27:N$36)),SUMPRODUCT(PRODUCT(1+N27:N$35))),4)</f>
        <v>1.0573999999999999</v>
      </c>
      <c r="V27" s="3176"/>
      <c r="W27" s="3176">
        <f t="shared" si="32"/>
        <v>1.0224</v>
      </c>
      <c r="X27" s="3174"/>
      <c r="Y27" s="3177"/>
      <c r="Z27" s="3205"/>
      <c r="AA27" s="3442"/>
      <c r="AB27" s="3442"/>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ROUND(IF([2]项目基本情况!$B$8="出让",SUMPRODUCT(PRODUCT(1+L28:L$36)),SUMPRODUCT(PRODUCT(1+L28:L$35))),4)</f>
        <v>1.0344</v>
      </c>
      <c r="T28" s="3185">
        <f>ROUND(IF([2]项目基本情况!$B$8="出让",SUMPRODUCT(PRODUCT(1+M28:M$36)),SUMPRODUCT(PRODUCT(1+M28:M$35))),4)</f>
        <v>1.0224</v>
      </c>
      <c r="U28" s="3185">
        <f>ROUND(IF([2]项目基本情况!$B$8="出让",SUMPRODUCT(PRODUCT(1+N28:N$36)),SUMPRODUCT(PRODUCT(1+N28:N$35))),4)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2830</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2831</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2832</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2833</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2818</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9">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9">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9">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9">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8">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3">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2">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6">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5">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2">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4">
        <v>44795</v>
      </c>
      <c r="D13" s="2815">
        <v>3.65</v>
      </c>
      <c r="E13" s="2815">
        <f>D13</f>
        <v>3.65</v>
      </c>
      <c r="F13" s="2815">
        <f>D13</f>
        <v>3.65</v>
      </c>
      <c r="G13" s="2815">
        <f>D13</f>
        <v>3.65</v>
      </c>
      <c r="H13" s="2815">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9"/>
      <c r="C14" s="2811">
        <v>44701</v>
      </c>
      <c r="D14" s="2810">
        <v>3.7</v>
      </c>
      <c r="E14" s="2810">
        <f>D14</f>
        <v>3.7</v>
      </c>
      <c r="F14" s="2810">
        <f>D14</f>
        <v>3.7</v>
      </c>
      <c r="G14" s="2810">
        <f>D14</f>
        <v>3.7</v>
      </c>
      <c r="H14" s="2810">
        <v>4.45</v>
      </c>
      <c r="I14" s="2815"/>
      <c r="J14" s="2815"/>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9"/>
      <c r="C15" s="2811">
        <v>44581</v>
      </c>
      <c r="D15" s="2810">
        <v>3.7</v>
      </c>
      <c r="E15" s="2810">
        <f>D15</f>
        <v>3.7</v>
      </c>
      <c r="F15" s="2810">
        <f>D15</f>
        <v>3.7</v>
      </c>
      <c r="G15" s="2810">
        <f>D15</f>
        <v>3.7</v>
      </c>
      <c r="H15" s="2810">
        <v>4.5999999999999996</v>
      </c>
      <c r="I15" s="2815"/>
      <c r="J15" s="2815"/>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1">
        <v>44550</v>
      </c>
      <c r="D16" s="2810">
        <v>3.8</v>
      </c>
      <c r="E16" s="2810">
        <f>D16</f>
        <v>3.8</v>
      </c>
      <c r="F16" s="2810">
        <f>D16</f>
        <v>3.8</v>
      </c>
      <c r="G16" s="2810">
        <f>D16</f>
        <v>3.8</v>
      </c>
      <c r="H16" s="2810">
        <v>4.6500000000000004</v>
      </c>
      <c r="I16" s="2810"/>
      <c r="J16" s="2815"/>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0"/>
      <c r="C17" s="2811">
        <v>43941</v>
      </c>
      <c r="D17" s="2810">
        <v>3.85</v>
      </c>
      <c r="E17" s="2810">
        <v>3.85</v>
      </c>
      <c r="F17" s="2810">
        <v>3.85</v>
      </c>
      <c r="G17" s="2810">
        <v>3.85</v>
      </c>
      <c r="H17" s="2810">
        <v>4.6500000000000004</v>
      </c>
      <c r="I17" s="2810"/>
      <c r="J17" s="281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3"/>
      <c r="B19" s="2810"/>
      <c r="C19" s="2811">
        <v>43789</v>
      </c>
      <c r="D19" s="2810">
        <v>4.1500000000000004</v>
      </c>
      <c r="E19" s="2810">
        <v>4.1500000000000004</v>
      </c>
      <c r="F19" s="2810">
        <v>4.1500000000000004</v>
      </c>
      <c r="G19" s="2810">
        <v>4.1500000000000004</v>
      </c>
      <c r="H19" s="2810">
        <v>4.8</v>
      </c>
      <c r="I19" s="2810"/>
      <c r="J19" s="281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0"/>
      <c r="C20" s="2811">
        <v>43728</v>
      </c>
      <c r="D20" s="2810">
        <v>4.2</v>
      </c>
      <c r="E20" s="2810">
        <v>4.2</v>
      </c>
      <c r="F20" s="2810">
        <v>4.2</v>
      </c>
      <c r="G20" s="2810">
        <v>4.2</v>
      </c>
      <c r="H20" s="2810">
        <v>4.8499999999999996</v>
      </c>
      <c r="I20" s="2810"/>
      <c r="J20" s="281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t="s">
        <v>2304</v>
      </c>
      <c r="C21" s="2812">
        <v>43697</v>
      </c>
      <c r="D21" s="2813">
        <v>4.25</v>
      </c>
      <c r="E21" s="2813">
        <v>4.25</v>
      </c>
      <c r="F21" s="2813">
        <v>4.25</v>
      </c>
      <c r="G21" s="2813">
        <v>4.25</v>
      </c>
      <c r="H21" s="2813">
        <v>4.8499999999999996</v>
      </c>
      <c r="I21" s="2813"/>
      <c r="J21" s="2813"/>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6"/>
      <c r="B22" s="2817"/>
      <c r="C22" s="2818">
        <v>42301</v>
      </c>
      <c r="D22" s="2819">
        <v>4.3499999999999996</v>
      </c>
      <c r="E22" s="2819">
        <v>4.3499999999999996</v>
      </c>
      <c r="F22" s="2819">
        <v>4.75</v>
      </c>
      <c r="G22" s="2819">
        <v>4.75</v>
      </c>
      <c r="H22" s="2819">
        <v>4.9000000000000004</v>
      </c>
      <c r="I22" s="2819"/>
      <c r="J22" s="2819"/>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44"/>
  <sheetViews>
    <sheetView topLeftCell="A19" workbookViewId="0">
      <selection activeCell="A43" sqref="A43"/>
    </sheetView>
  </sheetViews>
  <sheetFormatPr defaultColWidth="9" defaultRowHeight="21.95" customHeight="1" outlineLevelCol="1"/>
  <cols>
    <col min="1" max="1" width="9" style="3801"/>
    <col min="2" max="2" width="3.375" style="3801" customWidth="1"/>
    <col min="3" max="3" width="18.625" style="3802" customWidth="1"/>
    <col min="4" max="4" width="11.25" style="3801" customWidth="1"/>
    <col min="5" max="5" width="12.5" style="3801" customWidth="1"/>
    <col min="6" max="6" width="9.75" style="3803" customWidth="1"/>
    <col min="7" max="7" width="9.75" style="3801" customWidth="1"/>
    <col min="8" max="8" width="12.125" style="3801" customWidth="1"/>
    <col min="9" max="9" width="12.75" style="3801" customWidth="1"/>
    <col min="10" max="10" width="11.75" style="3801" customWidth="1"/>
    <col min="11" max="11" width="8.375" style="3801" customWidth="1"/>
    <col min="12" max="12" width="9.75" style="3804" customWidth="1"/>
    <col min="13" max="13" width="13.375" style="3805" customWidth="1"/>
    <col min="14" max="14" width="9.75" style="3804" customWidth="1"/>
    <col min="15" max="15" width="13.875" style="3804" customWidth="1"/>
    <col min="16" max="16" width="9.75" style="3804" customWidth="1"/>
    <col min="17" max="17" width="14.125" style="3805" customWidth="1"/>
    <col min="18" max="22" width="9.75" style="3804" customWidth="1" outlineLevel="1"/>
    <col min="23" max="23" width="12" style="3805" customWidth="1" outlineLevel="1"/>
    <col min="24" max="24" width="11.5" style="3804" customWidth="1"/>
    <col min="25" max="25" width="9.75" style="3804" customWidth="1"/>
    <col min="26" max="26" width="13.375" style="3804" customWidth="1"/>
    <col min="27" max="27" width="15.125" style="3806" hidden="1" customWidth="1" outlineLevel="1"/>
    <col min="28" max="28" width="10" style="3806" hidden="1" customWidth="1" outlineLevel="1"/>
    <col min="29" max="29" width="12" style="3807" hidden="1" customWidth="1" outlineLevel="1"/>
    <col min="30" max="30" width="14.625" style="3806" hidden="1" customWidth="1" outlineLevel="1"/>
    <col min="31" max="31" width="8.625" style="3804" hidden="1" customWidth="1" outlineLevel="1"/>
    <col min="32" max="33" width="9.5" style="3804" hidden="1" customWidth="1" outlineLevel="1"/>
    <col min="34" max="35" width="10.25" style="3804" hidden="1" customWidth="1" outlineLevel="1"/>
    <col min="36" max="36" width="10" style="3807" hidden="1" customWidth="1" outlineLevel="1"/>
    <col min="37" max="38" width="8.625" style="3804" hidden="1" customWidth="1" outlineLevel="1"/>
    <col min="39" max="39" width="10" style="3804" hidden="1" customWidth="1" outlineLevel="1"/>
    <col min="40" max="40" width="8.625" style="3804" hidden="1" customWidth="1" outlineLevel="1"/>
    <col min="41" max="41" width="10.125" style="3804" hidden="1" customWidth="1" outlineLevel="1"/>
    <col min="42" max="42" width="8.625" style="3804" hidden="1" customWidth="1" outlineLevel="1"/>
    <col min="43" max="43" width="11.375" style="3807" hidden="1" customWidth="1" outlineLevel="1"/>
    <col min="44" max="44" width="10.125" style="3804" hidden="1" customWidth="1" outlineLevel="1"/>
    <col min="45" max="45" width="8.625" style="3804" hidden="1" customWidth="1" outlineLevel="1"/>
    <col min="46" max="46" width="9.875" style="3804" hidden="1" customWidth="1" outlineLevel="1"/>
    <col min="47" max="47" width="8.625" style="3804" hidden="1" customWidth="1" outlineLevel="1"/>
    <col min="48" max="48" width="10.25" style="3804" customWidth="1" collapsed="1"/>
    <col min="49" max="49" width="10.25" style="3804" customWidth="1"/>
    <col min="50" max="50" width="12.375" style="3807" customWidth="1"/>
    <col min="51" max="55" width="10.25" style="3804" customWidth="1"/>
    <col min="56" max="56" width="8.625" style="3804" customWidth="1"/>
    <col min="57" max="57" width="10" style="3807" customWidth="1"/>
    <col min="58" max="58" width="10.875" style="3804" customWidth="1"/>
    <col min="59" max="59" width="11.625" style="3804" customWidth="1"/>
    <col min="60" max="60" width="11" style="3804" customWidth="1"/>
    <col min="61" max="61" width="8.625" style="3804" customWidth="1"/>
    <col min="62" max="63" width="8.625" style="3804" hidden="1" customWidth="1"/>
    <col min="64" max="64" width="10" style="3807" hidden="1" customWidth="1"/>
    <col min="65" max="70" width="8.625" style="3804" hidden="1" customWidth="1"/>
    <col min="71" max="71" width="10" style="3807" hidden="1" customWidth="1"/>
    <col min="72" max="75" width="8.625" style="3804" hidden="1" customWidth="1"/>
    <col min="76" max="76" width="10.375" style="3804" customWidth="1"/>
    <col min="77" max="77" width="8.625" style="3804" customWidth="1"/>
    <col min="78" max="78" width="10" style="3807" customWidth="1"/>
    <col min="79" max="79" width="10.25" style="3804" customWidth="1"/>
    <col min="80" max="82" width="8.625" style="3804" customWidth="1"/>
    <col min="83" max="84" width="8.625" style="3804" hidden="1" customWidth="1"/>
    <col min="85" max="85" width="10" style="3807" hidden="1" customWidth="1"/>
    <col min="86" max="91" width="8.625" style="3804" hidden="1" customWidth="1"/>
    <col min="92" max="92" width="10" style="3807" hidden="1" customWidth="1"/>
    <col min="93" max="98" width="8.625" style="3804" hidden="1" customWidth="1"/>
    <col min="99" max="99" width="10" style="3807" hidden="1" customWidth="1"/>
    <col min="100" max="105" width="8.625" style="3804" hidden="1" customWidth="1"/>
    <col min="106" max="106" width="10" style="3807" hidden="1" customWidth="1"/>
    <col min="107" max="112" width="8.625" style="3801" hidden="1" customWidth="1"/>
    <col min="113" max="113" width="10" style="3807" hidden="1" customWidth="1"/>
    <col min="114" max="119" width="8.625" style="3801" hidden="1" customWidth="1"/>
    <col min="120" max="120" width="10" style="3807" hidden="1" customWidth="1"/>
    <col min="121" max="126" width="8.625" style="3801" hidden="1" customWidth="1"/>
    <col min="127" max="127" width="10" style="3807" hidden="1" customWidth="1"/>
    <col min="128" max="133" width="8.625" style="3801" hidden="1" customWidth="1"/>
    <col min="134" max="134" width="10" style="3807" hidden="1" customWidth="1"/>
    <col min="135" max="138" width="8.625" style="3801" hidden="1" customWidth="1"/>
    <col min="139" max="139" width="9.875" style="3801" customWidth="1"/>
    <col min="140" max="140" width="8.625" style="3801" customWidth="1"/>
    <col min="141" max="141" width="10" style="3807" customWidth="1"/>
    <col min="142" max="142" width="10" style="3801" customWidth="1"/>
    <col min="143" max="145" width="8.625" style="3801" customWidth="1"/>
    <col min="146" max="147" width="8.625" style="3804" hidden="1" customWidth="1" outlineLevel="1"/>
    <col min="148" max="148" width="10" style="3807" hidden="1" customWidth="1" outlineLevel="1"/>
    <col min="149" max="154" width="8.625" style="3804" hidden="1" customWidth="1" outlineLevel="1"/>
    <col min="155" max="155" width="10" style="3807" hidden="1" customWidth="1" outlineLevel="1"/>
    <col min="156" max="157" width="8.625" style="3801" hidden="1" customWidth="1" outlineLevel="1"/>
    <col min="158" max="161" width="8.625" style="3804" hidden="1" customWidth="1" outlineLevel="1"/>
    <col min="162" max="162" width="10" style="3807" hidden="1" customWidth="1" outlineLevel="1"/>
    <col min="163" max="164" width="8.625" style="3801" hidden="1" customWidth="1" outlineLevel="1"/>
    <col min="165" max="168" width="8.625" style="3804" hidden="1" customWidth="1" outlineLevel="1"/>
    <col min="169" max="169" width="10" style="3807" hidden="1" customWidth="1" outlineLevel="1"/>
    <col min="170" max="171" width="8.625" style="3801" hidden="1" customWidth="1" outlineLevel="1"/>
    <col min="172" max="175" width="8.625" style="3804" hidden="1" customWidth="1" outlineLevel="1"/>
    <col min="176" max="176" width="10" style="3807" hidden="1" customWidth="1" outlineLevel="1"/>
    <col min="177" max="178" width="8.625" style="3801" hidden="1" customWidth="1" outlineLevel="1"/>
    <col min="179" max="182" width="8.625" style="3804" hidden="1" customWidth="1" outlineLevel="1"/>
    <col min="183" max="183" width="10" style="3807" hidden="1" customWidth="1" outlineLevel="1"/>
    <col min="184" max="185" width="8.625" style="3801" hidden="1" customWidth="1" outlineLevel="1"/>
    <col min="186" max="189" width="8.625" style="3804" hidden="1" customWidth="1" outlineLevel="1"/>
    <col min="190" max="190" width="10" style="3807" hidden="1" customWidth="1" outlineLevel="1"/>
    <col min="191" max="192" width="8.625" style="3801" hidden="1" customWidth="1" outlineLevel="1"/>
    <col min="193" max="196" width="8.625" style="3804" hidden="1" customWidth="1" outlineLevel="1"/>
    <col min="197" max="197" width="10" style="3807" hidden="1" customWidth="1" outlineLevel="1"/>
    <col min="198" max="199" width="8.625" style="3804" hidden="1" customWidth="1" outlineLevel="1"/>
    <col min="200" max="203" width="8.625" style="3801" hidden="1" customWidth="1" outlineLevel="1"/>
    <col min="204" max="204" width="10" style="3807" hidden="1" customWidth="1" outlineLevel="1"/>
    <col min="205" max="210" width="8.625" style="3801" hidden="1" customWidth="1" outlineLevel="1"/>
    <col min="211" max="211" width="10" style="3807" hidden="1" customWidth="1" outlineLevel="1"/>
    <col min="212" max="217" width="8.625" style="3801" hidden="1" customWidth="1" outlineLevel="1"/>
    <col min="218" max="218" width="10" style="3807" hidden="1" customWidth="1" outlineLevel="1"/>
    <col min="219" max="224" width="8.625" style="3801" hidden="1" customWidth="1" outlineLevel="1"/>
    <col min="225" max="225" width="10" style="3807" hidden="1" customWidth="1" outlineLevel="1"/>
    <col min="226" max="229" width="8.625" style="3801" hidden="1" customWidth="1" outlineLevel="1"/>
    <col min="230" max="230" width="8.625" style="3801" customWidth="1" collapsed="1"/>
    <col min="231" max="231" width="8.625" style="3801" customWidth="1"/>
    <col min="232" max="232" width="10" style="3807" customWidth="1"/>
    <col min="233" max="236" width="8.625" style="3801" customWidth="1"/>
    <col min="237" max="237" width="11" style="3801" customWidth="1"/>
    <col min="238" max="238" width="8.625" style="3801" customWidth="1"/>
    <col min="239" max="239" width="12" style="3807" customWidth="1"/>
    <col min="240" max="240" width="11" style="3801" customWidth="1"/>
    <col min="241" max="241" width="8.625" style="3801" customWidth="1"/>
    <col min="242" max="242" width="10" style="3801" customWidth="1"/>
    <col min="243" max="243" width="8.625" style="3801" customWidth="1"/>
    <col min="244" max="16384" width="9" style="3801"/>
  </cols>
  <sheetData>
    <row r="1" spans="1:243" ht="21.95" customHeight="1">
      <c r="H1" s="3801">
        <f>SUM(AE1:IM1)</f>
        <v>37.987491999999996</v>
      </c>
      <c r="AA1" s="3806">
        <v>13.062694</v>
      </c>
      <c r="AB1" s="3806">
        <v>1.2408680000000001</v>
      </c>
      <c r="AC1" s="3807">
        <v>11.821826</v>
      </c>
      <c r="AD1" s="3806">
        <v>13.062694</v>
      </c>
      <c r="AE1" s="3804">
        <v>1.2408680000000001</v>
      </c>
      <c r="AH1" s="3804">
        <v>0</v>
      </c>
      <c r="AI1" s="3804">
        <v>0</v>
      </c>
      <c r="AO1" s="3804">
        <v>12.016188</v>
      </c>
      <c r="AP1" s="3804">
        <v>0.69806000000000001</v>
      </c>
      <c r="AQ1" s="3807">
        <v>11.318128</v>
      </c>
      <c r="AR1" s="3804">
        <v>12.016188</v>
      </c>
      <c r="AS1" s="3804">
        <v>0.69806000000000001</v>
      </c>
    </row>
    <row r="2" spans="1:243" ht="21.95" customHeight="1">
      <c r="H2" s="3801">
        <f>SUM(AE2:IM2)</f>
        <v>37.381581999999995</v>
      </c>
      <c r="AA2" s="3808">
        <f t="shared" ref="AA2:AE2" si="0">AA3/10000</f>
        <v>13.062694</v>
      </c>
      <c r="AB2" s="3808">
        <f t="shared" si="0"/>
        <v>1.2408680000000001</v>
      </c>
      <c r="AC2" s="3809">
        <f t="shared" si="0"/>
        <v>11.821826</v>
      </c>
      <c r="AD2" s="3810">
        <f t="shared" si="0"/>
        <v>13.062694</v>
      </c>
      <c r="AE2" s="3810">
        <f t="shared" si="0"/>
        <v>1.2408680000000001</v>
      </c>
      <c r="AH2" s="3810">
        <f>AH3/10000</f>
        <v>0</v>
      </c>
      <c r="AI2" s="3810">
        <f>AI3/10000</f>
        <v>0</v>
      </c>
      <c r="AO2" s="3810">
        <f t="shared" ref="AO2:AS2" si="1">AO3/10000</f>
        <v>11.713233000000001</v>
      </c>
      <c r="AP2" s="3810">
        <f t="shared" si="1"/>
        <v>0.69806000000000001</v>
      </c>
      <c r="AQ2" s="3810">
        <f t="shared" si="1"/>
        <v>11.015172999999999</v>
      </c>
      <c r="AR2" s="3810">
        <f t="shared" si="1"/>
        <v>12.016188</v>
      </c>
      <c r="AS2" s="3810">
        <f t="shared" si="1"/>
        <v>0.69806000000000001</v>
      </c>
    </row>
    <row r="3" spans="1:243" s="3818" customFormat="1" ht="21.95" customHeight="1">
      <c r="B3" s="3811" t="s">
        <v>3462</v>
      </c>
      <c r="C3" s="3812"/>
      <c r="D3" s="3812"/>
      <c r="E3" s="3813">
        <f t="shared" ref="E3:F3" si="2">SUBTOTAL(9,E7:E18)</f>
        <v>433.90000000000009</v>
      </c>
      <c r="F3" s="3813">
        <f t="shared" si="2"/>
        <v>499.53000000000003</v>
      </c>
      <c r="G3" s="3814"/>
      <c r="H3" s="3814"/>
      <c r="I3" s="3814"/>
      <c r="J3" s="3814"/>
      <c r="K3" s="3814"/>
      <c r="L3" s="3814"/>
      <c r="M3" s="3815">
        <f t="shared" ref="M3:Q3" si="3">SUBTOTAL(9,M7:M18)</f>
        <v>451050.92312500003</v>
      </c>
      <c r="N3" s="3816"/>
      <c r="O3" s="3814">
        <f t="shared" si="3"/>
        <v>407675.92312500003</v>
      </c>
      <c r="P3" s="3816"/>
      <c r="Q3" s="3815">
        <f t="shared" si="3"/>
        <v>442232.03321875003</v>
      </c>
      <c r="R3" s="3816"/>
      <c r="S3" s="3814">
        <f t="shared" ref="S3:CF3" si="4">SUBTOTAL(9,S7:S18)</f>
        <v>470241.16700343753</v>
      </c>
      <c r="T3" s="3816"/>
      <c r="U3" s="3814">
        <f t="shared" si="4"/>
        <v>488422.17051354056</v>
      </c>
      <c r="V3" s="3816"/>
      <c r="W3" s="3815">
        <f t="shared" si="4"/>
        <v>497671.11282894679</v>
      </c>
      <c r="X3" s="3814">
        <f t="shared" si="4"/>
        <v>2757293.3298146748</v>
      </c>
      <c r="Y3" s="3814">
        <f t="shared" si="4"/>
        <v>304160.26</v>
      </c>
      <c r="Z3" s="3814">
        <f t="shared" si="4"/>
        <v>2511818.2298146747</v>
      </c>
      <c r="AA3" s="3813">
        <f t="shared" si="4"/>
        <v>130626.94</v>
      </c>
      <c r="AB3" s="3813">
        <f t="shared" si="4"/>
        <v>12408.68</v>
      </c>
      <c r="AC3" s="3813">
        <f t="shared" si="4"/>
        <v>118218.26</v>
      </c>
      <c r="AD3" s="3813">
        <f t="shared" si="4"/>
        <v>130626.94</v>
      </c>
      <c r="AE3" s="3814">
        <f t="shared" si="4"/>
        <v>12408.68</v>
      </c>
      <c r="AF3" s="3814">
        <f t="shared" si="4"/>
        <v>0</v>
      </c>
      <c r="AG3" s="3814">
        <f t="shared" si="4"/>
        <v>0</v>
      </c>
      <c r="AH3" s="3814">
        <f t="shared" si="4"/>
        <v>0</v>
      </c>
      <c r="AI3" s="3814">
        <f t="shared" si="4"/>
        <v>0</v>
      </c>
      <c r="AJ3" s="3813">
        <f t="shared" si="4"/>
        <v>0</v>
      </c>
      <c r="AK3" s="3814">
        <f t="shared" si="4"/>
        <v>0</v>
      </c>
      <c r="AL3" s="3814">
        <f t="shared" si="4"/>
        <v>0</v>
      </c>
      <c r="AM3" s="3814">
        <f t="shared" si="4"/>
        <v>0</v>
      </c>
      <c r="AN3" s="3814">
        <f t="shared" si="4"/>
        <v>0</v>
      </c>
      <c r="AO3" s="3814">
        <f t="shared" si="4"/>
        <v>117132.33</v>
      </c>
      <c r="AP3" s="3814">
        <f t="shared" si="4"/>
        <v>6980.6</v>
      </c>
      <c r="AQ3" s="3813">
        <f t="shared" si="4"/>
        <v>110151.73</v>
      </c>
      <c r="AR3" s="3814">
        <f t="shared" si="4"/>
        <v>120161.88</v>
      </c>
      <c r="AS3" s="3814">
        <f t="shared" si="4"/>
        <v>6980.6</v>
      </c>
      <c r="AT3" s="3814">
        <f t="shared" si="4"/>
        <v>-3029.5499999999993</v>
      </c>
      <c r="AU3" s="3814">
        <f t="shared" si="4"/>
        <v>0</v>
      </c>
      <c r="AV3" s="3817">
        <f t="shared" si="4"/>
        <v>247759.27000000002</v>
      </c>
      <c r="AW3" s="3814">
        <f t="shared" si="4"/>
        <v>19389.28</v>
      </c>
      <c r="AX3" s="3813">
        <f t="shared" si="4"/>
        <v>228369.99000000002</v>
      </c>
      <c r="AY3" s="3814">
        <f t="shared" si="4"/>
        <v>250788.82</v>
      </c>
      <c r="AZ3" s="3817">
        <f t="shared" si="4"/>
        <v>19389.28</v>
      </c>
      <c r="BA3" s="3814">
        <f t="shared" si="4"/>
        <v>-3029.5499999999993</v>
      </c>
      <c r="BB3" s="3814">
        <f t="shared" si="4"/>
        <v>0</v>
      </c>
      <c r="BC3" s="3814">
        <f t="shared" si="4"/>
        <v>31370.99</v>
      </c>
      <c r="BD3" s="3814">
        <f t="shared" si="4"/>
        <v>3141</v>
      </c>
      <c r="BE3" s="3813">
        <f t="shared" si="4"/>
        <v>28229.99</v>
      </c>
      <c r="BF3" s="3814">
        <f t="shared" si="4"/>
        <v>31370.99</v>
      </c>
      <c r="BG3" s="3814">
        <f t="shared" si="4"/>
        <v>3141</v>
      </c>
      <c r="BH3" s="3814">
        <f t="shared" si="4"/>
        <v>0</v>
      </c>
      <c r="BI3" s="3814">
        <f t="shared" si="4"/>
        <v>0</v>
      </c>
      <c r="BJ3" s="3814">
        <f t="shared" si="4"/>
        <v>0</v>
      </c>
      <c r="BK3" s="3814">
        <f t="shared" si="4"/>
        <v>0</v>
      </c>
      <c r="BL3" s="3813">
        <f t="shared" si="4"/>
        <v>0</v>
      </c>
      <c r="BM3" s="3814">
        <f t="shared" si="4"/>
        <v>0</v>
      </c>
      <c r="BN3" s="3814">
        <f t="shared" si="4"/>
        <v>0</v>
      </c>
      <c r="BO3" s="3814">
        <f t="shared" si="4"/>
        <v>0</v>
      </c>
      <c r="BP3" s="3814">
        <f t="shared" si="4"/>
        <v>0</v>
      </c>
      <c r="BQ3" s="3814">
        <f t="shared" si="4"/>
        <v>0</v>
      </c>
      <c r="BR3" s="3814">
        <f t="shared" si="4"/>
        <v>0</v>
      </c>
      <c r="BS3" s="3813">
        <f t="shared" si="4"/>
        <v>0</v>
      </c>
      <c r="BT3" s="3814">
        <f t="shared" si="4"/>
        <v>0</v>
      </c>
      <c r="BU3" s="3814">
        <f t="shared" si="4"/>
        <v>0</v>
      </c>
      <c r="BV3" s="3814">
        <f t="shared" si="4"/>
        <v>0</v>
      </c>
      <c r="BW3" s="3814">
        <f t="shared" si="4"/>
        <v>0</v>
      </c>
      <c r="BX3" s="3814">
        <f t="shared" si="4"/>
        <v>22000.45</v>
      </c>
      <c r="BY3" s="3814">
        <f t="shared" si="4"/>
        <v>0</v>
      </c>
      <c r="BZ3" s="3813">
        <f t="shared" si="4"/>
        <v>22000.45</v>
      </c>
      <c r="CA3" s="3814">
        <f t="shared" si="4"/>
        <v>22000.45</v>
      </c>
      <c r="CB3" s="3814">
        <f t="shared" si="4"/>
        <v>0</v>
      </c>
      <c r="CC3" s="3814">
        <f t="shared" si="4"/>
        <v>0</v>
      </c>
      <c r="CD3" s="3814">
        <f t="shared" si="4"/>
        <v>0</v>
      </c>
      <c r="CE3" s="3814">
        <f t="shared" si="4"/>
        <v>0</v>
      </c>
      <c r="CF3" s="3814">
        <f t="shared" si="4"/>
        <v>0</v>
      </c>
      <c r="CG3" s="3813">
        <f t="shared" ref="CG3:ER3" si="5">SUBTOTAL(9,CG7:CG18)</f>
        <v>0</v>
      </c>
      <c r="CH3" s="3814">
        <f t="shared" si="5"/>
        <v>0</v>
      </c>
      <c r="CI3" s="3814">
        <f t="shared" si="5"/>
        <v>0</v>
      </c>
      <c r="CJ3" s="3814">
        <f t="shared" si="5"/>
        <v>0</v>
      </c>
      <c r="CK3" s="3814">
        <f t="shared" si="5"/>
        <v>0</v>
      </c>
      <c r="CL3" s="3814">
        <f t="shared" si="5"/>
        <v>0</v>
      </c>
      <c r="CM3" s="3814">
        <f t="shared" si="5"/>
        <v>0</v>
      </c>
      <c r="CN3" s="3813">
        <f t="shared" si="5"/>
        <v>0</v>
      </c>
      <c r="CO3" s="3814">
        <f t="shared" si="5"/>
        <v>0</v>
      </c>
      <c r="CP3" s="3814">
        <f t="shared" si="5"/>
        <v>0</v>
      </c>
      <c r="CQ3" s="3814">
        <f t="shared" si="5"/>
        <v>0</v>
      </c>
      <c r="CR3" s="3814">
        <f t="shared" si="5"/>
        <v>0</v>
      </c>
      <c r="CS3" s="3814">
        <f t="shared" si="5"/>
        <v>0</v>
      </c>
      <c r="CT3" s="3814">
        <f t="shared" si="5"/>
        <v>0</v>
      </c>
      <c r="CU3" s="3813">
        <f t="shared" si="5"/>
        <v>0</v>
      </c>
      <c r="CV3" s="3814">
        <f t="shared" si="5"/>
        <v>0</v>
      </c>
      <c r="CW3" s="3814">
        <f t="shared" si="5"/>
        <v>0</v>
      </c>
      <c r="CX3" s="3814">
        <f t="shared" si="5"/>
        <v>0</v>
      </c>
      <c r="CY3" s="3814">
        <f t="shared" si="5"/>
        <v>0</v>
      </c>
      <c r="CZ3" s="3814">
        <f t="shared" si="5"/>
        <v>0</v>
      </c>
      <c r="DA3" s="3814">
        <f t="shared" si="5"/>
        <v>0</v>
      </c>
      <c r="DB3" s="3813">
        <f t="shared" si="5"/>
        <v>0</v>
      </c>
      <c r="DC3" s="3814">
        <f t="shared" si="5"/>
        <v>0</v>
      </c>
      <c r="DD3" s="3814">
        <f t="shared" si="5"/>
        <v>0</v>
      </c>
      <c r="DE3" s="3814">
        <f t="shared" si="5"/>
        <v>0</v>
      </c>
      <c r="DF3" s="3814">
        <f t="shared" si="5"/>
        <v>0</v>
      </c>
      <c r="DG3" s="3814">
        <f t="shared" si="5"/>
        <v>0</v>
      </c>
      <c r="DH3" s="3814">
        <f t="shared" si="5"/>
        <v>0</v>
      </c>
      <c r="DI3" s="3813">
        <f t="shared" si="5"/>
        <v>0</v>
      </c>
      <c r="DJ3" s="3814">
        <f t="shared" si="5"/>
        <v>0</v>
      </c>
      <c r="DK3" s="3814">
        <f t="shared" si="5"/>
        <v>0</v>
      </c>
      <c r="DL3" s="3814">
        <f t="shared" si="5"/>
        <v>0</v>
      </c>
      <c r="DM3" s="3814">
        <f t="shared" si="5"/>
        <v>0</v>
      </c>
      <c r="DN3" s="3814">
        <f t="shared" si="5"/>
        <v>0</v>
      </c>
      <c r="DO3" s="3814">
        <f t="shared" si="5"/>
        <v>0</v>
      </c>
      <c r="DP3" s="3813">
        <f t="shared" si="5"/>
        <v>0</v>
      </c>
      <c r="DQ3" s="3814">
        <f t="shared" si="5"/>
        <v>0</v>
      </c>
      <c r="DR3" s="3814">
        <f t="shared" si="5"/>
        <v>0</v>
      </c>
      <c r="DS3" s="3814">
        <f t="shared" si="5"/>
        <v>0</v>
      </c>
      <c r="DT3" s="3814">
        <f t="shared" si="5"/>
        <v>0</v>
      </c>
      <c r="DU3" s="3814">
        <f t="shared" si="5"/>
        <v>0</v>
      </c>
      <c r="DV3" s="3814">
        <f t="shared" si="5"/>
        <v>0</v>
      </c>
      <c r="DW3" s="3813">
        <f t="shared" si="5"/>
        <v>0</v>
      </c>
      <c r="DX3" s="3814">
        <f t="shared" si="5"/>
        <v>0</v>
      </c>
      <c r="DY3" s="3814">
        <f t="shared" si="5"/>
        <v>0</v>
      </c>
      <c r="DZ3" s="3814">
        <f t="shared" si="5"/>
        <v>0</v>
      </c>
      <c r="EA3" s="3814">
        <f t="shared" si="5"/>
        <v>0</v>
      </c>
      <c r="EB3" s="3814">
        <f t="shared" si="5"/>
        <v>0</v>
      </c>
      <c r="EC3" s="3814">
        <f t="shared" si="5"/>
        <v>0</v>
      </c>
      <c r="ED3" s="3813">
        <f t="shared" si="5"/>
        <v>0</v>
      </c>
      <c r="EE3" s="3814">
        <f t="shared" si="5"/>
        <v>0</v>
      </c>
      <c r="EF3" s="3814">
        <f t="shared" si="5"/>
        <v>0</v>
      </c>
      <c r="EG3" s="3814">
        <f t="shared" si="5"/>
        <v>0</v>
      </c>
      <c r="EH3" s="3814">
        <f t="shared" si="5"/>
        <v>0</v>
      </c>
      <c r="EI3" s="3814">
        <f t="shared" si="5"/>
        <v>53371.44</v>
      </c>
      <c r="EJ3" s="3814">
        <f t="shared" si="5"/>
        <v>3141</v>
      </c>
      <c r="EK3" s="3813">
        <f t="shared" si="5"/>
        <v>50230.44</v>
      </c>
      <c r="EL3" s="3814">
        <f t="shared" si="5"/>
        <v>53371.44</v>
      </c>
      <c r="EM3" s="3814">
        <f t="shared" si="5"/>
        <v>3141</v>
      </c>
      <c r="EN3" s="3814">
        <f t="shared" si="5"/>
        <v>0</v>
      </c>
      <c r="EO3" s="3814">
        <f t="shared" si="5"/>
        <v>0</v>
      </c>
      <c r="EP3" s="3814">
        <f t="shared" si="5"/>
        <v>0</v>
      </c>
      <c r="EQ3" s="3814">
        <f t="shared" si="5"/>
        <v>0</v>
      </c>
      <c r="ER3" s="3813">
        <f t="shared" si="5"/>
        <v>0</v>
      </c>
      <c r="ES3" s="3814">
        <f t="shared" ref="ES3:HD3" si="6">SUBTOTAL(9,ES7:ES18)</f>
        <v>0</v>
      </c>
      <c r="ET3" s="3814">
        <f t="shared" si="6"/>
        <v>0</v>
      </c>
      <c r="EU3" s="3814">
        <f t="shared" si="6"/>
        <v>0</v>
      </c>
      <c r="EV3" s="3814">
        <f t="shared" si="6"/>
        <v>0</v>
      </c>
      <c r="EW3" s="3814">
        <f t="shared" si="6"/>
        <v>0</v>
      </c>
      <c r="EX3" s="3814">
        <f t="shared" si="6"/>
        <v>0</v>
      </c>
      <c r="EY3" s="3813">
        <f t="shared" si="6"/>
        <v>0</v>
      </c>
      <c r="EZ3" s="3814">
        <f t="shared" si="6"/>
        <v>0</v>
      </c>
      <c r="FA3" s="3814">
        <f t="shared" si="6"/>
        <v>0</v>
      </c>
      <c r="FB3" s="3814">
        <f t="shared" si="6"/>
        <v>0</v>
      </c>
      <c r="FC3" s="3814">
        <f t="shared" si="6"/>
        <v>0</v>
      </c>
      <c r="FD3" s="3814">
        <f t="shared" si="6"/>
        <v>0</v>
      </c>
      <c r="FE3" s="3814">
        <f t="shared" si="6"/>
        <v>0</v>
      </c>
      <c r="FF3" s="3813">
        <f t="shared" si="6"/>
        <v>0</v>
      </c>
      <c r="FG3" s="3814">
        <f t="shared" si="6"/>
        <v>0</v>
      </c>
      <c r="FH3" s="3814">
        <f t="shared" si="6"/>
        <v>0</v>
      </c>
      <c r="FI3" s="3814">
        <f t="shared" si="6"/>
        <v>0</v>
      </c>
      <c r="FJ3" s="3814">
        <f t="shared" si="6"/>
        <v>0</v>
      </c>
      <c r="FK3" s="3814">
        <f t="shared" si="6"/>
        <v>0</v>
      </c>
      <c r="FL3" s="3814">
        <f t="shared" si="6"/>
        <v>0</v>
      </c>
      <c r="FM3" s="3813">
        <f t="shared" si="6"/>
        <v>0</v>
      </c>
      <c r="FN3" s="3814">
        <f t="shared" si="6"/>
        <v>0</v>
      </c>
      <c r="FO3" s="3814">
        <f t="shared" si="6"/>
        <v>0</v>
      </c>
      <c r="FP3" s="3814">
        <f t="shared" si="6"/>
        <v>0</v>
      </c>
      <c r="FQ3" s="3814">
        <f t="shared" si="6"/>
        <v>0</v>
      </c>
      <c r="FR3" s="3814">
        <f t="shared" si="6"/>
        <v>0</v>
      </c>
      <c r="FS3" s="3814">
        <f t="shared" si="6"/>
        <v>0</v>
      </c>
      <c r="FT3" s="3813">
        <f t="shared" si="6"/>
        <v>0</v>
      </c>
      <c r="FU3" s="3814">
        <f t="shared" si="6"/>
        <v>0</v>
      </c>
      <c r="FV3" s="3814">
        <f t="shared" si="6"/>
        <v>0</v>
      </c>
      <c r="FW3" s="3814">
        <f t="shared" si="6"/>
        <v>0</v>
      </c>
      <c r="FX3" s="3814">
        <f t="shared" si="6"/>
        <v>0</v>
      </c>
      <c r="FY3" s="3814">
        <f t="shared" si="6"/>
        <v>0</v>
      </c>
      <c r="FZ3" s="3814">
        <f t="shared" si="6"/>
        <v>0</v>
      </c>
      <c r="GA3" s="3813">
        <f t="shared" si="6"/>
        <v>0</v>
      </c>
      <c r="GB3" s="3814">
        <f t="shared" si="6"/>
        <v>0</v>
      </c>
      <c r="GC3" s="3814">
        <f t="shared" si="6"/>
        <v>0</v>
      </c>
      <c r="GD3" s="3814">
        <f t="shared" si="6"/>
        <v>0</v>
      </c>
      <c r="GE3" s="3814">
        <f t="shared" si="6"/>
        <v>0</v>
      </c>
      <c r="GF3" s="3814">
        <f t="shared" si="6"/>
        <v>0</v>
      </c>
      <c r="GG3" s="3814">
        <f t="shared" si="6"/>
        <v>0</v>
      </c>
      <c r="GH3" s="3813">
        <f t="shared" si="6"/>
        <v>0</v>
      </c>
      <c r="GI3" s="3814">
        <f t="shared" si="6"/>
        <v>0</v>
      </c>
      <c r="GJ3" s="3814">
        <f t="shared" si="6"/>
        <v>0</v>
      </c>
      <c r="GK3" s="3814">
        <f t="shared" si="6"/>
        <v>0</v>
      </c>
      <c r="GL3" s="3814">
        <f t="shared" si="6"/>
        <v>0</v>
      </c>
      <c r="GM3" s="3814">
        <f t="shared" si="6"/>
        <v>0</v>
      </c>
      <c r="GN3" s="3814">
        <f t="shared" si="6"/>
        <v>0</v>
      </c>
      <c r="GO3" s="3813">
        <f t="shared" si="6"/>
        <v>0</v>
      </c>
      <c r="GP3" s="3814">
        <f t="shared" si="6"/>
        <v>0</v>
      </c>
      <c r="GQ3" s="3814">
        <f t="shared" si="6"/>
        <v>0</v>
      </c>
      <c r="GR3" s="3814">
        <f t="shared" si="6"/>
        <v>0</v>
      </c>
      <c r="GS3" s="3814">
        <f t="shared" si="6"/>
        <v>0</v>
      </c>
      <c r="GT3" s="3814">
        <f t="shared" si="6"/>
        <v>0</v>
      </c>
      <c r="GU3" s="3814">
        <f t="shared" si="6"/>
        <v>0</v>
      </c>
      <c r="GV3" s="3813">
        <f t="shared" si="6"/>
        <v>0</v>
      </c>
      <c r="GW3" s="3814">
        <f t="shared" si="6"/>
        <v>0</v>
      </c>
      <c r="GX3" s="3814">
        <f t="shared" si="6"/>
        <v>0</v>
      </c>
      <c r="GY3" s="3814">
        <f t="shared" si="6"/>
        <v>0</v>
      </c>
      <c r="GZ3" s="3814">
        <f t="shared" si="6"/>
        <v>0</v>
      </c>
      <c r="HA3" s="3814">
        <f t="shared" si="6"/>
        <v>0</v>
      </c>
      <c r="HB3" s="3814">
        <f t="shared" si="6"/>
        <v>0</v>
      </c>
      <c r="HC3" s="3813">
        <f t="shared" si="6"/>
        <v>0</v>
      </c>
      <c r="HD3" s="3814">
        <f t="shared" si="6"/>
        <v>0</v>
      </c>
      <c r="HE3" s="3814">
        <f t="shared" ref="HE3:II3" si="7">SUBTOTAL(9,HE7:HE18)</f>
        <v>0</v>
      </c>
      <c r="HF3" s="3814">
        <f t="shared" si="7"/>
        <v>0</v>
      </c>
      <c r="HG3" s="3814">
        <f t="shared" si="7"/>
        <v>0</v>
      </c>
      <c r="HH3" s="3814">
        <f t="shared" si="7"/>
        <v>0</v>
      </c>
      <c r="HI3" s="3814">
        <f t="shared" si="7"/>
        <v>0</v>
      </c>
      <c r="HJ3" s="3813">
        <f t="shared" si="7"/>
        <v>0</v>
      </c>
      <c r="HK3" s="3814">
        <f t="shared" si="7"/>
        <v>0</v>
      </c>
      <c r="HL3" s="3814">
        <f t="shared" si="7"/>
        <v>0</v>
      </c>
      <c r="HM3" s="3814">
        <f t="shared" si="7"/>
        <v>0</v>
      </c>
      <c r="HN3" s="3814">
        <f t="shared" si="7"/>
        <v>0</v>
      </c>
      <c r="HO3" s="3814">
        <f t="shared" si="7"/>
        <v>0</v>
      </c>
      <c r="HP3" s="3814">
        <f t="shared" si="7"/>
        <v>0</v>
      </c>
      <c r="HQ3" s="3813">
        <f t="shared" si="7"/>
        <v>0</v>
      </c>
      <c r="HR3" s="3814">
        <f t="shared" si="7"/>
        <v>0</v>
      </c>
      <c r="HS3" s="3814">
        <f t="shared" si="7"/>
        <v>0</v>
      </c>
      <c r="HT3" s="3814">
        <f t="shared" si="7"/>
        <v>0</v>
      </c>
      <c r="HU3" s="3814">
        <f t="shared" si="7"/>
        <v>0</v>
      </c>
      <c r="HV3" s="3814">
        <f t="shared" si="7"/>
        <v>0</v>
      </c>
      <c r="HW3" s="3814">
        <f t="shared" si="7"/>
        <v>0</v>
      </c>
      <c r="HX3" s="3813">
        <f t="shared" si="7"/>
        <v>0</v>
      </c>
      <c r="HY3" s="3814">
        <f t="shared" si="7"/>
        <v>0</v>
      </c>
      <c r="HZ3" s="3814">
        <f t="shared" si="7"/>
        <v>0</v>
      </c>
      <c r="IA3" s="3814">
        <f t="shared" si="7"/>
        <v>0</v>
      </c>
      <c r="IB3" s="3814">
        <f t="shared" si="7"/>
        <v>0</v>
      </c>
      <c r="IC3" s="3814">
        <f t="shared" si="7"/>
        <v>301130.71000000002</v>
      </c>
      <c r="ID3" s="3814">
        <f t="shared" si="7"/>
        <v>22530.28</v>
      </c>
      <c r="IE3" s="3813">
        <f t="shared" si="7"/>
        <v>278600.43</v>
      </c>
      <c r="IF3" s="3814">
        <f t="shared" si="7"/>
        <v>304160.26</v>
      </c>
      <c r="IG3" s="3814">
        <f t="shared" si="7"/>
        <v>22530.28</v>
      </c>
      <c r="IH3" s="3814">
        <f t="shared" si="7"/>
        <v>-3029.5499999999993</v>
      </c>
      <c r="II3" s="3814">
        <f t="shared" si="7"/>
        <v>0</v>
      </c>
    </row>
    <row r="4" spans="1:243" s="3818" customFormat="1" ht="21.95" customHeight="1">
      <c r="B4" s="3819" t="s">
        <v>3463</v>
      </c>
      <c r="C4" s="3819" t="s">
        <v>3464</v>
      </c>
      <c r="D4" s="3819" t="s">
        <v>3465</v>
      </c>
      <c r="E4" s="3820" t="s">
        <v>3466</v>
      </c>
      <c r="F4" s="3821" t="s">
        <v>3467</v>
      </c>
      <c r="G4" s="3822" t="s">
        <v>3468</v>
      </c>
      <c r="H4" s="3823" t="s">
        <v>3469</v>
      </c>
      <c r="I4" s="3824" t="s">
        <v>3470</v>
      </c>
      <c r="J4" s="3824" t="s">
        <v>3471</v>
      </c>
      <c r="K4" s="3824" t="s">
        <v>3472</v>
      </c>
      <c r="L4" s="3825" t="s">
        <v>3473</v>
      </c>
      <c r="M4" s="3826"/>
      <c r="N4" s="3827"/>
      <c r="O4" s="3827"/>
      <c r="P4" s="3827"/>
      <c r="Q4" s="3826"/>
      <c r="R4" s="3827"/>
      <c r="S4" s="3827"/>
      <c r="T4" s="3827"/>
      <c r="U4" s="3827"/>
      <c r="V4" s="3827"/>
      <c r="W4" s="3826"/>
      <c r="X4" s="3827"/>
      <c r="Y4" s="3827"/>
      <c r="Z4" s="3827"/>
      <c r="AA4" s="3828" t="s">
        <v>3474</v>
      </c>
      <c r="AB4" s="3829"/>
      <c r="AC4" s="3829"/>
      <c r="AD4" s="3829"/>
      <c r="AE4" s="3830"/>
      <c r="AF4" s="3830"/>
      <c r="AG4" s="3830"/>
      <c r="AH4" s="3831"/>
      <c r="AI4" s="3830"/>
      <c r="AJ4" s="3829"/>
      <c r="AK4" s="3830"/>
      <c r="AL4" s="3830"/>
      <c r="AM4" s="3830"/>
      <c r="AN4" s="3830"/>
      <c r="AO4" s="3832"/>
      <c r="AP4" s="3832"/>
      <c r="AQ4" s="3833"/>
      <c r="AR4" s="3832"/>
      <c r="AS4" s="3832"/>
      <c r="AT4" s="3832"/>
      <c r="AU4" s="3832"/>
      <c r="AV4" s="3832"/>
      <c r="AW4" s="3832"/>
      <c r="AX4" s="3833"/>
      <c r="AY4" s="3832"/>
      <c r="AZ4" s="3832"/>
      <c r="BA4" s="3832"/>
      <c r="BB4" s="3832"/>
      <c r="BC4" s="3834" t="s">
        <v>3474</v>
      </c>
      <c r="BD4" s="3835"/>
      <c r="BE4" s="3829"/>
      <c r="BF4" s="3835"/>
      <c r="BG4" s="3835"/>
      <c r="BH4" s="3835"/>
      <c r="BI4" s="3835"/>
      <c r="BJ4" s="3835"/>
      <c r="BK4" s="3835"/>
      <c r="BL4" s="3829"/>
      <c r="BM4" s="3835"/>
      <c r="BN4" s="3835"/>
      <c r="BO4" s="3835"/>
      <c r="BP4" s="3835"/>
      <c r="BQ4" s="3835"/>
      <c r="BR4" s="3835"/>
      <c r="BS4" s="3829"/>
      <c r="BT4" s="3835"/>
      <c r="BU4" s="3835"/>
      <c r="BV4" s="3835"/>
      <c r="BW4" s="3835"/>
      <c r="BX4" s="3835"/>
      <c r="BY4" s="3835"/>
      <c r="BZ4" s="3829"/>
      <c r="CA4" s="3835"/>
      <c r="CB4" s="3835"/>
      <c r="CC4" s="3835"/>
      <c r="CD4" s="3835"/>
      <c r="CE4" s="3835"/>
      <c r="CF4" s="3835"/>
      <c r="CG4" s="3829"/>
      <c r="CH4" s="3835"/>
      <c r="CI4" s="3835"/>
      <c r="CJ4" s="3835"/>
      <c r="CK4" s="3835"/>
      <c r="CL4" s="3835"/>
      <c r="CM4" s="3835"/>
      <c r="CN4" s="3829"/>
      <c r="CO4" s="3835"/>
      <c r="CP4" s="3835"/>
      <c r="CQ4" s="3835"/>
      <c r="CR4" s="3835"/>
      <c r="CS4" s="3835"/>
      <c r="CT4" s="3835"/>
      <c r="CU4" s="3829"/>
      <c r="CV4" s="3835"/>
      <c r="CW4" s="3835"/>
      <c r="CX4" s="3835"/>
      <c r="CY4" s="3835"/>
      <c r="CZ4" s="3835"/>
      <c r="DA4" s="3835"/>
      <c r="DB4" s="3829"/>
      <c r="DC4" s="3835"/>
      <c r="DD4" s="3835"/>
      <c r="DE4" s="3835"/>
      <c r="DF4" s="3835"/>
      <c r="DG4" s="3835"/>
      <c r="DH4" s="3835"/>
      <c r="DI4" s="3829"/>
      <c r="DJ4" s="3835"/>
      <c r="DK4" s="3835"/>
      <c r="DL4" s="3835"/>
      <c r="DM4" s="3835"/>
      <c r="DN4" s="3835"/>
      <c r="DO4" s="3835"/>
      <c r="DP4" s="3829"/>
      <c r="DQ4" s="3835"/>
      <c r="DR4" s="3835"/>
      <c r="DS4" s="3835"/>
      <c r="DT4" s="3835"/>
      <c r="DU4" s="3835"/>
      <c r="DV4" s="3835"/>
      <c r="DW4" s="3829"/>
      <c r="DX4" s="3835"/>
      <c r="DY4" s="3835"/>
      <c r="DZ4" s="3835"/>
      <c r="EA4" s="3835"/>
      <c r="EB4" s="3835"/>
      <c r="EC4" s="3835"/>
      <c r="ED4" s="3829"/>
      <c r="EE4" s="3835"/>
      <c r="EF4" s="3835"/>
      <c r="EG4" s="3835"/>
      <c r="EH4" s="3835"/>
      <c r="EI4" s="3835"/>
      <c r="EJ4" s="3835"/>
      <c r="EK4" s="3829"/>
      <c r="EL4" s="3835"/>
      <c r="EM4" s="3835"/>
      <c r="EN4" s="3835"/>
      <c r="EO4" s="3835"/>
      <c r="EP4" s="3835"/>
      <c r="EQ4" s="3835"/>
      <c r="ER4" s="3829"/>
      <c r="ES4" s="3835"/>
      <c r="ET4" s="3835"/>
      <c r="EU4" s="3835"/>
      <c r="EV4" s="3835"/>
      <c r="EW4" s="3835"/>
      <c r="EX4" s="3835"/>
      <c r="EY4" s="3829"/>
      <c r="EZ4" s="3835"/>
      <c r="FA4" s="3835"/>
      <c r="FB4" s="3835"/>
      <c r="FC4" s="3835"/>
      <c r="FD4" s="3835"/>
      <c r="FE4" s="3835"/>
      <c r="FF4" s="3829"/>
      <c r="FG4" s="3835"/>
      <c r="FH4" s="3835"/>
      <c r="FI4" s="3835"/>
      <c r="FJ4" s="3835"/>
      <c r="FK4" s="3835"/>
      <c r="FL4" s="3835"/>
      <c r="FM4" s="3829"/>
      <c r="FN4" s="3835"/>
      <c r="FO4" s="3835"/>
      <c r="FP4" s="3835"/>
      <c r="FQ4" s="3835"/>
      <c r="FR4" s="3835"/>
      <c r="FS4" s="3835"/>
      <c r="FT4" s="3829"/>
      <c r="FU4" s="3835"/>
      <c r="FV4" s="3835"/>
      <c r="FW4" s="3835"/>
      <c r="FX4" s="3835"/>
      <c r="FY4" s="3835"/>
      <c r="FZ4" s="3835"/>
      <c r="GA4" s="3829"/>
      <c r="GB4" s="3835"/>
      <c r="GC4" s="3835"/>
      <c r="GD4" s="3835"/>
      <c r="GE4" s="3835"/>
      <c r="GF4" s="3835"/>
      <c r="GG4" s="3835"/>
      <c r="GH4" s="3829"/>
      <c r="GI4" s="3835"/>
      <c r="GJ4" s="3835"/>
      <c r="GK4" s="3835"/>
      <c r="GL4" s="3835"/>
      <c r="GM4" s="3835"/>
      <c r="GN4" s="3835"/>
      <c r="GO4" s="3829"/>
      <c r="GP4" s="3835"/>
      <c r="GQ4" s="3835"/>
      <c r="GR4" s="3835"/>
      <c r="GS4" s="3835"/>
      <c r="GT4" s="3835"/>
      <c r="GU4" s="3835"/>
      <c r="GV4" s="3829"/>
      <c r="GW4" s="3835"/>
      <c r="GX4" s="3835"/>
      <c r="GY4" s="3835"/>
      <c r="GZ4" s="3835"/>
      <c r="HA4" s="3835"/>
      <c r="HB4" s="3835"/>
      <c r="HC4" s="3829"/>
      <c r="HD4" s="3835"/>
      <c r="HE4" s="3835"/>
      <c r="HF4" s="3835"/>
      <c r="HG4" s="3835"/>
      <c r="HH4" s="3835"/>
      <c r="HI4" s="3835"/>
      <c r="HJ4" s="3829"/>
      <c r="HK4" s="3835"/>
      <c r="HL4" s="3835"/>
      <c r="HM4" s="3835"/>
      <c r="HN4" s="3835"/>
      <c r="HO4" s="3835"/>
      <c r="HP4" s="3835"/>
      <c r="HQ4" s="3829"/>
      <c r="HR4" s="3835"/>
      <c r="HS4" s="3835"/>
      <c r="HT4" s="3835"/>
      <c r="HU4" s="3835"/>
      <c r="HV4" s="3835"/>
      <c r="HW4" s="3835"/>
      <c r="HX4" s="3829"/>
      <c r="HY4" s="3835"/>
      <c r="HZ4" s="3835"/>
      <c r="IA4" s="3835"/>
      <c r="IB4" s="3835"/>
      <c r="IC4" s="3836"/>
      <c r="ID4" s="3836"/>
      <c r="IE4" s="3833"/>
      <c r="IF4" s="3836"/>
      <c r="IG4" s="3836"/>
      <c r="IH4" s="3836"/>
      <c r="II4" s="3836"/>
    </row>
    <row r="5" spans="1:243" s="3818" customFormat="1" ht="15" customHeight="1">
      <c r="B5" s="3837"/>
      <c r="C5" s="3837"/>
      <c r="D5" s="3837"/>
      <c r="E5" s="3838"/>
      <c r="F5" s="3839"/>
      <c r="G5" s="3840"/>
      <c r="H5" s="3841"/>
      <c r="I5" s="3842"/>
      <c r="J5" s="3842"/>
      <c r="K5" s="3842"/>
      <c r="L5" s="3825" t="s">
        <v>3475</v>
      </c>
      <c r="M5" s="3843"/>
      <c r="N5" s="3825" t="s">
        <v>3476</v>
      </c>
      <c r="O5" s="3844"/>
      <c r="P5" s="3825" t="s">
        <v>3477</v>
      </c>
      <c r="Q5" s="3843"/>
      <c r="R5" s="3825" t="s">
        <v>3478</v>
      </c>
      <c r="S5" s="3844"/>
      <c r="T5" s="3825" t="s">
        <v>3479</v>
      </c>
      <c r="U5" s="3844"/>
      <c r="V5" s="3825" t="s">
        <v>3480</v>
      </c>
      <c r="W5" s="3843"/>
      <c r="X5" s="3824" t="s">
        <v>3481</v>
      </c>
      <c r="Y5" s="3824" t="s">
        <v>3482</v>
      </c>
      <c r="Z5" s="3824" t="s">
        <v>3483</v>
      </c>
      <c r="AA5" s="3845">
        <v>44835</v>
      </c>
      <c r="AB5" s="3846"/>
      <c r="AC5" s="3846"/>
      <c r="AD5" s="3846"/>
      <c r="AE5" s="3846"/>
      <c r="AF5" s="3846"/>
      <c r="AG5" s="3847"/>
      <c r="AH5" s="3845">
        <v>44866</v>
      </c>
      <c r="AI5" s="3846"/>
      <c r="AJ5" s="3846"/>
      <c r="AK5" s="3846"/>
      <c r="AL5" s="3846"/>
      <c r="AM5" s="3846"/>
      <c r="AN5" s="3847"/>
      <c r="AO5" s="3845">
        <v>44896</v>
      </c>
      <c r="AP5" s="3846"/>
      <c r="AQ5" s="3846"/>
      <c r="AR5" s="3846"/>
      <c r="AS5" s="3846"/>
      <c r="AT5" s="3846"/>
      <c r="AU5" s="3847"/>
      <c r="AV5" s="3848" t="s">
        <v>3484</v>
      </c>
      <c r="AW5" s="3849"/>
      <c r="AX5" s="3846"/>
      <c r="AY5" s="3849"/>
      <c r="AZ5" s="3849"/>
      <c r="BA5" s="3849"/>
      <c r="BB5" s="3850"/>
      <c r="BC5" s="3851">
        <v>44927</v>
      </c>
      <c r="BD5" s="3852"/>
      <c r="BE5" s="3846"/>
      <c r="BF5" s="3852"/>
      <c r="BG5" s="3852"/>
      <c r="BH5" s="3852"/>
      <c r="BI5" s="3853"/>
      <c r="BJ5" s="3851">
        <v>44958</v>
      </c>
      <c r="BK5" s="3852"/>
      <c r="BL5" s="3846"/>
      <c r="BM5" s="3852"/>
      <c r="BN5" s="3853"/>
      <c r="BO5" s="3852"/>
      <c r="BP5" s="3853"/>
      <c r="BQ5" s="3851">
        <v>44986</v>
      </c>
      <c r="BR5" s="3852"/>
      <c r="BS5" s="3846"/>
      <c r="BT5" s="3852"/>
      <c r="BU5" s="3852"/>
      <c r="BV5" s="3852"/>
      <c r="BW5" s="3853"/>
      <c r="BX5" s="3851">
        <v>45017</v>
      </c>
      <c r="BY5" s="3852"/>
      <c r="BZ5" s="3846"/>
      <c r="CA5" s="3852"/>
      <c r="CB5" s="3853"/>
      <c r="CC5" s="3852"/>
      <c r="CD5" s="3853"/>
      <c r="CE5" s="3851">
        <v>45047</v>
      </c>
      <c r="CF5" s="3852"/>
      <c r="CG5" s="3846"/>
      <c r="CH5" s="3852"/>
      <c r="CI5" s="3853"/>
      <c r="CJ5" s="3852"/>
      <c r="CK5" s="3853"/>
      <c r="CL5" s="3851">
        <v>45078</v>
      </c>
      <c r="CM5" s="3852"/>
      <c r="CN5" s="3846"/>
      <c r="CO5" s="3852"/>
      <c r="CP5" s="3853"/>
      <c r="CQ5" s="3852"/>
      <c r="CR5" s="3853"/>
      <c r="CS5" s="3851">
        <v>45108</v>
      </c>
      <c r="CT5" s="3852"/>
      <c r="CU5" s="3846"/>
      <c r="CV5" s="3852"/>
      <c r="CW5" s="3853"/>
      <c r="CX5" s="3852"/>
      <c r="CY5" s="3853"/>
      <c r="CZ5" s="3851">
        <v>45139</v>
      </c>
      <c r="DA5" s="3852"/>
      <c r="DB5" s="3846"/>
      <c r="DC5" s="3852"/>
      <c r="DD5" s="3853"/>
      <c r="DE5" s="3852"/>
      <c r="DF5" s="3853"/>
      <c r="DG5" s="3851">
        <v>45170</v>
      </c>
      <c r="DH5" s="3852"/>
      <c r="DI5" s="3846"/>
      <c r="DJ5" s="3852"/>
      <c r="DK5" s="3852"/>
      <c r="DL5" s="3852"/>
      <c r="DM5" s="3853"/>
      <c r="DN5" s="3851">
        <v>45200</v>
      </c>
      <c r="DO5" s="3852"/>
      <c r="DP5" s="3846"/>
      <c r="DQ5" s="3852"/>
      <c r="DR5" s="3852"/>
      <c r="DS5" s="3852"/>
      <c r="DT5" s="3853"/>
      <c r="DU5" s="3851">
        <v>45231</v>
      </c>
      <c r="DV5" s="3852"/>
      <c r="DW5" s="3846"/>
      <c r="DX5" s="3852"/>
      <c r="DY5" s="3852"/>
      <c r="DZ5" s="3852"/>
      <c r="EA5" s="3853"/>
      <c r="EB5" s="3851">
        <v>45261</v>
      </c>
      <c r="EC5" s="3852"/>
      <c r="ED5" s="3846"/>
      <c r="EE5" s="3852"/>
      <c r="EF5" s="3852"/>
      <c r="EG5" s="3852"/>
      <c r="EH5" s="3853"/>
      <c r="EI5" s="3851" t="s">
        <v>3485</v>
      </c>
      <c r="EJ5" s="3852"/>
      <c r="EK5" s="3846"/>
      <c r="EL5" s="3852"/>
      <c r="EM5" s="3852"/>
      <c r="EN5" s="3852"/>
      <c r="EO5" s="3853"/>
      <c r="EP5" s="3854">
        <v>45292</v>
      </c>
      <c r="EQ5" s="3855"/>
      <c r="ER5" s="3846"/>
      <c r="ES5" s="3855"/>
      <c r="ET5" s="3855"/>
      <c r="EU5" s="3855"/>
      <c r="EV5" s="3856"/>
      <c r="EW5" s="3854">
        <v>45323</v>
      </c>
      <c r="EX5" s="3855"/>
      <c r="EY5" s="3846"/>
      <c r="EZ5" s="3855"/>
      <c r="FA5" s="3855"/>
      <c r="FB5" s="3855"/>
      <c r="FC5" s="3856"/>
      <c r="FD5" s="3854">
        <v>45352</v>
      </c>
      <c r="FE5" s="3855"/>
      <c r="FF5" s="3846"/>
      <c r="FG5" s="3855"/>
      <c r="FH5" s="3855"/>
      <c r="FI5" s="3855"/>
      <c r="FJ5" s="3856"/>
      <c r="FK5" s="3854">
        <v>45383</v>
      </c>
      <c r="FL5" s="3855"/>
      <c r="FM5" s="3846"/>
      <c r="FN5" s="3855"/>
      <c r="FO5" s="3855"/>
      <c r="FP5" s="3855"/>
      <c r="FQ5" s="3856"/>
      <c r="FR5" s="3854">
        <v>45413</v>
      </c>
      <c r="FS5" s="3855"/>
      <c r="FT5" s="3846"/>
      <c r="FU5" s="3855"/>
      <c r="FV5" s="3855"/>
      <c r="FW5" s="3855"/>
      <c r="FX5" s="3856"/>
      <c r="FY5" s="3854">
        <v>45444</v>
      </c>
      <c r="FZ5" s="3855"/>
      <c r="GA5" s="3846"/>
      <c r="GB5" s="3855"/>
      <c r="GC5" s="3855"/>
      <c r="GD5" s="3855"/>
      <c r="GE5" s="3856"/>
      <c r="GF5" s="3854">
        <v>45474</v>
      </c>
      <c r="GG5" s="3855"/>
      <c r="GH5" s="3846"/>
      <c r="GI5" s="3855"/>
      <c r="GJ5" s="3855"/>
      <c r="GK5" s="3855"/>
      <c r="GL5" s="3856"/>
      <c r="GM5" s="3854">
        <v>45505</v>
      </c>
      <c r="GN5" s="3855"/>
      <c r="GO5" s="3846"/>
      <c r="GP5" s="3855"/>
      <c r="GQ5" s="3855"/>
      <c r="GR5" s="3855"/>
      <c r="GS5" s="3856"/>
      <c r="GT5" s="3854">
        <v>45536</v>
      </c>
      <c r="GU5" s="3855"/>
      <c r="GV5" s="3846"/>
      <c r="GW5" s="3855"/>
      <c r="GX5" s="3855"/>
      <c r="GY5" s="3855"/>
      <c r="GZ5" s="3856"/>
      <c r="HA5" s="3854">
        <v>45566</v>
      </c>
      <c r="HB5" s="3855"/>
      <c r="HC5" s="3846"/>
      <c r="HD5" s="3855"/>
      <c r="HE5" s="3855"/>
      <c r="HF5" s="3855"/>
      <c r="HG5" s="3856"/>
      <c r="HH5" s="3854">
        <v>45597</v>
      </c>
      <c r="HI5" s="3855"/>
      <c r="HJ5" s="3846"/>
      <c r="HK5" s="3855"/>
      <c r="HL5" s="3855"/>
      <c r="HM5" s="3855"/>
      <c r="HN5" s="3856"/>
      <c r="HO5" s="3854">
        <v>45627</v>
      </c>
      <c r="HP5" s="3855"/>
      <c r="HQ5" s="3846"/>
      <c r="HR5" s="3855"/>
      <c r="HS5" s="3855"/>
      <c r="HT5" s="3855"/>
      <c r="HU5" s="3856"/>
      <c r="HV5" s="3854" t="s">
        <v>3486</v>
      </c>
      <c r="HW5" s="3855"/>
      <c r="HX5" s="3846"/>
      <c r="HY5" s="3855"/>
      <c r="HZ5" s="3855"/>
      <c r="IA5" s="3855"/>
      <c r="IB5" s="3856"/>
      <c r="IC5" s="3857" t="s">
        <v>3487</v>
      </c>
      <c r="ID5" s="3858"/>
      <c r="IE5" s="3846"/>
      <c r="IF5" s="3858"/>
      <c r="IG5" s="3858"/>
      <c r="IH5" s="3858"/>
      <c r="II5" s="3859"/>
    </row>
    <row r="6" spans="1:243" s="3818" customFormat="1" ht="21.95" customHeight="1">
      <c r="B6" s="3860"/>
      <c r="C6" s="3860"/>
      <c r="D6" s="3860"/>
      <c r="E6" s="3861"/>
      <c r="F6" s="3862"/>
      <c r="G6" s="3863"/>
      <c r="H6" s="3864"/>
      <c r="I6" s="3865"/>
      <c r="J6" s="3865"/>
      <c r="K6" s="3865"/>
      <c r="L6" s="3866" t="s">
        <v>3488</v>
      </c>
      <c r="M6" s="3867" t="s">
        <v>3489</v>
      </c>
      <c r="N6" s="3866" t="s">
        <v>3488</v>
      </c>
      <c r="O6" s="3866" t="s">
        <v>3489</v>
      </c>
      <c r="P6" s="3866" t="s">
        <v>3488</v>
      </c>
      <c r="Q6" s="3867" t="s">
        <v>3489</v>
      </c>
      <c r="R6" s="3866" t="s">
        <v>3488</v>
      </c>
      <c r="S6" s="3866" t="s">
        <v>3489</v>
      </c>
      <c r="T6" s="3866" t="s">
        <v>3488</v>
      </c>
      <c r="U6" s="3866" t="s">
        <v>3489</v>
      </c>
      <c r="V6" s="3866" t="s">
        <v>3488</v>
      </c>
      <c r="W6" s="3867" t="s">
        <v>3489</v>
      </c>
      <c r="X6" s="3865"/>
      <c r="Y6" s="3865"/>
      <c r="Z6" s="3865"/>
      <c r="AA6" s="3868" t="s">
        <v>3490</v>
      </c>
      <c r="AB6" s="3868" t="s">
        <v>3491</v>
      </c>
      <c r="AC6" s="3869" t="s">
        <v>3492</v>
      </c>
      <c r="AD6" s="3870" t="s">
        <v>3493</v>
      </c>
      <c r="AE6" s="3871" t="s">
        <v>3494</v>
      </c>
      <c r="AF6" s="3872" t="s">
        <v>3495</v>
      </c>
      <c r="AG6" s="3872" t="s">
        <v>3496</v>
      </c>
      <c r="AH6" s="3873" t="s">
        <v>3490</v>
      </c>
      <c r="AI6" s="3873" t="s">
        <v>3491</v>
      </c>
      <c r="AJ6" s="3869" t="s">
        <v>3492</v>
      </c>
      <c r="AK6" s="3871" t="s">
        <v>3493</v>
      </c>
      <c r="AL6" s="3871" t="s">
        <v>3494</v>
      </c>
      <c r="AM6" s="3872" t="s">
        <v>3495</v>
      </c>
      <c r="AN6" s="3872" t="s">
        <v>3496</v>
      </c>
      <c r="AO6" s="3873" t="s">
        <v>3490</v>
      </c>
      <c r="AP6" s="3873" t="s">
        <v>3491</v>
      </c>
      <c r="AQ6" s="3874" t="s">
        <v>3492</v>
      </c>
      <c r="AR6" s="3871" t="s">
        <v>3493</v>
      </c>
      <c r="AS6" s="3871" t="s">
        <v>3494</v>
      </c>
      <c r="AT6" s="3872" t="s">
        <v>3495</v>
      </c>
      <c r="AU6" s="3872" t="s">
        <v>3496</v>
      </c>
      <c r="AV6" s="3875" t="s">
        <v>3490</v>
      </c>
      <c r="AW6" s="3875" t="s">
        <v>3491</v>
      </c>
      <c r="AX6" s="3874" t="s">
        <v>3492</v>
      </c>
      <c r="AY6" s="3875" t="s">
        <v>3493</v>
      </c>
      <c r="AZ6" s="3875" t="s">
        <v>3494</v>
      </c>
      <c r="BA6" s="3875" t="s">
        <v>3495</v>
      </c>
      <c r="BB6" s="3875" t="s">
        <v>3496</v>
      </c>
      <c r="BC6" s="3873" t="s">
        <v>3490</v>
      </c>
      <c r="BD6" s="3873" t="s">
        <v>3491</v>
      </c>
      <c r="BE6" s="3874" t="s">
        <v>3492</v>
      </c>
      <c r="BF6" s="3871" t="s">
        <v>3493</v>
      </c>
      <c r="BG6" s="3871" t="s">
        <v>3494</v>
      </c>
      <c r="BH6" s="3872" t="s">
        <v>3495</v>
      </c>
      <c r="BI6" s="3872" t="s">
        <v>3496</v>
      </c>
      <c r="BJ6" s="3873" t="s">
        <v>3490</v>
      </c>
      <c r="BK6" s="3873" t="s">
        <v>3491</v>
      </c>
      <c r="BL6" s="3874" t="s">
        <v>3492</v>
      </c>
      <c r="BM6" s="3871" t="s">
        <v>3493</v>
      </c>
      <c r="BN6" s="3871" t="s">
        <v>3494</v>
      </c>
      <c r="BO6" s="3872" t="s">
        <v>3495</v>
      </c>
      <c r="BP6" s="3872" t="s">
        <v>3496</v>
      </c>
      <c r="BQ6" s="3873" t="s">
        <v>3490</v>
      </c>
      <c r="BR6" s="3873" t="s">
        <v>3491</v>
      </c>
      <c r="BS6" s="3874" t="s">
        <v>3492</v>
      </c>
      <c r="BT6" s="3871" t="s">
        <v>3493</v>
      </c>
      <c r="BU6" s="3871" t="s">
        <v>3494</v>
      </c>
      <c r="BV6" s="3872" t="s">
        <v>3495</v>
      </c>
      <c r="BW6" s="3872" t="s">
        <v>3496</v>
      </c>
      <c r="BX6" s="3873" t="s">
        <v>3490</v>
      </c>
      <c r="BY6" s="3873" t="s">
        <v>3491</v>
      </c>
      <c r="BZ6" s="3874" t="s">
        <v>3492</v>
      </c>
      <c r="CA6" s="3871" t="s">
        <v>3493</v>
      </c>
      <c r="CB6" s="3871" t="s">
        <v>3494</v>
      </c>
      <c r="CC6" s="3872" t="s">
        <v>3495</v>
      </c>
      <c r="CD6" s="3872" t="s">
        <v>3496</v>
      </c>
      <c r="CE6" s="3873" t="s">
        <v>3490</v>
      </c>
      <c r="CF6" s="3873" t="s">
        <v>3491</v>
      </c>
      <c r="CG6" s="3874" t="s">
        <v>3492</v>
      </c>
      <c r="CH6" s="3871" t="s">
        <v>3493</v>
      </c>
      <c r="CI6" s="3871" t="s">
        <v>3494</v>
      </c>
      <c r="CJ6" s="3872" t="s">
        <v>3495</v>
      </c>
      <c r="CK6" s="3872" t="s">
        <v>3496</v>
      </c>
      <c r="CL6" s="3873" t="s">
        <v>3490</v>
      </c>
      <c r="CM6" s="3873" t="s">
        <v>3491</v>
      </c>
      <c r="CN6" s="3874" t="s">
        <v>3492</v>
      </c>
      <c r="CO6" s="3871" t="s">
        <v>3493</v>
      </c>
      <c r="CP6" s="3871" t="s">
        <v>3494</v>
      </c>
      <c r="CQ6" s="3872" t="s">
        <v>3495</v>
      </c>
      <c r="CR6" s="3872" t="s">
        <v>3496</v>
      </c>
      <c r="CS6" s="3873" t="s">
        <v>3490</v>
      </c>
      <c r="CT6" s="3873" t="s">
        <v>3491</v>
      </c>
      <c r="CU6" s="3874" t="s">
        <v>3492</v>
      </c>
      <c r="CV6" s="3871" t="s">
        <v>3493</v>
      </c>
      <c r="CW6" s="3871" t="s">
        <v>3494</v>
      </c>
      <c r="CX6" s="3872" t="s">
        <v>3495</v>
      </c>
      <c r="CY6" s="3872" t="s">
        <v>3496</v>
      </c>
      <c r="CZ6" s="3873" t="s">
        <v>3490</v>
      </c>
      <c r="DA6" s="3873" t="s">
        <v>3491</v>
      </c>
      <c r="DB6" s="3874" t="s">
        <v>3492</v>
      </c>
      <c r="DC6" s="3871" t="s">
        <v>3493</v>
      </c>
      <c r="DD6" s="3871" t="s">
        <v>3494</v>
      </c>
      <c r="DE6" s="3872" t="s">
        <v>3495</v>
      </c>
      <c r="DF6" s="3872" t="s">
        <v>3496</v>
      </c>
      <c r="DG6" s="3873" t="s">
        <v>3490</v>
      </c>
      <c r="DH6" s="3873" t="s">
        <v>3491</v>
      </c>
      <c r="DI6" s="3874" t="s">
        <v>3492</v>
      </c>
      <c r="DJ6" s="3871" t="s">
        <v>3493</v>
      </c>
      <c r="DK6" s="3871" t="s">
        <v>3494</v>
      </c>
      <c r="DL6" s="3872" t="s">
        <v>3495</v>
      </c>
      <c r="DM6" s="3872" t="s">
        <v>3496</v>
      </c>
      <c r="DN6" s="3873" t="s">
        <v>3490</v>
      </c>
      <c r="DO6" s="3873" t="s">
        <v>3491</v>
      </c>
      <c r="DP6" s="3874" t="s">
        <v>3492</v>
      </c>
      <c r="DQ6" s="3871" t="s">
        <v>3493</v>
      </c>
      <c r="DR6" s="3871" t="s">
        <v>3494</v>
      </c>
      <c r="DS6" s="3872" t="s">
        <v>3495</v>
      </c>
      <c r="DT6" s="3872" t="s">
        <v>3496</v>
      </c>
      <c r="DU6" s="3873" t="s">
        <v>3490</v>
      </c>
      <c r="DV6" s="3873" t="s">
        <v>3491</v>
      </c>
      <c r="DW6" s="3874" t="s">
        <v>3492</v>
      </c>
      <c r="DX6" s="3871" t="s">
        <v>3493</v>
      </c>
      <c r="DY6" s="3871" t="s">
        <v>3494</v>
      </c>
      <c r="DZ6" s="3872" t="s">
        <v>3495</v>
      </c>
      <c r="EA6" s="3872" t="s">
        <v>3496</v>
      </c>
      <c r="EB6" s="3873" t="s">
        <v>3490</v>
      </c>
      <c r="EC6" s="3873" t="s">
        <v>3491</v>
      </c>
      <c r="ED6" s="3874" t="s">
        <v>3492</v>
      </c>
      <c r="EE6" s="3871" t="s">
        <v>3493</v>
      </c>
      <c r="EF6" s="3871" t="s">
        <v>3494</v>
      </c>
      <c r="EG6" s="3872" t="s">
        <v>3495</v>
      </c>
      <c r="EH6" s="3872" t="s">
        <v>3496</v>
      </c>
      <c r="EI6" s="3873" t="s">
        <v>3490</v>
      </c>
      <c r="EJ6" s="3873" t="s">
        <v>3491</v>
      </c>
      <c r="EK6" s="3868" t="s">
        <v>3492</v>
      </c>
      <c r="EL6" s="3873" t="s">
        <v>3493</v>
      </c>
      <c r="EM6" s="3873" t="s">
        <v>3494</v>
      </c>
      <c r="EN6" s="3873" t="s">
        <v>3495</v>
      </c>
      <c r="EO6" s="3873" t="s">
        <v>3496</v>
      </c>
      <c r="EP6" s="3873" t="s">
        <v>3490</v>
      </c>
      <c r="EQ6" s="3873" t="s">
        <v>3491</v>
      </c>
      <c r="ER6" s="3874" t="s">
        <v>3492</v>
      </c>
      <c r="ES6" s="3871" t="s">
        <v>3493</v>
      </c>
      <c r="ET6" s="3871" t="s">
        <v>3494</v>
      </c>
      <c r="EU6" s="3872" t="s">
        <v>3495</v>
      </c>
      <c r="EV6" s="3872" t="s">
        <v>3496</v>
      </c>
      <c r="EW6" s="3873" t="s">
        <v>3490</v>
      </c>
      <c r="EX6" s="3873" t="s">
        <v>3491</v>
      </c>
      <c r="EY6" s="3874" t="s">
        <v>3492</v>
      </c>
      <c r="EZ6" s="3871" t="s">
        <v>3493</v>
      </c>
      <c r="FA6" s="3871" t="s">
        <v>3494</v>
      </c>
      <c r="FB6" s="3872" t="s">
        <v>3495</v>
      </c>
      <c r="FC6" s="3872" t="s">
        <v>3496</v>
      </c>
      <c r="FD6" s="3873" t="s">
        <v>3490</v>
      </c>
      <c r="FE6" s="3873" t="s">
        <v>3491</v>
      </c>
      <c r="FF6" s="3874" t="s">
        <v>3492</v>
      </c>
      <c r="FG6" s="3871" t="s">
        <v>3493</v>
      </c>
      <c r="FH6" s="3871" t="s">
        <v>3494</v>
      </c>
      <c r="FI6" s="3872" t="s">
        <v>3495</v>
      </c>
      <c r="FJ6" s="3872" t="s">
        <v>3496</v>
      </c>
      <c r="FK6" s="3873" t="s">
        <v>3490</v>
      </c>
      <c r="FL6" s="3873" t="s">
        <v>3491</v>
      </c>
      <c r="FM6" s="3874" t="s">
        <v>3492</v>
      </c>
      <c r="FN6" s="3871" t="s">
        <v>3493</v>
      </c>
      <c r="FO6" s="3871" t="s">
        <v>3494</v>
      </c>
      <c r="FP6" s="3872" t="s">
        <v>3495</v>
      </c>
      <c r="FQ6" s="3872" t="s">
        <v>3496</v>
      </c>
      <c r="FR6" s="3873" t="s">
        <v>3490</v>
      </c>
      <c r="FS6" s="3873" t="s">
        <v>3491</v>
      </c>
      <c r="FT6" s="3874" t="s">
        <v>3492</v>
      </c>
      <c r="FU6" s="3871" t="s">
        <v>3493</v>
      </c>
      <c r="FV6" s="3871" t="s">
        <v>3494</v>
      </c>
      <c r="FW6" s="3872" t="s">
        <v>3495</v>
      </c>
      <c r="FX6" s="3872" t="s">
        <v>3496</v>
      </c>
      <c r="FY6" s="3873" t="s">
        <v>3490</v>
      </c>
      <c r="FZ6" s="3873" t="s">
        <v>3491</v>
      </c>
      <c r="GA6" s="3874" t="s">
        <v>3492</v>
      </c>
      <c r="GB6" s="3871" t="s">
        <v>3493</v>
      </c>
      <c r="GC6" s="3871" t="s">
        <v>3494</v>
      </c>
      <c r="GD6" s="3872" t="s">
        <v>3495</v>
      </c>
      <c r="GE6" s="3872" t="s">
        <v>3496</v>
      </c>
      <c r="GF6" s="3873" t="s">
        <v>3490</v>
      </c>
      <c r="GG6" s="3873" t="s">
        <v>3491</v>
      </c>
      <c r="GH6" s="3874" t="s">
        <v>3492</v>
      </c>
      <c r="GI6" s="3871" t="s">
        <v>3493</v>
      </c>
      <c r="GJ6" s="3871" t="s">
        <v>3494</v>
      </c>
      <c r="GK6" s="3872" t="s">
        <v>3495</v>
      </c>
      <c r="GL6" s="3872" t="s">
        <v>3496</v>
      </c>
      <c r="GM6" s="3873" t="s">
        <v>3490</v>
      </c>
      <c r="GN6" s="3873" t="s">
        <v>3491</v>
      </c>
      <c r="GO6" s="3874" t="s">
        <v>3492</v>
      </c>
      <c r="GP6" s="3871" t="s">
        <v>3493</v>
      </c>
      <c r="GQ6" s="3871" t="s">
        <v>3494</v>
      </c>
      <c r="GR6" s="3872" t="s">
        <v>3495</v>
      </c>
      <c r="GS6" s="3872" t="s">
        <v>3496</v>
      </c>
      <c r="GT6" s="3873" t="s">
        <v>3490</v>
      </c>
      <c r="GU6" s="3873" t="s">
        <v>3491</v>
      </c>
      <c r="GV6" s="3874" t="s">
        <v>3492</v>
      </c>
      <c r="GW6" s="3871" t="s">
        <v>3493</v>
      </c>
      <c r="GX6" s="3871" t="s">
        <v>3494</v>
      </c>
      <c r="GY6" s="3872" t="s">
        <v>3495</v>
      </c>
      <c r="GZ6" s="3872" t="s">
        <v>3496</v>
      </c>
      <c r="HA6" s="3873" t="s">
        <v>3490</v>
      </c>
      <c r="HB6" s="3873" t="s">
        <v>3491</v>
      </c>
      <c r="HC6" s="3874" t="s">
        <v>3492</v>
      </c>
      <c r="HD6" s="3871" t="s">
        <v>3493</v>
      </c>
      <c r="HE6" s="3871" t="s">
        <v>3494</v>
      </c>
      <c r="HF6" s="3872" t="s">
        <v>3495</v>
      </c>
      <c r="HG6" s="3872" t="s">
        <v>3496</v>
      </c>
      <c r="HH6" s="3873" t="s">
        <v>3490</v>
      </c>
      <c r="HI6" s="3873" t="s">
        <v>3491</v>
      </c>
      <c r="HJ6" s="3874" t="s">
        <v>3492</v>
      </c>
      <c r="HK6" s="3871" t="s">
        <v>3493</v>
      </c>
      <c r="HL6" s="3871" t="s">
        <v>3494</v>
      </c>
      <c r="HM6" s="3872" t="s">
        <v>3495</v>
      </c>
      <c r="HN6" s="3872" t="s">
        <v>3496</v>
      </c>
      <c r="HO6" s="3873" t="s">
        <v>3490</v>
      </c>
      <c r="HP6" s="3873" t="s">
        <v>3491</v>
      </c>
      <c r="HQ6" s="3874" t="s">
        <v>3492</v>
      </c>
      <c r="HR6" s="3871" t="s">
        <v>3493</v>
      </c>
      <c r="HS6" s="3871" t="s">
        <v>3494</v>
      </c>
      <c r="HT6" s="3872" t="s">
        <v>3495</v>
      </c>
      <c r="HU6" s="3872" t="s">
        <v>3496</v>
      </c>
      <c r="HV6" s="3876" t="s">
        <v>3490</v>
      </c>
      <c r="HW6" s="3876" t="s">
        <v>3491</v>
      </c>
      <c r="HX6" s="3874" t="s">
        <v>3492</v>
      </c>
      <c r="HY6" s="3876" t="s">
        <v>3493</v>
      </c>
      <c r="HZ6" s="3876" t="s">
        <v>3494</v>
      </c>
      <c r="IA6" s="3876" t="s">
        <v>3495</v>
      </c>
      <c r="IB6" s="3876" t="s">
        <v>3496</v>
      </c>
      <c r="IC6" s="3877" t="s">
        <v>3490</v>
      </c>
      <c r="ID6" s="3877" t="s">
        <v>3491</v>
      </c>
      <c r="IE6" s="3874" t="s">
        <v>3492</v>
      </c>
      <c r="IF6" s="3877" t="s">
        <v>3493</v>
      </c>
      <c r="IG6" s="3877" t="s">
        <v>3494</v>
      </c>
      <c r="IH6" s="3877" t="s">
        <v>3495</v>
      </c>
      <c r="II6" s="3877" t="s">
        <v>3496</v>
      </c>
    </row>
    <row r="7" spans="1:243" ht="21.95" customHeight="1">
      <c r="A7" s="3801" t="s">
        <v>3541</v>
      </c>
      <c r="B7" s="3878">
        <v>1</v>
      </c>
      <c r="C7" s="3879" t="s">
        <v>3497</v>
      </c>
      <c r="D7" s="3880"/>
      <c r="E7" s="3881">
        <v>37</v>
      </c>
      <c r="F7" s="3882">
        <v>42.46</v>
      </c>
      <c r="G7" s="3878"/>
      <c r="H7" s="3878"/>
      <c r="I7" s="3878"/>
      <c r="J7" s="3878"/>
      <c r="K7" s="3884">
        <f t="shared" ref="K7:K18" si="8">YEAR(J7)-YEAR(I7)</f>
        <v>0</v>
      </c>
      <c r="L7" s="3885"/>
      <c r="M7" s="3886"/>
      <c r="N7" s="3885"/>
      <c r="O7" s="3885"/>
      <c r="P7" s="3885"/>
      <c r="Q7" s="3886"/>
      <c r="R7" s="3885"/>
      <c r="S7" s="3885"/>
      <c r="T7" s="3885"/>
      <c r="U7" s="3885"/>
      <c r="V7" s="3885"/>
      <c r="W7" s="3886"/>
      <c r="X7" s="3866">
        <f>M7+O7+Q7+S7+U7+W7</f>
        <v>0</v>
      </c>
      <c r="Y7" s="3866">
        <f t="shared" ref="Y7:Y18" si="9">IF7</f>
        <v>0</v>
      </c>
      <c r="Z7" s="3866">
        <f t="shared" ref="Z7:Z18" si="10">X7-Y7</f>
        <v>0</v>
      </c>
      <c r="AA7" s="3887"/>
      <c r="AB7" s="3887"/>
      <c r="AC7" s="3888">
        <f t="shared" ref="AC7:AC18" si="11">AA7-AB7</f>
        <v>0</v>
      </c>
      <c r="AD7" s="3887"/>
      <c r="AE7" s="3887"/>
      <c r="AF7" s="3888">
        <f t="shared" ref="AF7:AG18" si="12">AA7-AD7</f>
        <v>0</v>
      </c>
      <c r="AG7" s="3888">
        <f t="shared" si="12"/>
        <v>0</v>
      </c>
      <c r="AH7" s="3887"/>
      <c r="AI7" s="3887"/>
      <c r="AJ7" s="3888">
        <f t="shared" ref="AJ7:AJ18" si="13">AH7-AI7</f>
        <v>0</v>
      </c>
      <c r="AK7" s="3887"/>
      <c r="AL7" s="3887"/>
      <c r="AM7" s="3888">
        <f t="shared" ref="AM7:AN18" si="14">AH7-AK7</f>
        <v>0</v>
      </c>
      <c r="AN7" s="3888">
        <f t="shared" si="14"/>
        <v>0</v>
      </c>
      <c r="AO7" s="3887"/>
      <c r="AP7" s="3887"/>
      <c r="AQ7" s="3888">
        <f t="shared" ref="AQ7:AQ18" si="15">AO7-AP7</f>
        <v>0</v>
      </c>
      <c r="AR7" s="3887"/>
      <c r="AS7" s="3887"/>
      <c r="AT7" s="3888">
        <f t="shared" ref="AT7:AU18" si="16">AO7-AR7</f>
        <v>0</v>
      </c>
      <c r="AU7" s="3888">
        <f t="shared" si="16"/>
        <v>0</v>
      </c>
      <c r="AV7" s="3889">
        <f t="shared" ref="AV7:BB18" si="17">AA7+AH7+AO7</f>
        <v>0</v>
      </c>
      <c r="AW7" s="3889">
        <f t="shared" si="17"/>
        <v>0</v>
      </c>
      <c r="AX7" s="3889">
        <f t="shared" ref="AX7:AX18" si="18">AV7-AW7</f>
        <v>0</v>
      </c>
      <c r="AY7" s="3889">
        <f t="shared" si="17"/>
        <v>0</v>
      </c>
      <c r="AZ7" s="3889">
        <f t="shared" si="17"/>
        <v>0</v>
      </c>
      <c r="BA7" s="3889">
        <f t="shared" si="17"/>
        <v>0</v>
      </c>
      <c r="BB7" s="3889">
        <f t="shared" si="17"/>
        <v>0</v>
      </c>
      <c r="BC7" s="3887"/>
      <c r="BD7" s="3887"/>
      <c r="BE7" s="3888">
        <f t="shared" ref="BE7:BE18" si="19">BC7-BD7</f>
        <v>0</v>
      </c>
      <c r="BF7" s="3887"/>
      <c r="BG7" s="3887"/>
      <c r="BH7" s="3888">
        <f t="shared" ref="BH7:BI18" si="20">BC7-BF7</f>
        <v>0</v>
      </c>
      <c r="BI7" s="3888">
        <f t="shared" si="20"/>
        <v>0</v>
      </c>
      <c r="BJ7" s="3887"/>
      <c r="BK7" s="3887"/>
      <c r="BL7" s="3888">
        <f t="shared" ref="BL7:BL18" si="21">BJ7-BK7</f>
        <v>0</v>
      </c>
      <c r="BM7" s="3887"/>
      <c r="BN7" s="3887"/>
      <c r="BO7" s="3888">
        <f t="shared" ref="BO7:BP18" si="22">BJ7-BM7</f>
        <v>0</v>
      </c>
      <c r="BP7" s="3888">
        <f t="shared" si="22"/>
        <v>0</v>
      </c>
      <c r="BQ7" s="3887"/>
      <c r="BR7" s="3887"/>
      <c r="BS7" s="3888">
        <f t="shared" ref="BS7:BS18" si="23">BQ7-BR7</f>
        <v>0</v>
      </c>
      <c r="BT7" s="3887"/>
      <c r="BU7" s="3887"/>
      <c r="BV7" s="3888">
        <f t="shared" ref="BV7:BW18" si="24">BQ7-BT7</f>
        <v>0</v>
      </c>
      <c r="BW7" s="3888">
        <f t="shared" si="24"/>
        <v>0</v>
      </c>
      <c r="BX7" s="3887"/>
      <c r="BY7" s="3887"/>
      <c r="BZ7" s="3888">
        <f t="shared" ref="BZ7:BZ18" si="25">BX7-BY7</f>
        <v>0</v>
      </c>
      <c r="CA7" s="3887"/>
      <c r="CB7" s="3887"/>
      <c r="CC7" s="3888">
        <f t="shared" ref="CC7:CD18" si="26">BX7-CA7</f>
        <v>0</v>
      </c>
      <c r="CD7" s="3888">
        <f t="shared" si="26"/>
        <v>0</v>
      </c>
      <c r="CE7" s="3887"/>
      <c r="CF7" s="3887"/>
      <c r="CG7" s="3888">
        <f t="shared" ref="CG7:CG18" si="27">CE7-CF7</f>
        <v>0</v>
      </c>
      <c r="CH7" s="3887"/>
      <c r="CI7" s="3887"/>
      <c r="CJ7" s="3888">
        <f t="shared" ref="CJ7:CK18" si="28">CE7-CH7</f>
        <v>0</v>
      </c>
      <c r="CK7" s="3888">
        <f t="shared" si="28"/>
        <v>0</v>
      </c>
      <c r="CL7" s="3887"/>
      <c r="CM7" s="3887"/>
      <c r="CN7" s="3888">
        <f t="shared" ref="CN7:CN18" si="29">CL7-CM7</f>
        <v>0</v>
      </c>
      <c r="CO7" s="3887"/>
      <c r="CP7" s="3887"/>
      <c r="CQ7" s="3888">
        <f t="shared" ref="CQ7:CR18" si="30">CL7-CO7</f>
        <v>0</v>
      </c>
      <c r="CR7" s="3888">
        <f t="shared" si="30"/>
        <v>0</v>
      </c>
      <c r="CS7" s="3887"/>
      <c r="CT7" s="3887"/>
      <c r="CU7" s="3888">
        <f t="shared" ref="CU7:CU18" si="31">CS7-CT7</f>
        <v>0</v>
      </c>
      <c r="CV7" s="3887"/>
      <c r="CW7" s="3887"/>
      <c r="CX7" s="3888">
        <f t="shared" ref="CX7:CY18" si="32">CS7-CV7</f>
        <v>0</v>
      </c>
      <c r="CY7" s="3888">
        <f t="shared" si="32"/>
        <v>0</v>
      </c>
      <c r="CZ7" s="3887"/>
      <c r="DA7" s="3887"/>
      <c r="DB7" s="3888">
        <f t="shared" ref="DB7:DB18" si="33">CZ7-DA7</f>
        <v>0</v>
      </c>
      <c r="DC7" s="3890"/>
      <c r="DD7" s="3890"/>
      <c r="DE7" s="3888">
        <f t="shared" ref="DE7:DF18" si="34">CZ7-DC7</f>
        <v>0</v>
      </c>
      <c r="DF7" s="3888">
        <f t="shared" si="34"/>
        <v>0</v>
      </c>
      <c r="DG7" s="3890"/>
      <c r="DH7" s="3890"/>
      <c r="DI7" s="3888">
        <f t="shared" ref="DI7:DI18" si="35">DG7-DH7</f>
        <v>0</v>
      </c>
      <c r="DJ7" s="3890"/>
      <c r="DK7" s="3890"/>
      <c r="DL7" s="3888">
        <f t="shared" ref="DL7:DM18" si="36">DG7-DJ7</f>
        <v>0</v>
      </c>
      <c r="DM7" s="3888">
        <f t="shared" si="36"/>
        <v>0</v>
      </c>
      <c r="DN7" s="3890"/>
      <c r="DO7" s="3890"/>
      <c r="DP7" s="3888">
        <f t="shared" ref="DP7:DP18" si="37">DN7-DO7</f>
        <v>0</v>
      </c>
      <c r="DQ7" s="3890"/>
      <c r="DR7" s="3890"/>
      <c r="DS7" s="3888">
        <f t="shared" ref="DS7:DT18" si="38">DN7-DQ7</f>
        <v>0</v>
      </c>
      <c r="DT7" s="3888">
        <f t="shared" si="38"/>
        <v>0</v>
      </c>
      <c r="DU7" s="3890"/>
      <c r="DV7" s="3890"/>
      <c r="DW7" s="3888">
        <f t="shared" ref="DW7:DW18" si="39">DU7-DV7</f>
        <v>0</v>
      </c>
      <c r="DX7" s="3890"/>
      <c r="DY7" s="3890"/>
      <c r="DZ7" s="3888">
        <f t="shared" ref="DZ7:EA18" si="40">DU7-DX7</f>
        <v>0</v>
      </c>
      <c r="EA7" s="3888">
        <f t="shared" si="40"/>
        <v>0</v>
      </c>
      <c r="EB7" s="3890"/>
      <c r="EC7" s="3890"/>
      <c r="ED7" s="3888">
        <f t="shared" ref="ED7:ED18" si="41">EB7-EC7</f>
        <v>0</v>
      </c>
      <c r="EE7" s="3890"/>
      <c r="EF7" s="3890"/>
      <c r="EG7" s="3888">
        <f t="shared" ref="EG7:EH18" si="42">EB7-EE7</f>
        <v>0</v>
      </c>
      <c r="EH7" s="3888">
        <f t="shared" si="42"/>
        <v>0</v>
      </c>
      <c r="EI7" s="3891">
        <f t="shared" ref="EI7:EO18" si="43">BC7+BJ7+BQ7+BX7+CE7+CL7+CS7+CZ7+DG7+DN7+DU7+EB7</f>
        <v>0</v>
      </c>
      <c r="EJ7" s="3891">
        <f t="shared" si="43"/>
        <v>0</v>
      </c>
      <c r="EK7" s="3868">
        <f t="shared" ref="EK7:EK18" si="44">EI7-EJ7</f>
        <v>0</v>
      </c>
      <c r="EL7" s="3891">
        <f t="shared" si="43"/>
        <v>0</v>
      </c>
      <c r="EM7" s="3891">
        <f t="shared" si="43"/>
        <v>0</v>
      </c>
      <c r="EN7" s="3891">
        <f t="shared" si="43"/>
        <v>0</v>
      </c>
      <c r="EO7" s="3891">
        <f t="shared" si="43"/>
        <v>0</v>
      </c>
      <c r="EP7" s="3887"/>
      <c r="EQ7" s="3887"/>
      <c r="ER7" s="3888">
        <f t="shared" ref="ER7:ER18" si="45">EP7-EQ7</f>
        <v>0</v>
      </c>
      <c r="ES7" s="3887"/>
      <c r="ET7" s="3887"/>
      <c r="EU7" s="3888">
        <f t="shared" ref="EU7:EV18" si="46">EP7-ES7</f>
        <v>0</v>
      </c>
      <c r="EV7" s="3888">
        <f t="shared" si="46"/>
        <v>0</v>
      </c>
      <c r="EW7" s="3887"/>
      <c r="EX7" s="3887"/>
      <c r="EY7" s="3888">
        <f t="shared" ref="EY7:EY18" si="47">EW7-EX7</f>
        <v>0</v>
      </c>
      <c r="EZ7" s="3887"/>
      <c r="FA7" s="3887"/>
      <c r="FB7" s="3888">
        <f t="shared" ref="FB7:FC18" si="48">EW7-EZ7</f>
        <v>0</v>
      </c>
      <c r="FC7" s="3888">
        <f t="shared" si="48"/>
        <v>0</v>
      </c>
      <c r="FD7" s="3887"/>
      <c r="FE7" s="3887"/>
      <c r="FF7" s="3888">
        <f t="shared" ref="FF7:FF18" si="49">FD7-FE7</f>
        <v>0</v>
      </c>
      <c r="FG7" s="3887"/>
      <c r="FH7" s="3887"/>
      <c r="FI7" s="3888">
        <f t="shared" ref="FI7:FJ18" si="50">FD7-FG7</f>
        <v>0</v>
      </c>
      <c r="FJ7" s="3888">
        <f t="shared" si="50"/>
        <v>0</v>
      </c>
      <c r="FK7" s="3887"/>
      <c r="FL7" s="3887"/>
      <c r="FM7" s="3888">
        <f t="shared" ref="FM7:FM18" si="51">FK7-FL7</f>
        <v>0</v>
      </c>
      <c r="FN7" s="3887"/>
      <c r="FO7" s="3887"/>
      <c r="FP7" s="3888">
        <f t="shared" ref="FP7:FQ18" si="52">FK7-FN7</f>
        <v>0</v>
      </c>
      <c r="FQ7" s="3888">
        <f t="shared" si="52"/>
        <v>0</v>
      </c>
      <c r="FR7" s="3887"/>
      <c r="FS7" s="3887"/>
      <c r="FT7" s="3888">
        <f t="shared" ref="FT7:FT18" si="53">FR7-FS7</f>
        <v>0</v>
      </c>
      <c r="FU7" s="3887"/>
      <c r="FV7" s="3887"/>
      <c r="FW7" s="3888">
        <f t="shared" ref="FW7:FX18" si="54">FR7-FU7</f>
        <v>0</v>
      </c>
      <c r="FX7" s="3888">
        <f t="shared" si="54"/>
        <v>0</v>
      </c>
      <c r="FY7" s="3887"/>
      <c r="FZ7" s="3887"/>
      <c r="GA7" s="3888">
        <f t="shared" ref="GA7:GA18" si="55">FY7-FZ7</f>
        <v>0</v>
      </c>
      <c r="GB7" s="3887"/>
      <c r="GC7" s="3887"/>
      <c r="GD7" s="3888">
        <f t="shared" ref="GD7:GE18" si="56">FY7-GB7</f>
        <v>0</v>
      </c>
      <c r="GE7" s="3888">
        <f t="shared" si="56"/>
        <v>0</v>
      </c>
      <c r="GF7" s="3887"/>
      <c r="GG7" s="3887"/>
      <c r="GH7" s="3888">
        <f t="shared" ref="GH7:GH18" si="57">GF7-GG7</f>
        <v>0</v>
      </c>
      <c r="GI7" s="3887"/>
      <c r="GJ7" s="3887"/>
      <c r="GK7" s="3888">
        <f t="shared" ref="GK7:GL18" si="58">GF7-GI7</f>
        <v>0</v>
      </c>
      <c r="GL7" s="3888">
        <f t="shared" si="58"/>
        <v>0</v>
      </c>
      <c r="GM7" s="3887"/>
      <c r="GN7" s="3887"/>
      <c r="GO7" s="3888">
        <f t="shared" ref="GO7:GO18" si="59">GM7-GN7</f>
        <v>0</v>
      </c>
      <c r="GP7" s="3890"/>
      <c r="GQ7" s="3890"/>
      <c r="GR7" s="3888">
        <f t="shared" ref="GR7:GS18" si="60">GM7-GP7</f>
        <v>0</v>
      </c>
      <c r="GS7" s="3888">
        <f t="shared" si="60"/>
        <v>0</v>
      </c>
      <c r="GT7" s="3890"/>
      <c r="GU7" s="3890"/>
      <c r="GV7" s="3888">
        <f t="shared" ref="GV7:GV18" si="61">GT7-GU7</f>
        <v>0</v>
      </c>
      <c r="GW7" s="3890"/>
      <c r="GX7" s="3890"/>
      <c r="GY7" s="3888">
        <f t="shared" ref="GY7:GZ18" si="62">GT7-GW7</f>
        <v>0</v>
      </c>
      <c r="GZ7" s="3888">
        <f t="shared" si="62"/>
        <v>0</v>
      </c>
      <c r="HA7" s="3890"/>
      <c r="HB7" s="3890"/>
      <c r="HC7" s="3888">
        <f t="shared" ref="HC7:HC18" si="63">HA7-HB7</f>
        <v>0</v>
      </c>
      <c r="HD7" s="3890"/>
      <c r="HE7" s="3890"/>
      <c r="HF7" s="3888">
        <f t="shared" ref="HF7:HG18" si="64">HA7-HD7</f>
        <v>0</v>
      </c>
      <c r="HG7" s="3888">
        <f t="shared" si="64"/>
        <v>0</v>
      </c>
      <c r="HH7" s="3890"/>
      <c r="HI7" s="3890"/>
      <c r="HJ7" s="3888">
        <f t="shared" ref="HJ7:HJ18" si="65">HH7-HI7</f>
        <v>0</v>
      </c>
      <c r="HK7" s="3890"/>
      <c r="HL7" s="3890"/>
      <c r="HM7" s="3888">
        <f t="shared" ref="HM7:HN18" si="66">HH7-HK7</f>
        <v>0</v>
      </c>
      <c r="HN7" s="3888">
        <f t="shared" si="66"/>
        <v>0</v>
      </c>
      <c r="HO7" s="3890"/>
      <c r="HP7" s="3890"/>
      <c r="HQ7" s="3888">
        <f t="shared" ref="HQ7:HQ18" si="67">HO7-HP7</f>
        <v>0</v>
      </c>
      <c r="HR7" s="3890"/>
      <c r="HS7" s="3890"/>
      <c r="HT7" s="3888">
        <f t="shared" ref="HT7:HU18" si="68">HO7-HR7</f>
        <v>0</v>
      </c>
      <c r="HU7" s="3888">
        <f t="shared" si="68"/>
        <v>0</v>
      </c>
      <c r="HV7" s="3892">
        <f t="shared" ref="HV7:IB18" si="69">EP7+EW7+FD7+FK7+FR7+FY7+GF7+GM7+GT7+HA7+HH7+HO7</f>
        <v>0</v>
      </c>
      <c r="HW7" s="3892">
        <f t="shared" si="69"/>
        <v>0</v>
      </c>
      <c r="HX7" s="3892">
        <f t="shared" ref="HX7:HX18" si="70">HV7-HW7</f>
        <v>0</v>
      </c>
      <c r="HY7" s="3892">
        <f t="shared" si="69"/>
        <v>0</v>
      </c>
      <c r="HZ7" s="3892">
        <f t="shared" si="69"/>
        <v>0</v>
      </c>
      <c r="IA7" s="3892">
        <f t="shared" si="69"/>
        <v>0</v>
      </c>
      <c r="IB7" s="3892">
        <f t="shared" si="69"/>
        <v>0</v>
      </c>
      <c r="IC7" s="3893">
        <f t="shared" ref="IC7:II18" si="71">AV7+EI7+HV7</f>
        <v>0</v>
      </c>
      <c r="ID7" s="3893">
        <f t="shared" si="71"/>
        <v>0</v>
      </c>
      <c r="IE7" s="3894">
        <f t="shared" ref="IE7:IE18" si="72">IC7-ID7</f>
        <v>0</v>
      </c>
      <c r="IF7" s="3893">
        <f t="shared" si="71"/>
        <v>0</v>
      </c>
      <c r="IG7" s="3893">
        <f t="shared" si="71"/>
        <v>0</v>
      </c>
      <c r="IH7" s="3893">
        <f t="shared" si="71"/>
        <v>0</v>
      </c>
      <c r="II7" s="3893">
        <f t="shared" si="71"/>
        <v>0</v>
      </c>
    </row>
    <row r="8" spans="1:243" ht="21.95" customHeight="1">
      <c r="A8" s="3801" t="s">
        <v>3542</v>
      </c>
      <c r="B8" s="3878">
        <v>2</v>
      </c>
      <c r="C8" s="3895" t="s">
        <v>3498</v>
      </c>
      <c r="D8" s="3880" t="s">
        <v>3499</v>
      </c>
      <c r="E8" s="3881">
        <v>27.3</v>
      </c>
      <c r="F8" s="3882">
        <v>34.130000000000003</v>
      </c>
      <c r="G8" s="3878">
        <v>6.3</v>
      </c>
      <c r="H8" s="3878" t="s">
        <v>3501</v>
      </c>
      <c r="I8" s="3896">
        <v>44848</v>
      </c>
      <c r="J8" s="3896">
        <v>47039</v>
      </c>
      <c r="K8" s="3884">
        <f t="shared" si="8"/>
        <v>6</v>
      </c>
      <c r="L8" s="3886">
        <f>ROUND(F8*G8*365/12,2)</f>
        <v>6540.16</v>
      </c>
      <c r="M8" s="3881">
        <v>71941.78</v>
      </c>
      <c r="N8" s="3885">
        <v>6540.16</v>
      </c>
      <c r="O8" s="3886">
        <v>71941.78</v>
      </c>
      <c r="P8" s="3885">
        <v>6913.88</v>
      </c>
      <c r="Q8" s="3886">
        <v>82966.61</v>
      </c>
      <c r="R8" s="3885">
        <v>6913.88</v>
      </c>
      <c r="S8" s="3886">
        <v>82966.61</v>
      </c>
      <c r="T8" s="3885">
        <v>7308.37</v>
      </c>
      <c r="U8" s="3885">
        <v>87700.45</v>
      </c>
      <c r="V8" s="3885">
        <v>7308.37</v>
      </c>
      <c r="W8" s="3885">
        <v>87700.45</v>
      </c>
      <c r="X8" s="3866">
        <f>M8+O8+Q8+S8+U8+W8</f>
        <v>485217.68</v>
      </c>
      <c r="Y8" s="3866">
        <v>71941.78</v>
      </c>
      <c r="Z8" s="3866">
        <f t="shared" si="10"/>
        <v>413275.9</v>
      </c>
      <c r="AA8" s="3887">
        <v>71941.78</v>
      </c>
      <c r="AB8" s="3887">
        <v>6540.16</v>
      </c>
      <c r="AC8" s="3888">
        <f t="shared" si="11"/>
        <v>65401.619999999995</v>
      </c>
      <c r="AD8" s="3887">
        <v>71941.78</v>
      </c>
      <c r="AE8" s="3887">
        <v>6540.16</v>
      </c>
      <c r="AF8" s="3888">
        <f t="shared" si="12"/>
        <v>0</v>
      </c>
      <c r="AG8" s="3888">
        <f t="shared" si="12"/>
        <v>0</v>
      </c>
      <c r="AH8" s="3887"/>
      <c r="AI8" s="3887"/>
      <c r="AJ8" s="3888">
        <f t="shared" si="13"/>
        <v>0</v>
      </c>
      <c r="AK8" s="3887"/>
      <c r="AL8" s="3887"/>
      <c r="AM8" s="3888">
        <f t="shared" si="14"/>
        <v>0</v>
      </c>
      <c r="AN8" s="3888">
        <f t="shared" si="14"/>
        <v>0</v>
      </c>
      <c r="AO8" s="3887"/>
      <c r="AP8" s="3887"/>
      <c r="AQ8" s="3888">
        <f t="shared" si="15"/>
        <v>0</v>
      </c>
      <c r="AR8" s="3887"/>
      <c r="AS8" s="3887"/>
      <c r="AT8" s="3888">
        <f t="shared" si="16"/>
        <v>0</v>
      </c>
      <c r="AU8" s="3888">
        <f t="shared" si="16"/>
        <v>0</v>
      </c>
      <c r="AV8" s="3889">
        <f t="shared" si="17"/>
        <v>71941.78</v>
      </c>
      <c r="AW8" s="3889">
        <f t="shared" si="17"/>
        <v>6540.16</v>
      </c>
      <c r="AX8" s="3889">
        <f t="shared" si="18"/>
        <v>65401.619999999995</v>
      </c>
      <c r="AY8" s="3889">
        <f t="shared" si="17"/>
        <v>71941.78</v>
      </c>
      <c r="AZ8" s="3889">
        <f t="shared" si="17"/>
        <v>6540.16</v>
      </c>
      <c r="BA8" s="3889">
        <f t="shared" si="17"/>
        <v>0</v>
      </c>
      <c r="BB8" s="3889">
        <f t="shared" si="17"/>
        <v>0</v>
      </c>
      <c r="BC8" s="3887"/>
      <c r="BD8" s="3887"/>
      <c r="BE8" s="3888">
        <f t="shared" si="19"/>
        <v>0</v>
      </c>
      <c r="BF8" s="3887"/>
      <c r="BG8" s="3887"/>
      <c r="BH8" s="3888">
        <f t="shared" si="20"/>
        <v>0</v>
      </c>
      <c r="BI8" s="3888">
        <f t="shared" si="20"/>
        <v>0</v>
      </c>
      <c r="BJ8" s="3887"/>
      <c r="BK8" s="3887"/>
      <c r="BL8" s="3888">
        <f t="shared" si="21"/>
        <v>0</v>
      </c>
      <c r="BM8" s="3887"/>
      <c r="BN8" s="3887"/>
      <c r="BO8" s="3888">
        <f t="shared" si="22"/>
        <v>0</v>
      </c>
      <c r="BP8" s="3888">
        <f t="shared" si="22"/>
        <v>0</v>
      </c>
      <c r="BQ8" s="3887"/>
      <c r="BR8" s="3887"/>
      <c r="BS8" s="3888">
        <f t="shared" si="23"/>
        <v>0</v>
      </c>
      <c r="BT8" s="3887"/>
      <c r="BU8" s="3887"/>
      <c r="BV8" s="3888">
        <f t="shared" si="24"/>
        <v>0</v>
      </c>
      <c r="BW8" s="3888">
        <f t="shared" si="24"/>
        <v>0</v>
      </c>
      <c r="BX8" s="3887"/>
      <c r="BY8" s="3887"/>
      <c r="BZ8" s="3888">
        <f t="shared" si="25"/>
        <v>0</v>
      </c>
      <c r="CA8" s="3887"/>
      <c r="CB8" s="3887"/>
      <c r="CC8" s="3888">
        <f t="shared" si="26"/>
        <v>0</v>
      </c>
      <c r="CD8" s="3888">
        <f t="shared" si="26"/>
        <v>0</v>
      </c>
      <c r="CE8" s="3887"/>
      <c r="CF8" s="3887"/>
      <c r="CG8" s="3888">
        <f t="shared" si="27"/>
        <v>0</v>
      </c>
      <c r="CH8" s="3887"/>
      <c r="CI8" s="3887"/>
      <c r="CJ8" s="3888">
        <f t="shared" si="28"/>
        <v>0</v>
      </c>
      <c r="CK8" s="3888">
        <f t="shared" si="28"/>
        <v>0</v>
      </c>
      <c r="CL8" s="3887"/>
      <c r="CM8" s="3887"/>
      <c r="CN8" s="3888">
        <f t="shared" si="29"/>
        <v>0</v>
      </c>
      <c r="CO8" s="3887"/>
      <c r="CP8" s="3887"/>
      <c r="CQ8" s="3888">
        <f t="shared" si="30"/>
        <v>0</v>
      </c>
      <c r="CR8" s="3888">
        <f t="shared" si="30"/>
        <v>0</v>
      </c>
      <c r="CS8" s="3887"/>
      <c r="CT8" s="3887"/>
      <c r="CU8" s="3888">
        <f t="shared" si="31"/>
        <v>0</v>
      </c>
      <c r="CV8" s="3887"/>
      <c r="CW8" s="3887"/>
      <c r="CX8" s="3888">
        <f t="shared" si="32"/>
        <v>0</v>
      </c>
      <c r="CY8" s="3888">
        <f t="shared" si="32"/>
        <v>0</v>
      </c>
      <c r="CZ8" s="3887"/>
      <c r="DA8" s="3887"/>
      <c r="DB8" s="3888">
        <f t="shared" si="33"/>
        <v>0</v>
      </c>
      <c r="DC8" s="3890"/>
      <c r="DD8" s="3890"/>
      <c r="DE8" s="3888">
        <f t="shared" si="34"/>
        <v>0</v>
      </c>
      <c r="DF8" s="3888">
        <f t="shared" si="34"/>
        <v>0</v>
      </c>
      <c r="DG8" s="3890"/>
      <c r="DH8" s="3890"/>
      <c r="DI8" s="3888">
        <f t="shared" si="35"/>
        <v>0</v>
      </c>
      <c r="DJ8" s="3890"/>
      <c r="DK8" s="3890"/>
      <c r="DL8" s="3888">
        <f t="shared" si="36"/>
        <v>0</v>
      </c>
      <c r="DM8" s="3888">
        <f t="shared" si="36"/>
        <v>0</v>
      </c>
      <c r="DN8" s="3890"/>
      <c r="DO8" s="3890"/>
      <c r="DP8" s="3888">
        <f t="shared" si="37"/>
        <v>0</v>
      </c>
      <c r="DQ8" s="3890"/>
      <c r="DR8" s="3890"/>
      <c r="DS8" s="3888">
        <f t="shared" si="38"/>
        <v>0</v>
      </c>
      <c r="DT8" s="3888">
        <f t="shared" si="38"/>
        <v>0</v>
      </c>
      <c r="DU8" s="3890"/>
      <c r="DV8" s="3890"/>
      <c r="DW8" s="3888">
        <f t="shared" si="39"/>
        <v>0</v>
      </c>
      <c r="DX8" s="3890"/>
      <c r="DY8" s="3890"/>
      <c r="DZ8" s="3888">
        <f t="shared" si="40"/>
        <v>0</v>
      </c>
      <c r="EA8" s="3888">
        <f t="shared" si="40"/>
        <v>0</v>
      </c>
      <c r="EB8" s="3890"/>
      <c r="EC8" s="3890"/>
      <c r="ED8" s="3888">
        <f t="shared" si="41"/>
        <v>0</v>
      </c>
      <c r="EE8" s="3890"/>
      <c r="EF8" s="3890"/>
      <c r="EG8" s="3888">
        <f t="shared" si="42"/>
        <v>0</v>
      </c>
      <c r="EH8" s="3888">
        <f t="shared" si="42"/>
        <v>0</v>
      </c>
      <c r="EI8" s="3891">
        <f t="shared" si="43"/>
        <v>0</v>
      </c>
      <c r="EJ8" s="3891">
        <f t="shared" si="43"/>
        <v>0</v>
      </c>
      <c r="EK8" s="3868">
        <f t="shared" si="44"/>
        <v>0</v>
      </c>
      <c r="EL8" s="3891">
        <f t="shared" si="43"/>
        <v>0</v>
      </c>
      <c r="EM8" s="3891">
        <f t="shared" si="43"/>
        <v>0</v>
      </c>
      <c r="EN8" s="3891">
        <f t="shared" si="43"/>
        <v>0</v>
      </c>
      <c r="EO8" s="3891">
        <f t="shared" si="43"/>
        <v>0</v>
      </c>
      <c r="EP8" s="3887"/>
      <c r="EQ8" s="3887"/>
      <c r="ER8" s="3888">
        <f t="shared" si="45"/>
        <v>0</v>
      </c>
      <c r="ES8" s="3887"/>
      <c r="ET8" s="3887"/>
      <c r="EU8" s="3888">
        <f t="shared" si="46"/>
        <v>0</v>
      </c>
      <c r="EV8" s="3888">
        <f t="shared" si="46"/>
        <v>0</v>
      </c>
      <c r="EW8" s="3887"/>
      <c r="EX8" s="3887"/>
      <c r="EY8" s="3888">
        <f t="shared" si="47"/>
        <v>0</v>
      </c>
      <c r="EZ8" s="3887"/>
      <c r="FA8" s="3887"/>
      <c r="FB8" s="3888">
        <f t="shared" si="48"/>
        <v>0</v>
      </c>
      <c r="FC8" s="3888">
        <f t="shared" si="48"/>
        <v>0</v>
      </c>
      <c r="FD8" s="3887"/>
      <c r="FE8" s="3887"/>
      <c r="FF8" s="3888">
        <f t="shared" si="49"/>
        <v>0</v>
      </c>
      <c r="FG8" s="3887"/>
      <c r="FH8" s="3887"/>
      <c r="FI8" s="3888">
        <f t="shared" si="50"/>
        <v>0</v>
      </c>
      <c r="FJ8" s="3888">
        <f t="shared" si="50"/>
        <v>0</v>
      </c>
      <c r="FK8" s="3887"/>
      <c r="FL8" s="3887"/>
      <c r="FM8" s="3888">
        <f t="shared" si="51"/>
        <v>0</v>
      </c>
      <c r="FN8" s="3887"/>
      <c r="FO8" s="3887"/>
      <c r="FP8" s="3888">
        <f t="shared" si="52"/>
        <v>0</v>
      </c>
      <c r="FQ8" s="3888">
        <f t="shared" si="52"/>
        <v>0</v>
      </c>
      <c r="FR8" s="3887"/>
      <c r="FS8" s="3887"/>
      <c r="FT8" s="3888">
        <f t="shared" si="53"/>
        <v>0</v>
      </c>
      <c r="FU8" s="3887"/>
      <c r="FV8" s="3887"/>
      <c r="FW8" s="3888">
        <f t="shared" si="54"/>
        <v>0</v>
      </c>
      <c r="FX8" s="3888">
        <f t="shared" si="54"/>
        <v>0</v>
      </c>
      <c r="FY8" s="3887"/>
      <c r="FZ8" s="3887"/>
      <c r="GA8" s="3888">
        <f t="shared" si="55"/>
        <v>0</v>
      </c>
      <c r="GB8" s="3887"/>
      <c r="GC8" s="3887"/>
      <c r="GD8" s="3888">
        <f t="shared" si="56"/>
        <v>0</v>
      </c>
      <c r="GE8" s="3888">
        <f t="shared" si="56"/>
        <v>0</v>
      </c>
      <c r="GF8" s="3887"/>
      <c r="GG8" s="3887"/>
      <c r="GH8" s="3888">
        <f t="shared" si="57"/>
        <v>0</v>
      </c>
      <c r="GI8" s="3887"/>
      <c r="GJ8" s="3887"/>
      <c r="GK8" s="3888">
        <f t="shared" si="58"/>
        <v>0</v>
      </c>
      <c r="GL8" s="3888">
        <f t="shared" si="58"/>
        <v>0</v>
      </c>
      <c r="GM8" s="3887"/>
      <c r="GN8" s="3887"/>
      <c r="GO8" s="3888">
        <f t="shared" si="59"/>
        <v>0</v>
      </c>
      <c r="GP8" s="3890"/>
      <c r="GQ8" s="3890"/>
      <c r="GR8" s="3888">
        <f t="shared" si="60"/>
        <v>0</v>
      </c>
      <c r="GS8" s="3888">
        <f t="shared" si="60"/>
        <v>0</v>
      </c>
      <c r="GT8" s="3890"/>
      <c r="GU8" s="3890"/>
      <c r="GV8" s="3888">
        <f t="shared" si="61"/>
        <v>0</v>
      </c>
      <c r="GW8" s="3890"/>
      <c r="GX8" s="3890"/>
      <c r="GY8" s="3888">
        <f t="shared" si="62"/>
        <v>0</v>
      </c>
      <c r="GZ8" s="3888">
        <f t="shared" si="62"/>
        <v>0</v>
      </c>
      <c r="HA8" s="3890"/>
      <c r="HB8" s="3890"/>
      <c r="HC8" s="3888">
        <f t="shared" si="63"/>
        <v>0</v>
      </c>
      <c r="HD8" s="3890"/>
      <c r="HE8" s="3890"/>
      <c r="HF8" s="3888">
        <f t="shared" si="64"/>
        <v>0</v>
      </c>
      <c r="HG8" s="3888">
        <f t="shared" si="64"/>
        <v>0</v>
      </c>
      <c r="HH8" s="3890"/>
      <c r="HI8" s="3890"/>
      <c r="HJ8" s="3888">
        <f t="shared" si="65"/>
        <v>0</v>
      </c>
      <c r="HK8" s="3890"/>
      <c r="HL8" s="3890"/>
      <c r="HM8" s="3888">
        <f t="shared" si="66"/>
        <v>0</v>
      </c>
      <c r="HN8" s="3888">
        <f t="shared" si="66"/>
        <v>0</v>
      </c>
      <c r="HO8" s="3890"/>
      <c r="HP8" s="3890"/>
      <c r="HQ8" s="3888">
        <f t="shared" si="67"/>
        <v>0</v>
      </c>
      <c r="HR8" s="3890"/>
      <c r="HS8" s="3890"/>
      <c r="HT8" s="3888">
        <f t="shared" si="68"/>
        <v>0</v>
      </c>
      <c r="HU8" s="3888">
        <f t="shared" si="68"/>
        <v>0</v>
      </c>
      <c r="HV8" s="3892">
        <f t="shared" si="69"/>
        <v>0</v>
      </c>
      <c r="HW8" s="3892">
        <f t="shared" si="69"/>
        <v>0</v>
      </c>
      <c r="HX8" s="3892">
        <f t="shared" si="70"/>
        <v>0</v>
      </c>
      <c r="HY8" s="3892">
        <f t="shared" si="69"/>
        <v>0</v>
      </c>
      <c r="HZ8" s="3892">
        <f t="shared" si="69"/>
        <v>0</v>
      </c>
      <c r="IA8" s="3892">
        <f t="shared" si="69"/>
        <v>0</v>
      </c>
      <c r="IB8" s="3892">
        <f t="shared" si="69"/>
        <v>0</v>
      </c>
      <c r="IC8" s="3893">
        <f t="shared" si="71"/>
        <v>71941.78</v>
      </c>
      <c r="ID8" s="3893">
        <f t="shared" si="71"/>
        <v>6540.16</v>
      </c>
      <c r="IE8" s="3894">
        <f t="shared" si="72"/>
        <v>65401.619999999995</v>
      </c>
      <c r="IF8" s="3893">
        <f t="shared" si="71"/>
        <v>71941.78</v>
      </c>
      <c r="IG8" s="3893">
        <f t="shared" si="71"/>
        <v>6540.16</v>
      </c>
      <c r="IH8" s="3893">
        <f t="shared" si="71"/>
        <v>0</v>
      </c>
      <c r="II8" s="3893">
        <f t="shared" si="71"/>
        <v>0</v>
      </c>
    </row>
    <row r="9" spans="1:243" ht="21.95" customHeight="1">
      <c r="A9" s="3801" t="s">
        <v>3542</v>
      </c>
      <c r="B9" s="3878">
        <v>3</v>
      </c>
      <c r="C9" s="3895" t="s">
        <v>3502</v>
      </c>
      <c r="D9" s="3880" t="s">
        <v>3503</v>
      </c>
      <c r="E9" s="3881">
        <v>49</v>
      </c>
      <c r="F9" s="3882">
        <v>61.25</v>
      </c>
      <c r="G9" s="3878">
        <v>6.3</v>
      </c>
      <c r="H9" s="3878" t="s">
        <v>3505</v>
      </c>
      <c r="I9" s="3896">
        <v>44866</v>
      </c>
      <c r="J9" s="3896">
        <v>47056</v>
      </c>
      <c r="K9" s="3884">
        <f t="shared" si="8"/>
        <v>6</v>
      </c>
      <c r="L9" s="3886">
        <f>ROUND(F9*G9*365/12,2)</f>
        <v>11737.03</v>
      </c>
      <c r="M9" s="3881">
        <f>ROUND((F9*G9*365)-(F9*G9*30),2)</f>
        <v>129268.13</v>
      </c>
      <c r="N9" s="3886">
        <f>ROUND(F9*G9*365/12,2)</f>
        <v>11737.03</v>
      </c>
      <c r="O9" s="3886">
        <f>ROUND((F9*G9*365)-(F9*G9*30),2)</f>
        <v>129268.13</v>
      </c>
      <c r="P9" s="3885">
        <f>ROUND(F9*(G9*1.03)*365/12,2)</f>
        <v>12089.14</v>
      </c>
      <c r="Q9" s="3886">
        <f>ROUND(F9*(G9*1.03)*365,2)</f>
        <v>145069.71</v>
      </c>
      <c r="R9" s="3885">
        <f>F9*(G9*1.03*1.03)*365/12</f>
        <v>12451.816453125</v>
      </c>
      <c r="S9" s="3885">
        <f>F9*(G9*1.03*1.03)*365</f>
        <v>149421.7974375</v>
      </c>
      <c r="T9" s="3885">
        <f>F9*(G9*1.03*1.03*1.03)*365/12</f>
        <v>12825.370946718751</v>
      </c>
      <c r="U9" s="3885">
        <f>F9*(G9*1.03*1.03*1.03)*365</f>
        <v>153904.45136062501</v>
      </c>
      <c r="V9" s="3885">
        <f>F9*(G9*1.03*1.03*1.03*1.03)*365/12</f>
        <v>13210.132075120315</v>
      </c>
      <c r="W9" s="3886">
        <f>F9*(G9*1.03*1.03*1.03*1.03)*365</f>
        <v>158521.58490144377</v>
      </c>
      <c r="X9" s="3866">
        <f>M9+O9+Q9+S9+U9+W9</f>
        <v>865453.80369956873</v>
      </c>
      <c r="Y9" s="3866">
        <f t="shared" si="9"/>
        <v>58685.16</v>
      </c>
      <c r="Z9" s="3866">
        <f>X9-Y43</f>
        <v>865453.80369956873</v>
      </c>
      <c r="AA9" s="3887">
        <f>L9*5+0.01</f>
        <v>58685.16</v>
      </c>
      <c r="AB9" s="3887">
        <f>ROUND(L9/2,2)</f>
        <v>5868.52</v>
      </c>
      <c r="AC9" s="3888">
        <f t="shared" si="11"/>
        <v>52816.639999999999</v>
      </c>
      <c r="AD9" s="3887">
        <v>58685.16</v>
      </c>
      <c r="AE9" s="3887">
        <v>5868.52</v>
      </c>
      <c r="AF9" s="3888">
        <f t="shared" si="12"/>
        <v>0</v>
      </c>
      <c r="AG9" s="3888">
        <f t="shared" si="12"/>
        <v>0</v>
      </c>
      <c r="AH9" s="3887"/>
      <c r="AI9" s="3887"/>
      <c r="AJ9" s="3888">
        <f t="shared" si="13"/>
        <v>0</v>
      </c>
      <c r="AK9" s="3887"/>
      <c r="AL9" s="3887"/>
      <c r="AM9" s="3888">
        <f t="shared" si="14"/>
        <v>0</v>
      </c>
      <c r="AN9" s="3888">
        <f t="shared" si="14"/>
        <v>0</v>
      </c>
      <c r="AO9" s="3887"/>
      <c r="AP9" s="3887"/>
      <c r="AQ9" s="3888">
        <f t="shared" si="15"/>
        <v>0</v>
      </c>
      <c r="AR9" s="3887"/>
      <c r="AS9" s="3887"/>
      <c r="AT9" s="3888">
        <f t="shared" si="16"/>
        <v>0</v>
      </c>
      <c r="AU9" s="3888">
        <f t="shared" si="16"/>
        <v>0</v>
      </c>
      <c r="AV9" s="3889">
        <f t="shared" si="17"/>
        <v>58685.16</v>
      </c>
      <c r="AW9" s="3889">
        <f t="shared" si="17"/>
        <v>5868.52</v>
      </c>
      <c r="AX9" s="3889">
        <f t="shared" si="18"/>
        <v>52816.639999999999</v>
      </c>
      <c r="AY9" s="3889">
        <f t="shared" si="17"/>
        <v>58685.16</v>
      </c>
      <c r="AZ9" s="3889">
        <f t="shared" si="17"/>
        <v>5868.52</v>
      </c>
      <c r="BA9" s="3889">
        <f t="shared" si="17"/>
        <v>0</v>
      </c>
      <c r="BB9" s="3889">
        <f t="shared" si="17"/>
        <v>0</v>
      </c>
      <c r="BC9" s="3887"/>
      <c r="BD9" s="3887"/>
      <c r="BE9" s="3888">
        <f t="shared" si="19"/>
        <v>0</v>
      </c>
      <c r="BF9" s="3887"/>
      <c r="BG9" s="3887"/>
      <c r="BH9" s="3888">
        <f t="shared" si="20"/>
        <v>0</v>
      </c>
      <c r="BI9" s="3888">
        <f t="shared" si="20"/>
        <v>0</v>
      </c>
      <c r="BJ9" s="3887"/>
      <c r="BK9" s="3887"/>
      <c r="BL9" s="3888">
        <f t="shared" si="21"/>
        <v>0</v>
      </c>
      <c r="BM9" s="3887"/>
      <c r="BN9" s="3887"/>
      <c r="BO9" s="3888">
        <f t="shared" si="22"/>
        <v>0</v>
      </c>
      <c r="BP9" s="3888">
        <f t="shared" si="22"/>
        <v>0</v>
      </c>
      <c r="BQ9" s="3887"/>
      <c r="BR9" s="3887"/>
      <c r="BS9" s="3888">
        <f t="shared" si="23"/>
        <v>0</v>
      </c>
      <c r="BT9" s="3887"/>
      <c r="BU9" s="3887"/>
      <c r="BV9" s="3888">
        <f t="shared" si="24"/>
        <v>0</v>
      </c>
      <c r="BW9" s="3888">
        <f t="shared" si="24"/>
        <v>0</v>
      </c>
      <c r="BX9" s="3887"/>
      <c r="BY9" s="3887"/>
      <c r="BZ9" s="3888">
        <f t="shared" si="25"/>
        <v>0</v>
      </c>
      <c r="CA9" s="3887"/>
      <c r="CB9" s="3887"/>
      <c r="CC9" s="3888">
        <f t="shared" si="26"/>
        <v>0</v>
      </c>
      <c r="CD9" s="3888">
        <f t="shared" si="26"/>
        <v>0</v>
      </c>
      <c r="CE9" s="3887"/>
      <c r="CF9" s="3887"/>
      <c r="CG9" s="3888">
        <f t="shared" si="27"/>
        <v>0</v>
      </c>
      <c r="CH9" s="3887"/>
      <c r="CI9" s="3887"/>
      <c r="CJ9" s="3888">
        <f t="shared" si="28"/>
        <v>0</v>
      </c>
      <c r="CK9" s="3888">
        <f t="shared" si="28"/>
        <v>0</v>
      </c>
      <c r="CL9" s="3887"/>
      <c r="CM9" s="3887"/>
      <c r="CN9" s="3888">
        <f t="shared" si="29"/>
        <v>0</v>
      </c>
      <c r="CO9" s="3887"/>
      <c r="CP9" s="3887"/>
      <c r="CQ9" s="3888">
        <f t="shared" si="30"/>
        <v>0</v>
      </c>
      <c r="CR9" s="3888">
        <f t="shared" si="30"/>
        <v>0</v>
      </c>
      <c r="CS9" s="3887"/>
      <c r="CT9" s="3887"/>
      <c r="CU9" s="3888">
        <f t="shared" si="31"/>
        <v>0</v>
      </c>
      <c r="CV9" s="3887"/>
      <c r="CW9" s="3887"/>
      <c r="CX9" s="3888">
        <f t="shared" si="32"/>
        <v>0</v>
      </c>
      <c r="CY9" s="3888">
        <f t="shared" si="32"/>
        <v>0</v>
      </c>
      <c r="CZ9" s="3887"/>
      <c r="DA9" s="3887"/>
      <c r="DB9" s="3888">
        <f t="shared" si="33"/>
        <v>0</v>
      </c>
      <c r="DC9" s="3890"/>
      <c r="DD9" s="3890"/>
      <c r="DE9" s="3888">
        <f t="shared" si="34"/>
        <v>0</v>
      </c>
      <c r="DF9" s="3888">
        <f t="shared" si="34"/>
        <v>0</v>
      </c>
      <c r="DG9" s="3890"/>
      <c r="DH9" s="3890"/>
      <c r="DI9" s="3888">
        <f t="shared" si="35"/>
        <v>0</v>
      </c>
      <c r="DJ9" s="3890"/>
      <c r="DK9" s="3890"/>
      <c r="DL9" s="3888">
        <f t="shared" si="36"/>
        <v>0</v>
      </c>
      <c r="DM9" s="3888">
        <f t="shared" si="36"/>
        <v>0</v>
      </c>
      <c r="DN9" s="3890"/>
      <c r="DO9" s="3890"/>
      <c r="DP9" s="3888">
        <f t="shared" si="37"/>
        <v>0</v>
      </c>
      <c r="DQ9" s="3890"/>
      <c r="DR9" s="3890"/>
      <c r="DS9" s="3888">
        <f t="shared" si="38"/>
        <v>0</v>
      </c>
      <c r="DT9" s="3888">
        <f t="shared" si="38"/>
        <v>0</v>
      </c>
      <c r="DU9" s="3890"/>
      <c r="DV9" s="3890"/>
      <c r="DW9" s="3888">
        <f t="shared" si="39"/>
        <v>0</v>
      </c>
      <c r="DX9" s="3890"/>
      <c r="DY9" s="3890"/>
      <c r="DZ9" s="3888">
        <f t="shared" si="40"/>
        <v>0</v>
      </c>
      <c r="EA9" s="3888">
        <f t="shared" si="40"/>
        <v>0</v>
      </c>
      <c r="EB9" s="3890"/>
      <c r="EC9" s="3890"/>
      <c r="ED9" s="3888">
        <f t="shared" si="41"/>
        <v>0</v>
      </c>
      <c r="EE9" s="3890"/>
      <c r="EF9" s="3890"/>
      <c r="EG9" s="3888">
        <f t="shared" si="42"/>
        <v>0</v>
      </c>
      <c r="EH9" s="3888">
        <f t="shared" si="42"/>
        <v>0</v>
      </c>
      <c r="EI9" s="3891">
        <f t="shared" si="43"/>
        <v>0</v>
      </c>
      <c r="EJ9" s="3891">
        <f t="shared" si="43"/>
        <v>0</v>
      </c>
      <c r="EK9" s="3868">
        <f t="shared" si="44"/>
        <v>0</v>
      </c>
      <c r="EL9" s="3891">
        <f t="shared" si="43"/>
        <v>0</v>
      </c>
      <c r="EM9" s="3891">
        <f t="shared" si="43"/>
        <v>0</v>
      </c>
      <c r="EN9" s="3891">
        <f t="shared" si="43"/>
        <v>0</v>
      </c>
      <c r="EO9" s="3891">
        <f t="shared" si="43"/>
        <v>0</v>
      </c>
      <c r="EP9" s="3887"/>
      <c r="EQ9" s="3887"/>
      <c r="ER9" s="3888">
        <f t="shared" si="45"/>
        <v>0</v>
      </c>
      <c r="ES9" s="3887"/>
      <c r="ET9" s="3887"/>
      <c r="EU9" s="3888">
        <f t="shared" si="46"/>
        <v>0</v>
      </c>
      <c r="EV9" s="3888">
        <f t="shared" si="46"/>
        <v>0</v>
      </c>
      <c r="EW9" s="3887"/>
      <c r="EX9" s="3887"/>
      <c r="EY9" s="3888">
        <f t="shared" si="47"/>
        <v>0</v>
      </c>
      <c r="EZ9" s="3887"/>
      <c r="FA9" s="3887"/>
      <c r="FB9" s="3888">
        <f t="shared" si="48"/>
        <v>0</v>
      </c>
      <c r="FC9" s="3888">
        <f t="shared" si="48"/>
        <v>0</v>
      </c>
      <c r="FD9" s="3887"/>
      <c r="FE9" s="3887"/>
      <c r="FF9" s="3888">
        <f t="shared" si="49"/>
        <v>0</v>
      </c>
      <c r="FG9" s="3887"/>
      <c r="FH9" s="3887"/>
      <c r="FI9" s="3888">
        <f t="shared" si="50"/>
        <v>0</v>
      </c>
      <c r="FJ9" s="3888">
        <f t="shared" si="50"/>
        <v>0</v>
      </c>
      <c r="FK9" s="3887"/>
      <c r="FL9" s="3887"/>
      <c r="FM9" s="3888">
        <f t="shared" si="51"/>
        <v>0</v>
      </c>
      <c r="FN9" s="3887"/>
      <c r="FO9" s="3887"/>
      <c r="FP9" s="3888">
        <f t="shared" si="52"/>
        <v>0</v>
      </c>
      <c r="FQ9" s="3888">
        <f t="shared" si="52"/>
        <v>0</v>
      </c>
      <c r="FR9" s="3887"/>
      <c r="FS9" s="3887"/>
      <c r="FT9" s="3888">
        <f t="shared" si="53"/>
        <v>0</v>
      </c>
      <c r="FU9" s="3887"/>
      <c r="FV9" s="3887"/>
      <c r="FW9" s="3888">
        <f t="shared" si="54"/>
        <v>0</v>
      </c>
      <c r="FX9" s="3888">
        <f t="shared" si="54"/>
        <v>0</v>
      </c>
      <c r="FY9" s="3887"/>
      <c r="FZ9" s="3887"/>
      <c r="GA9" s="3888">
        <f t="shared" si="55"/>
        <v>0</v>
      </c>
      <c r="GB9" s="3887"/>
      <c r="GC9" s="3887"/>
      <c r="GD9" s="3888">
        <f t="shared" si="56"/>
        <v>0</v>
      </c>
      <c r="GE9" s="3888">
        <f t="shared" si="56"/>
        <v>0</v>
      </c>
      <c r="GF9" s="3887"/>
      <c r="GG9" s="3887"/>
      <c r="GH9" s="3888">
        <f t="shared" si="57"/>
        <v>0</v>
      </c>
      <c r="GI9" s="3887"/>
      <c r="GJ9" s="3887"/>
      <c r="GK9" s="3888">
        <f t="shared" si="58"/>
        <v>0</v>
      </c>
      <c r="GL9" s="3888">
        <f t="shared" si="58"/>
        <v>0</v>
      </c>
      <c r="GM9" s="3887"/>
      <c r="GN9" s="3887"/>
      <c r="GO9" s="3888">
        <f t="shared" si="59"/>
        <v>0</v>
      </c>
      <c r="GP9" s="3890"/>
      <c r="GQ9" s="3890"/>
      <c r="GR9" s="3888">
        <f t="shared" si="60"/>
        <v>0</v>
      </c>
      <c r="GS9" s="3888">
        <f t="shared" si="60"/>
        <v>0</v>
      </c>
      <c r="GT9" s="3890"/>
      <c r="GU9" s="3890"/>
      <c r="GV9" s="3888">
        <f t="shared" si="61"/>
        <v>0</v>
      </c>
      <c r="GW9" s="3890"/>
      <c r="GX9" s="3890"/>
      <c r="GY9" s="3888">
        <f t="shared" si="62"/>
        <v>0</v>
      </c>
      <c r="GZ9" s="3888">
        <f t="shared" si="62"/>
        <v>0</v>
      </c>
      <c r="HA9" s="3890"/>
      <c r="HB9" s="3890"/>
      <c r="HC9" s="3888">
        <f t="shared" si="63"/>
        <v>0</v>
      </c>
      <c r="HD9" s="3890"/>
      <c r="HE9" s="3890"/>
      <c r="HF9" s="3888">
        <f t="shared" si="64"/>
        <v>0</v>
      </c>
      <c r="HG9" s="3888">
        <f t="shared" si="64"/>
        <v>0</v>
      </c>
      <c r="HH9" s="3890"/>
      <c r="HI9" s="3890"/>
      <c r="HJ9" s="3888">
        <f t="shared" si="65"/>
        <v>0</v>
      </c>
      <c r="HK9" s="3890"/>
      <c r="HL9" s="3890"/>
      <c r="HM9" s="3888">
        <f t="shared" si="66"/>
        <v>0</v>
      </c>
      <c r="HN9" s="3888">
        <f t="shared" si="66"/>
        <v>0</v>
      </c>
      <c r="HO9" s="3890"/>
      <c r="HP9" s="3890"/>
      <c r="HQ9" s="3888">
        <f t="shared" si="67"/>
        <v>0</v>
      </c>
      <c r="HR9" s="3890"/>
      <c r="HS9" s="3890"/>
      <c r="HT9" s="3888">
        <f t="shared" si="68"/>
        <v>0</v>
      </c>
      <c r="HU9" s="3888">
        <f t="shared" si="68"/>
        <v>0</v>
      </c>
      <c r="HV9" s="3892">
        <f t="shared" si="69"/>
        <v>0</v>
      </c>
      <c r="HW9" s="3892">
        <f t="shared" si="69"/>
        <v>0</v>
      </c>
      <c r="HX9" s="3892">
        <f t="shared" si="70"/>
        <v>0</v>
      </c>
      <c r="HY9" s="3892">
        <f t="shared" si="69"/>
        <v>0</v>
      </c>
      <c r="HZ9" s="3892">
        <f t="shared" si="69"/>
        <v>0</v>
      </c>
      <c r="IA9" s="3892">
        <f t="shared" si="69"/>
        <v>0</v>
      </c>
      <c r="IB9" s="3892">
        <f t="shared" si="69"/>
        <v>0</v>
      </c>
      <c r="IC9" s="3893">
        <f t="shared" si="71"/>
        <v>58685.16</v>
      </c>
      <c r="ID9" s="3893">
        <f t="shared" si="71"/>
        <v>5868.52</v>
      </c>
      <c r="IE9" s="3894">
        <f t="shared" si="72"/>
        <v>52816.639999999999</v>
      </c>
      <c r="IF9" s="3893">
        <f t="shared" si="71"/>
        <v>58685.16</v>
      </c>
      <c r="IG9" s="3893">
        <f t="shared" si="71"/>
        <v>5868.52</v>
      </c>
      <c r="IH9" s="3893">
        <f t="shared" si="71"/>
        <v>0</v>
      </c>
      <c r="II9" s="3893">
        <f t="shared" si="71"/>
        <v>0</v>
      </c>
    </row>
    <row r="10" spans="1:243" ht="21.95" customHeight="1">
      <c r="A10" s="3801" t="s">
        <v>3541</v>
      </c>
      <c r="B10" s="3878">
        <v>4</v>
      </c>
      <c r="C10" s="3879" t="s">
        <v>3506</v>
      </c>
      <c r="D10" s="3880" t="s">
        <v>3507</v>
      </c>
      <c r="E10" s="3881">
        <v>41.8</v>
      </c>
      <c r="F10" s="3882">
        <v>52.25</v>
      </c>
      <c r="G10" s="3878"/>
      <c r="H10" s="3878"/>
      <c r="I10" s="3878"/>
      <c r="J10" s="3878"/>
      <c r="K10" s="3884">
        <f t="shared" si="8"/>
        <v>0</v>
      </c>
      <c r="L10" s="3885"/>
      <c r="M10" s="3881"/>
      <c r="N10" s="3885"/>
      <c r="O10" s="3885"/>
      <c r="P10" s="3885"/>
      <c r="Q10" s="3886"/>
      <c r="R10" s="3885"/>
      <c r="S10" s="3885"/>
      <c r="T10" s="3885"/>
      <c r="U10" s="3885"/>
      <c r="V10" s="3885"/>
      <c r="W10" s="3886"/>
      <c r="X10" s="3866">
        <f>M10+O10+Q10+S10+U10+W10</f>
        <v>0</v>
      </c>
      <c r="Y10" s="3866">
        <f t="shared" si="9"/>
        <v>0</v>
      </c>
      <c r="Z10" s="3866">
        <f t="shared" si="10"/>
        <v>0</v>
      </c>
      <c r="AA10" s="3887"/>
      <c r="AB10" s="3887"/>
      <c r="AC10" s="3888">
        <f t="shared" si="11"/>
        <v>0</v>
      </c>
      <c r="AD10" s="3887"/>
      <c r="AE10" s="3887"/>
      <c r="AF10" s="3888">
        <f t="shared" si="12"/>
        <v>0</v>
      </c>
      <c r="AG10" s="3888">
        <f t="shared" si="12"/>
        <v>0</v>
      </c>
      <c r="AH10" s="3887"/>
      <c r="AI10" s="3887"/>
      <c r="AJ10" s="3888">
        <f t="shared" si="13"/>
        <v>0</v>
      </c>
      <c r="AK10" s="3887"/>
      <c r="AL10" s="3887"/>
      <c r="AM10" s="3888">
        <f t="shared" si="14"/>
        <v>0</v>
      </c>
      <c r="AN10" s="3888">
        <f t="shared" si="14"/>
        <v>0</v>
      </c>
      <c r="AO10" s="3887"/>
      <c r="AP10" s="3887"/>
      <c r="AQ10" s="3888">
        <f t="shared" si="15"/>
        <v>0</v>
      </c>
      <c r="AR10" s="3887"/>
      <c r="AS10" s="3887"/>
      <c r="AT10" s="3888">
        <f t="shared" si="16"/>
        <v>0</v>
      </c>
      <c r="AU10" s="3888">
        <f t="shared" si="16"/>
        <v>0</v>
      </c>
      <c r="AV10" s="3889">
        <f t="shared" si="17"/>
        <v>0</v>
      </c>
      <c r="AW10" s="3889">
        <f t="shared" si="17"/>
        <v>0</v>
      </c>
      <c r="AX10" s="3889">
        <f t="shared" si="18"/>
        <v>0</v>
      </c>
      <c r="AY10" s="3889">
        <f t="shared" si="17"/>
        <v>0</v>
      </c>
      <c r="AZ10" s="3889">
        <f t="shared" si="17"/>
        <v>0</v>
      </c>
      <c r="BA10" s="3889">
        <f t="shared" si="17"/>
        <v>0</v>
      </c>
      <c r="BB10" s="3889">
        <f t="shared" si="17"/>
        <v>0</v>
      </c>
      <c r="BC10" s="3887"/>
      <c r="BD10" s="3887"/>
      <c r="BE10" s="3888">
        <f t="shared" si="19"/>
        <v>0</v>
      </c>
      <c r="BF10" s="3887"/>
      <c r="BG10" s="3887"/>
      <c r="BH10" s="3888">
        <f t="shared" si="20"/>
        <v>0</v>
      </c>
      <c r="BI10" s="3888">
        <f t="shared" si="20"/>
        <v>0</v>
      </c>
      <c r="BJ10" s="3887"/>
      <c r="BK10" s="3887"/>
      <c r="BL10" s="3888">
        <f t="shared" si="21"/>
        <v>0</v>
      </c>
      <c r="BM10" s="3887"/>
      <c r="BN10" s="3887"/>
      <c r="BO10" s="3888">
        <f t="shared" si="22"/>
        <v>0</v>
      </c>
      <c r="BP10" s="3888">
        <f t="shared" si="22"/>
        <v>0</v>
      </c>
      <c r="BQ10" s="3887"/>
      <c r="BR10" s="3887"/>
      <c r="BS10" s="3888">
        <f t="shared" si="23"/>
        <v>0</v>
      </c>
      <c r="BT10" s="3887"/>
      <c r="BU10" s="3887"/>
      <c r="BV10" s="3888">
        <f t="shared" si="24"/>
        <v>0</v>
      </c>
      <c r="BW10" s="3888">
        <f t="shared" si="24"/>
        <v>0</v>
      </c>
      <c r="BX10" s="3887"/>
      <c r="BY10" s="3887"/>
      <c r="BZ10" s="3888">
        <f t="shared" si="25"/>
        <v>0</v>
      </c>
      <c r="CA10" s="3887"/>
      <c r="CB10" s="3887"/>
      <c r="CC10" s="3888">
        <f t="shared" si="26"/>
        <v>0</v>
      </c>
      <c r="CD10" s="3888">
        <f t="shared" si="26"/>
        <v>0</v>
      </c>
      <c r="CE10" s="3887"/>
      <c r="CF10" s="3887"/>
      <c r="CG10" s="3888">
        <f t="shared" si="27"/>
        <v>0</v>
      </c>
      <c r="CH10" s="3887"/>
      <c r="CI10" s="3887"/>
      <c r="CJ10" s="3888">
        <f t="shared" si="28"/>
        <v>0</v>
      </c>
      <c r="CK10" s="3888">
        <f t="shared" si="28"/>
        <v>0</v>
      </c>
      <c r="CL10" s="3887"/>
      <c r="CM10" s="3887"/>
      <c r="CN10" s="3888">
        <f t="shared" si="29"/>
        <v>0</v>
      </c>
      <c r="CO10" s="3887"/>
      <c r="CP10" s="3887"/>
      <c r="CQ10" s="3888">
        <f t="shared" si="30"/>
        <v>0</v>
      </c>
      <c r="CR10" s="3888">
        <f t="shared" si="30"/>
        <v>0</v>
      </c>
      <c r="CS10" s="3887"/>
      <c r="CT10" s="3887"/>
      <c r="CU10" s="3888">
        <f t="shared" si="31"/>
        <v>0</v>
      </c>
      <c r="CV10" s="3887"/>
      <c r="CW10" s="3887"/>
      <c r="CX10" s="3888">
        <f t="shared" si="32"/>
        <v>0</v>
      </c>
      <c r="CY10" s="3888">
        <f t="shared" si="32"/>
        <v>0</v>
      </c>
      <c r="CZ10" s="3887"/>
      <c r="DA10" s="3887"/>
      <c r="DB10" s="3888">
        <f t="shared" si="33"/>
        <v>0</v>
      </c>
      <c r="DC10" s="3890"/>
      <c r="DD10" s="3890"/>
      <c r="DE10" s="3888">
        <f t="shared" si="34"/>
        <v>0</v>
      </c>
      <c r="DF10" s="3888">
        <f t="shared" si="34"/>
        <v>0</v>
      </c>
      <c r="DG10" s="3890"/>
      <c r="DH10" s="3890"/>
      <c r="DI10" s="3888">
        <f t="shared" si="35"/>
        <v>0</v>
      </c>
      <c r="DJ10" s="3890"/>
      <c r="DK10" s="3890"/>
      <c r="DL10" s="3888">
        <f t="shared" si="36"/>
        <v>0</v>
      </c>
      <c r="DM10" s="3888">
        <f t="shared" si="36"/>
        <v>0</v>
      </c>
      <c r="DN10" s="3890"/>
      <c r="DO10" s="3890"/>
      <c r="DP10" s="3888">
        <f t="shared" si="37"/>
        <v>0</v>
      </c>
      <c r="DQ10" s="3890"/>
      <c r="DR10" s="3890"/>
      <c r="DS10" s="3888">
        <f t="shared" si="38"/>
        <v>0</v>
      </c>
      <c r="DT10" s="3888">
        <f t="shared" si="38"/>
        <v>0</v>
      </c>
      <c r="DU10" s="3890"/>
      <c r="DV10" s="3890"/>
      <c r="DW10" s="3888">
        <f t="shared" si="39"/>
        <v>0</v>
      </c>
      <c r="DX10" s="3890"/>
      <c r="DY10" s="3890"/>
      <c r="DZ10" s="3888">
        <f t="shared" si="40"/>
        <v>0</v>
      </c>
      <c r="EA10" s="3888">
        <f t="shared" si="40"/>
        <v>0</v>
      </c>
      <c r="EB10" s="3890"/>
      <c r="EC10" s="3890"/>
      <c r="ED10" s="3888">
        <f t="shared" si="41"/>
        <v>0</v>
      </c>
      <c r="EE10" s="3890"/>
      <c r="EF10" s="3890"/>
      <c r="EG10" s="3888">
        <f t="shared" si="42"/>
        <v>0</v>
      </c>
      <c r="EH10" s="3888">
        <f t="shared" si="42"/>
        <v>0</v>
      </c>
      <c r="EI10" s="3891">
        <f t="shared" si="43"/>
        <v>0</v>
      </c>
      <c r="EJ10" s="3891">
        <f t="shared" si="43"/>
        <v>0</v>
      </c>
      <c r="EK10" s="3868">
        <f t="shared" si="44"/>
        <v>0</v>
      </c>
      <c r="EL10" s="3891">
        <f t="shared" si="43"/>
        <v>0</v>
      </c>
      <c r="EM10" s="3891">
        <f t="shared" si="43"/>
        <v>0</v>
      </c>
      <c r="EN10" s="3891">
        <f t="shared" si="43"/>
        <v>0</v>
      </c>
      <c r="EO10" s="3891">
        <f t="shared" si="43"/>
        <v>0</v>
      </c>
      <c r="EP10" s="3887"/>
      <c r="EQ10" s="3887"/>
      <c r="ER10" s="3888">
        <f t="shared" si="45"/>
        <v>0</v>
      </c>
      <c r="ES10" s="3887"/>
      <c r="ET10" s="3887"/>
      <c r="EU10" s="3888">
        <f t="shared" si="46"/>
        <v>0</v>
      </c>
      <c r="EV10" s="3888">
        <f t="shared" si="46"/>
        <v>0</v>
      </c>
      <c r="EW10" s="3887"/>
      <c r="EX10" s="3887"/>
      <c r="EY10" s="3888">
        <f t="shared" si="47"/>
        <v>0</v>
      </c>
      <c r="EZ10" s="3887"/>
      <c r="FA10" s="3887"/>
      <c r="FB10" s="3888">
        <f t="shared" si="48"/>
        <v>0</v>
      </c>
      <c r="FC10" s="3888">
        <f t="shared" si="48"/>
        <v>0</v>
      </c>
      <c r="FD10" s="3887"/>
      <c r="FE10" s="3887"/>
      <c r="FF10" s="3888">
        <f t="shared" si="49"/>
        <v>0</v>
      </c>
      <c r="FG10" s="3887"/>
      <c r="FH10" s="3887"/>
      <c r="FI10" s="3888">
        <f t="shared" si="50"/>
        <v>0</v>
      </c>
      <c r="FJ10" s="3888">
        <f t="shared" si="50"/>
        <v>0</v>
      </c>
      <c r="FK10" s="3887"/>
      <c r="FL10" s="3887"/>
      <c r="FM10" s="3888">
        <f t="shared" si="51"/>
        <v>0</v>
      </c>
      <c r="FN10" s="3887"/>
      <c r="FO10" s="3887"/>
      <c r="FP10" s="3888">
        <f t="shared" si="52"/>
        <v>0</v>
      </c>
      <c r="FQ10" s="3888">
        <f t="shared" si="52"/>
        <v>0</v>
      </c>
      <c r="FR10" s="3887"/>
      <c r="FS10" s="3887"/>
      <c r="FT10" s="3888">
        <f t="shared" si="53"/>
        <v>0</v>
      </c>
      <c r="FU10" s="3887"/>
      <c r="FV10" s="3887"/>
      <c r="FW10" s="3888">
        <f t="shared" si="54"/>
        <v>0</v>
      </c>
      <c r="FX10" s="3888">
        <f t="shared" si="54"/>
        <v>0</v>
      </c>
      <c r="FY10" s="3887"/>
      <c r="FZ10" s="3887"/>
      <c r="GA10" s="3888">
        <f t="shared" si="55"/>
        <v>0</v>
      </c>
      <c r="GB10" s="3887"/>
      <c r="GC10" s="3887"/>
      <c r="GD10" s="3888">
        <f t="shared" si="56"/>
        <v>0</v>
      </c>
      <c r="GE10" s="3888">
        <f t="shared" si="56"/>
        <v>0</v>
      </c>
      <c r="GF10" s="3887"/>
      <c r="GG10" s="3887"/>
      <c r="GH10" s="3888">
        <f t="shared" si="57"/>
        <v>0</v>
      </c>
      <c r="GI10" s="3887"/>
      <c r="GJ10" s="3887"/>
      <c r="GK10" s="3888">
        <f t="shared" si="58"/>
        <v>0</v>
      </c>
      <c r="GL10" s="3888">
        <f t="shared" si="58"/>
        <v>0</v>
      </c>
      <c r="GM10" s="3887"/>
      <c r="GN10" s="3887"/>
      <c r="GO10" s="3888">
        <f t="shared" si="59"/>
        <v>0</v>
      </c>
      <c r="GP10" s="3890"/>
      <c r="GQ10" s="3890"/>
      <c r="GR10" s="3888">
        <f t="shared" si="60"/>
        <v>0</v>
      </c>
      <c r="GS10" s="3888">
        <f t="shared" si="60"/>
        <v>0</v>
      </c>
      <c r="GT10" s="3890"/>
      <c r="GU10" s="3890"/>
      <c r="GV10" s="3888">
        <f t="shared" si="61"/>
        <v>0</v>
      </c>
      <c r="GW10" s="3890"/>
      <c r="GX10" s="3890"/>
      <c r="GY10" s="3888">
        <f t="shared" si="62"/>
        <v>0</v>
      </c>
      <c r="GZ10" s="3888">
        <f t="shared" si="62"/>
        <v>0</v>
      </c>
      <c r="HA10" s="3890"/>
      <c r="HB10" s="3890"/>
      <c r="HC10" s="3888">
        <f t="shared" si="63"/>
        <v>0</v>
      </c>
      <c r="HD10" s="3890"/>
      <c r="HE10" s="3890"/>
      <c r="HF10" s="3888">
        <f t="shared" si="64"/>
        <v>0</v>
      </c>
      <c r="HG10" s="3888">
        <f t="shared" si="64"/>
        <v>0</v>
      </c>
      <c r="HH10" s="3890"/>
      <c r="HI10" s="3890"/>
      <c r="HJ10" s="3888">
        <f t="shared" si="65"/>
        <v>0</v>
      </c>
      <c r="HK10" s="3890"/>
      <c r="HL10" s="3890"/>
      <c r="HM10" s="3888">
        <f t="shared" si="66"/>
        <v>0</v>
      </c>
      <c r="HN10" s="3888">
        <f t="shared" si="66"/>
        <v>0</v>
      </c>
      <c r="HO10" s="3890"/>
      <c r="HP10" s="3890"/>
      <c r="HQ10" s="3888">
        <f t="shared" si="67"/>
        <v>0</v>
      </c>
      <c r="HR10" s="3890"/>
      <c r="HS10" s="3890"/>
      <c r="HT10" s="3888">
        <f t="shared" si="68"/>
        <v>0</v>
      </c>
      <c r="HU10" s="3888">
        <f t="shared" si="68"/>
        <v>0</v>
      </c>
      <c r="HV10" s="3892">
        <f t="shared" si="69"/>
        <v>0</v>
      </c>
      <c r="HW10" s="3892">
        <f t="shared" si="69"/>
        <v>0</v>
      </c>
      <c r="HX10" s="3892">
        <f t="shared" si="70"/>
        <v>0</v>
      </c>
      <c r="HY10" s="3892">
        <f t="shared" si="69"/>
        <v>0</v>
      </c>
      <c r="HZ10" s="3892">
        <f t="shared" si="69"/>
        <v>0</v>
      </c>
      <c r="IA10" s="3892">
        <f t="shared" si="69"/>
        <v>0</v>
      </c>
      <c r="IB10" s="3892">
        <f t="shared" si="69"/>
        <v>0</v>
      </c>
      <c r="IC10" s="3893">
        <f t="shared" si="71"/>
        <v>0</v>
      </c>
      <c r="ID10" s="3893">
        <f t="shared" si="71"/>
        <v>0</v>
      </c>
      <c r="IE10" s="3894">
        <f t="shared" si="72"/>
        <v>0</v>
      </c>
      <c r="IF10" s="3893">
        <f t="shared" si="71"/>
        <v>0</v>
      </c>
      <c r="IG10" s="3893">
        <f t="shared" si="71"/>
        <v>0</v>
      </c>
      <c r="IH10" s="3893">
        <f t="shared" si="71"/>
        <v>0</v>
      </c>
      <c r="II10" s="3893">
        <f t="shared" si="71"/>
        <v>0</v>
      </c>
    </row>
    <row r="11" spans="1:243" ht="21.95" customHeight="1">
      <c r="A11" s="3801" t="s">
        <v>3541</v>
      </c>
      <c r="B11" s="3878">
        <v>5</v>
      </c>
      <c r="C11" s="3879" t="s">
        <v>3508</v>
      </c>
      <c r="D11" s="3880" t="s">
        <v>3509</v>
      </c>
      <c r="E11" s="3881">
        <v>41.8</v>
      </c>
      <c r="F11" s="3882">
        <v>52.25</v>
      </c>
      <c r="G11" s="3878"/>
      <c r="H11" s="3878"/>
      <c r="I11" s="3878"/>
      <c r="J11" s="3878"/>
      <c r="K11" s="3884">
        <f t="shared" si="8"/>
        <v>0</v>
      </c>
      <c r="L11" s="3885"/>
      <c r="M11" s="3881"/>
      <c r="N11" s="3885"/>
      <c r="O11" s="3885"/>
      <c r="P11" s="3885"/>
      <c r="Q11" s="3886"/>
      <c r="R11" s="3885"/>
      <c r="S11" s="3885"/>
      <c r="T11" s="3885"/>
      <c r="U11" s="3885"/>
      <c r="V11" s="3885"/>
      <c r="W11" s="3886"/>
      <c r="X11" s="3866">
        <f>M11+O11+Q11+S11+U11+W11</f>
        <v>0</v>
      </c>
      <c r="Y11" s="3866">
        <f t="shared" si="9"/>
        <v>0</v>
      </c>
      <c r="Z11" s="3866">
        <f t="shared" si="10"/>
        <v>0</v>
      </c>
      <c r="AA11" s="3887"/>
      <c r="AB11" s="3887"/>
      <c r="AC11" s="3888">
        <f t="shared" si="11"/>
        <v>0</v>
      </c>
      <c r="AD11" s="3887"/>
      <c r="AE11" s="3887"/>
      <c r="AF11" s="3888">
        <f t="shared" si="12"/>
        <v>0</v>
      </c>
      <c r="AG11" s="3888">
        <f t="shared" si="12"/>
        <v>0</v>
      </c>
      <c r="AH11" s="3887"/>
      <c r="AI11" s="3887"/>
      <c r="AJ11" s="3888">
        <f t="shared" si="13"/>
        <v>0</v>
      </c>
      <c r="AK11" s="3887"/>
      <c r="AL11" s="3887"/>
      <c r="AM11" s="3888">
        <f t="shared" si="14"/>
        <v>0</v>
      </c>
      <c r="AN11" s="3888">
        <f t="shared" si="14"/>
        <v>0</v>
      </c>
      <c r="AO11" s="3887"/>
      <c r="AP11" s="3887"/>
      <c r="AQ11" s="3888">
        <f t="shared" si="15"/>
        <v>0</v>
      </c>
      <c r="AR11" s="3887"/>
      <c r="AS11" s="3887"/>
      <c r="AT11" s="3888">
        <f t="shared" si="16"/>
        <v>0</v>
      </c>
      <c r="AU11" s="3888">
        <f t="shared" si="16"/>
        <v>0</v>
      </c>
      <c r="AV11" s="3889">
        <f t="shared" si="17"/>
        <v>0</v>
      </c>
      <c r="AW11" s="3889">
        <f t="shared" si="17"/>
        <v>0</v>
      </c>
      <c r="AX11" s="3889">
        <f t="shared" si="18"/>
        <v>0</v>
      </c>
      <c r="AY11" s="3889">
        <f t="shared" si="17"/>
        <v>0</v>
      </c>
      <c r="AZ11" s="3889">
        <f t="shared" si="17"/>
        <v>0</v>
      </c>
      <c r="BA11" s="3889">
        <f t="shared" si="17"/>
        <v>0</v>
      </c>
      <c r="BB11" s="3889">
        <f t="shared" si="17"/>
        <v>0</v>
      </c>
      <c r="BC11" s="3887"/>
      <c r="BD11" s="3887"/>
      <c r="BE11" s="3888">
        <f t="shared" si="19"/>
        <v>0</v>
      </c>
      <c r="BF11" s="3887"/>
      <c r="BG11" s="3887"/>
      <c r="BH11" s="3888">
        <f t="shared" si="20"/>
        <v>0</v>
      </c>
      <c r="BI11" s="3888">
        <f t="shared" si="20"/>
        <v>0</v>
      </c>
      <c r="BJ11" s="3887"/>
      <c r="BK11" s="3887"/>
      <c r="BL11" s="3888">
        <f t="shared" si="21"/>
        <v>0</v>
      </c>
      <c r="BM11" s="3887"/>
      <c r="BN11" s="3887"/>
      <c r="BO11" s="3888">
        <f t="shared" si="22"/>
        <v>0</v>
      </c>
      <c r="BP11" s="3888">
        <f t="shared" si="22"/>
        <v>0</v>
      </c>
      <c r="BQ11" s="3887"/>
      <c r="BR11" s="3887"/>
      <c r="BS11" s="3888">
        <f t="shared" si="23"/>
        <v>0</v>
      </c>
      <c r="BT11" s="3887"/>
      <c r="BU11" s="3887"/>
      <c r="BV11" s="3888">
        <f t="shared" si="24"/>
        <v>0</v>
      </c>
      <c r="BW11" s="3888">
        <f t="shared" si="24"/>
        <v>0</v>
      </c>
      <c r="BX11" s="3887"/>
      <c r="BY11" s="3887"/>
      <c r="BZ11" s="3888">
        <f t="shared" si="25"/>
        <v>0</v>
      </c>
      <c r="CA11" s="3887"/>
      <c r="CB11" s="3887"/>
      <c r="CC11" s="3888">
        <f t="shared" si="26"/>
        <v>0</v>
      </c>
      <c r="CD11" s="3888">
        <f t="shared" si="26"/>
        <v>0</v>
      </c>
      <c r="CE11" s="3887"/>
      <c r="CF11" s="3887"/>
      <c r="CG11" s="3888">
        <f t="shared" si="27"/>
        <v>0</v>
      </c>
      <c r="CH11" s="3887"/>
      <c r="CI11" s="3887"/>
      <c r="CJ11" s="3888">
        <f t="shared" si="28"/>
        <v>0</v>
      </c>
      <c r="CK11" s="3888">
        <f t="shared" si="28"/>
        <v>0</v>
      </c>
      <c r="CL11" s="3887"/>
      <c r="CM11" s="3887"/>
      <c r="CN11" s="3888">
        <f t="shared" si="29"/>
        <v>0</v>
      </c>
      <c r="CO11" s="3887"/>
      <c r="CP11" s="3887"/>
      <c r="CQ11" s="3888">
        <f t="shared" si="30"/>
        <v>0</v>
      </c>
      <c r="CR11" s="3888">
        <f t="shared" si="30"/>
        <v>0</v>
      </c>
      <c r="CS11" s="3887"/>
      <c r="CT11" s="3887"/>
      <c r="CU11" s="3888">
        <f t="shared" si="31"/>
        <v>0</v>
      </c>
      <c r="CV11" s="3887"/>
      <c r="CW11" s="3887"/>
      <c r="CX11" s="3888">
        <f t="shared" si="32"/>
        <v>0</v>
      </c>
      <c r="CY11" s="3888">
        <f t="shared" si="32"/>
        <v>0</v>
      </c>
      <c r="CZ11" s="3887"/>
      <c r="DA11" s="3887"/>
      <c r="DB11" s="3888">
        <f t="shared" si="33"/>
        <v>0</v>
      </c>
      <c r="DC11" s="3890"/>
      <c r="DD11" s="3890"/>
      <c r="DE11" s="3888">
        <f t="shared" si="34"/>
        <v>0</v>
      </c>
      <c r="DF11" s="3888">
        <f t="shared" si="34"/>
        <v>0</v>
      </c>
      <c r="DG11" s="3890"/>
      <c r="DH11" s="3890"/>
      <c r="DI11" s="3888">
        <f t="shared" si="35"/>
        <v>0</v>
      </c>
      <c r="DJ11" s="3890"/>
      <c r="DK11" s="3890"/>
      <c r="DL11" s="3888">
        <f t="shared" si="36"/>
        <v>0</v>
      </c>
      <c r="DM11" s="3888">
        <f t="shared" si="36"/>
        <v>0</v>
      </c>
      <c r="DN11" s="3890"/>
      <c r="DO11" s="3890"/>
      <c r="DP11" s="3888">
        <f t="shared" si="37"/>
        <v>0</v>
      </c>
      <c r="DQ11" s="3890"/>
      <c r="DR11" s="3890"/>
      <c r="DS11" s="3888">
        <f t="shared" si="38"/>
        <v>0</v>
      </c>
      <c r="DT11" s="3888">
        <f t="shared" si="38"/>
        <v>0</v>
      </c>
      <c r="DU11" s="3890"/>
      <c r="DV11" s="3890"/>
      <c r="DW11" s="3888">
        <f t="shared" si="39"/>
        <v>0</v>
      </c>
      <c r="DX11" s="3890"/>
      <c r="DY11" s="3890"/>
      <c r="DZ11" s="3888">
        <f t="shared" si="40"/>
        <v>0</v>
      </c>
      <c r="EA11" s="3888">
        <f t="shared" si="40"/>
        <v>0</v>
      </c>
      <c r="EB11" s="3890"/>
      <c r="EC11" s="3890"/>
      <c r="ED11" s="3888">
        <f t="shared" si="41"/>
        <v>0</v>
      </c>
      <c r="EE11" s="3890"/>
      <c r="EF11" s="3890"/>
      <c r="EG11" s="3888">
        <f t="shared" si="42"/>
        <v>0</v>
      </c>
      <c r="EH11" s="3888">
        <f t="shared" si="42"/>
        <v>0</v>
      </c>
      <c r="EI11" s="3891">
        <f t="shared" si="43"/>
        <v>0</v>
      </c>
      <c r="EJ11" s="3891">
        <f t="shared" si="43"/>
        <v>0</v>
      </c>
      <c r="EK11" s="3868">
        <f t="shared" si="44"/>
        <v>0</v>
      </c>
      <c r="EL11" s="3891">
        <f t="shared" si="43"/>
        <v>0</v>
      </c>
      <c r="EM11" s="3891">
        <f t="shared" si="43"/>
        <v>0</v>
      </c>
      <c r="EN11" s="3891">
        <f t="shared" si="43"/>
        <v>0</v>
      </c>
      <c r="EO11" s="3891">
        <f t="shared" si="43"/>
        <v>0</v>
      </c>
      <c r="EP11" s="3887"/>
      <c r="EQ11" s="3887"/>
      <c r="ER11" s="3888">
        <f t="shared" si="45"/>
        <v>0</v>
      </c>
      <c r="ES11" s="3887"/>
      <c r="ET11" s="3887"/>
      <c r="EU11" s="3888">
        <f t="shared" si="46"/>
        <v>0</v>
      </c>
      <c r="EV11" s="3888">
        <f t="shared" si="46"/>
        <v>0</v>
      </c>
      <c r="EW11" s="3887"/>
      <c r="EX11" s="3887"/>
      <c r="EY11" s="3888">
        <f t="shared" si="47"/>
        <v>0</v>
      </c>
      <c r="EZ11" s="3887"/>
      <c r="FA11" s="3887"/>
      <c r="FB11" s="3888">
        <f t="shared" si="48"/>
        <v>0</v>
      </c>
      <c r="FC11" s="3888">
        <f t="shared" si="48"/>
        <v>0</v>
      </c>
      <c r="FD11" s="3887"/>
      <c r="FE11" s="3887"/>
      <c r="FF11" s="3888">
        <f t="shared" si="49"/>
        <v>0</v>
      </c>
      <c r="FG11" s="3887"/>
      <c r="FH11" s="3887"/>
      <c r="FI11" s="3888">
        <f t="shared" si="50"/>
        <v>0</v>
      </c>
      <c r="FJ11" s="3888">
        <f t="shared" si="50"/>
        <v>0</v>
      </c>
      <c r="FK11" s="3887"/>
      <c r="FL11" s="3887"/>
      <c r="FM11" s="3888">
        <f t="shared" si="51"/>
        <v>0</v>
      </c>
      <c r="FN11" s="3887"/>
      <c r="FO11" s="3887"/>
      <c r="FP11" s="3888">
        <f t="shared" si="52"/>
        <v>0</v>
      </c>
      <c r="FQ11" s="3888">
        <f t="shared" si="52"/>
        <v>0</v>
      </c>
      <c r="FR11" s="3887"/>
      <c r="FS11" s="3887"/>
      <c r="FT11" s="3888">
        <f t="shared" si="53"/>
        <v>0</v>
      </c>
      <c r="FU11" s="3887"/>
      <c r="FV11" s="3887"/>
      <c r="FW11" s="3888">
        <f t="shared" si="54"/>
        <v>0</v>
      </c>
      <c r="FX11" s="3888">
        <f t="shared" si="54"/>
        <v>0</v>
      </c>
      <c r="FY11" s="3887"/>
      <c r="FZ11" s="3887"/>
      <c r="GA11" s="3888">
        <f t="shared" si="55"/>
        <v>0</v>
      </c>
      <c r="GB11" s="3887"/>
      <c r="GC11" s="3887"/>
      <c r="GD11" s="3888">
        <f t="shared" si="56"/>
        <v>0</v>
      </c>
      <c r="GE11" s="3888">
        <f t="shared" si="56"/>
        <v>0</v>
      </c>
      <c r="GF11" s="3887"/>
      <c r="GG11" s="3887"/>
      <c r="GH11" s="3888">
        <f t="shared" si="57"/>
        <v>0</v>
      </c>
      <c r="GI11" s="3887"/>
      <c r="GJ11" s="3887"/>
      <c r="GK11" s="3888">
        <f t="shared" si="58"/>
        <v>0</v>
      </c>
      <c r="GL11" s="3888">
        <f t="shared" si="58"/>
        <v>0</v>
      </c>
      <c r="GM11" s="3887"/>
      <c r="GN11" s="3887"/>
      <c r="GO11" s="3888">
        <f t="shared" si="59"/>
        <v>0</v>
      </c>
      <c r="GP11" s="3890"/>
      <c r="GQ11" s="3890"/>
      <c r="GR11" s="3888">
        <f t="shared" si="60"/>
        <v>0</v>
      </c>
      <c r="GS11" s="3888">
        <f t="shared" si="60"/>
        <v>0</v>
      </c>
      <c r="GT11" s="3890"/>
      <c r="GU11" s="3890"/>
      <c r="GV11" s="3888">
        <f t="shared" si="61"/>
        <v>0</v>
      </c>
      <c r="GW11" s="3890"/>
      <c r="GX11" s="3890"/>
      <c r="GY11" s="3888">
        <f t="shared" si="62"/>
        <v>0</v>
      </c>
      <c r="GZ11" s="3888">
        <f t="shared" si="62"/>
        <v>0</v>
      </c>
      <c r="HA11" s="3890"/>
      <c r="HB11" s="3890"/>
      <c r="HC11" s="3888">
        <f t="shared" si="63"/>
        <v>0</v>
      </c>
      <c r="HD11" s="3890"/>
      <c r="HE11" s="3890"/>
      <c r="HF11" s="3888">
        <f t="shared" si="64"/>
        <v>0</v>
      </c>
      <c r="HG11" s="3888">
        <f t="shared" si="64"/>
        <v>0</v>
      </c>
      <c r="HH11" s="3890"/>
      <c r="HI11" s="3890"/>
      <c r="HJ11" s="3888">
        <f t="shared" si="65"/>
        <v>0</v>
      </c>
      <c r="HK11" s="3890"/>
      <c r="HL11" s="3890"/>
      <c r="HM11" s="3888">
        <f t="shared" si="66"/>
        <v>0</v>
      </c>
      <c r="HN11" s="3888">
        <f t="shared" si="66"/>
        <v>0</v>
      </c>
      <c r="HO11" s="3890"/>
      <c r="HP11" s="3890"/>
      <c r="HQ11" s="3888">
        <f t="shared" si="67"/>
        <v>0</v>
      </c>
      <c r="HR11" s="3890"/>
      <c r="HS11" s="3890"/>
      <c r="HT11" s="3888">
        <f t="shared" si="68"/>
        <v>0</v>
      </c>
      <c r="HU11" s="3888">
        <f t="shared" si="68"/>
        <v>0</v>
      </c>
      <c r="HV11" s="3892">
        <f t="shared" si="69"/>
        <v>0</v>
      </c>
      <c r="HW11" s="3892">
        <f t="shared" si="69"/>
        <v>0</v>
      </c>
      <c r="HX11" s="3892">
        <f t="shared" si="70"/>
        <v>0</v>
      </c>
      <c r="HY11" s="3892">
        <f t="shared" si="69"/>
        <v>0</v>
      </c>
      <c r="HZ11" s="3892">
        <f t="shared" si="69"/>
        <v>0</v>
      </c>
      <c r="IA11" s="3892">
        <f t="shared" si="69"/>
        <v>0</v>
      </c>
      <c r="IB11" s="3892">
        <f t="shared" si="69"/>
        <v>0</v>
      </c>
      <c r="IC11" s="3893">
        <f t="shared" si="71"/>
        <v>0</v>
      </c>
      <c r="ID11" s="3893">
        <f t="shared" si="71"/>
        <v>0</v>
      </c>
      <c r="IE11" s="3894">
        <f t="shared" si="72"/>
        <v>0</v>
      </c>
      <c r="IF11" s="3893">
        <f t="shared" si="71"/>
        <v>0</v>
      </c>
      <c r="IG11" s="3893">
        <f t="shared" si="71"/>
        <v>0</v>
      </c>
      <c r="IH11" s="3893">
        <f t="shared" si="71"/>
        <v>0</v>
      </c>
      <c r="II11" s="3893">
        <f t="shared" si="71"/>
        <v>0</v>
      </c>
    </row>
    <row r="12" spans="1:243" ht="21.95" customHeight="1">
      <c r="A12" s="3801" t="s">
        <v>3542</v>
      </c>
      <c r="B12" s="3878">
        <v>6</v>
      </c>
      <c r="C12" s="3879" t="s">
        <v>3510</v>
      </c>
      <c r="D12" s="3880" t="s">
        <v>3511</v>
      </c>
      <c r="E12" s="3881">
        <v>38.799999999999997</v>
      </c>
      <c r="F12" s="3882">
        <v>22.69</v>
      </c>
      <c r="G12" s="3878">
        <v>5</v>
      </c>
      <c r="H12" s="3878" t="s">
        <v>3504</v>
      </c>
      <c r="I12" s="3896">
        <v>44823</v>
      </c>
      <c r="J12" s="3896">
        <v>44926</v>
      </c>
      <c r="K12" s="3884">
        <f t="shared" si="8"/>
        <v>0</v>
      </c>
      <c r="L12" s="3885">
        <v>7275</v>
      </c>
      <c r="M12" s="3881">
        <v>24250</v>
      </c>
      <c r="N12" s="3885"/>
      <c r="O12" s="3885"/>
      <c r="P12" s="3885"/>
      <c r="Q12" s="3886"/>
      <c r="R12" s="3885"/>
      <c r="S12" s="3885"/>
      <c r="T12" s="3885"/>
      <c r="U12" s="3885"/>
      <c r="V12" s="3885"/>
      <c r="W12" s="3886"/>
      <c r="X12" s="3866">
        <f>M12+O12+Q12+S12+U12+W12</f>
        <v>24250</v>
      </c>
      <c r="Y12" s="3866">
        <f t="shared" si="9"/>
        <v>24250</v>
      </c>
      <c r="Z12" s="3866">
        <f t="shared" si="10"/>
        <v>0</v>
      </c>
      <c r="AA12" s="3887"/>
      <c r="AB12" s="3887"/>
      <c r="AC12" s="3888">
        <f t="shared" si="11"/>
        <v>0</v>
      </c>
      <c r="AD12" s="3887"/>
      <c r="AE12" s="3887"/>
      <c r="AF12" s="3888">
        <f t="shared" si="12"/>
        <v>0</v>
      </c>
      <c r="AG12" s="3888">
        <f t="shared" si="12"/>
        <v>0</v>
      </c>
      <c r="AH12" s="3887"/>
      <c r="AI12" s="3887"/>
      <c r="AJ12" s="3888">
        <f t="shared" si="13"/>
        <v>0</v>
      </c>
      <c r="AK12" s="3887"/>
      <c r="AL12" s="3887"/>
      <c r="AM12" s="3888">
        <f t="shared" si="14"/>
        <v>0</v>
      </c>
      <c r="AN12" s="3888">
        <f t="shared" si="14"/>
        <v>0</v>
      </c>
      <c r="AO12" s="3887">
        <f>F12*G12*100</f>
        <v>11345</v>
      </c>
      <c r="AP12" s="3887"/>
      <c r="AQ12" s="3888">
        <f t="shared" si="15"/>
        <v>11345</v>
      </c>
      <c r="AR12" s="3887">
        <v>24250</v>
      </c>
      <c r="AS12" s="3887"/>
      <c r="AT12" s="3888">
        <f t="shared" si="16"/>
        <v>-12905</v>
      </c>
      <c r="AU12" s="3888">
        <f t="shared" si="16"/>
        <v>0</v>
      </c>
      <c r="AV12" s="3889">
        <f t="shared" si="17"/>
        <v>11345</v>
      </c>
      <c r="AW12" s="3889">
        <f t="shared" si="17"/>
        <v>0</v>
      </c>
      <c r="AX12" s="3889">
        <f t="shared" si="18"/>
        <v>11345</v>
      </c>
      <c r="AY12" s="3889">
        <f t="shared" si="17"/>
        <v>24250</v>
      </c>
      <c r="AZ12" s="3889">
        <f t="shared" si="17"/>
        <v>0</v>
      </c>
      <c r="BA12" s="3889">
        <f t="shared" si="17"/>
        <v>-12905</v>
      </c>
      <c r="BB12" s="3889">
        <f t="shared" si="17"/>
        <v>0</v>
      </c>
      <c r="BC12" s="3887"/>
      <c r="BD12" s="3887"/>
      <c r="BE12" s="3888">
        <f t="shared" si="19"/>
        <v>0</v>
      </c>
      <c r="BF12" s="3887"/>
      <c r="BG12" s="3887"/>
      <c r="BH12" s="3888">
        <f t="shared" si="20"/>
        <v>0</v>
      </c>
      <c r="BI12" s="3888">
        <f t="shared" si="20"/>
        <v>0</v>
      </c>
      <c r="BJ12" s="3887"/>
      <c r="BK12" s="3887"/>
      <c r="BL12" s="3888">
        <f t="shared" si="21"/>
        <v>0</v>
      </c>
      <c r="BM12" s="3887"/>
      <c r="BN12" s="3887"/>
      <c r="BO12" s="3888">
        <f t="shared" si="22"/>
        <v>0</v>
      </c>
      <c r="BP12" s="3888">
        <f t="shared" si="22"/>
        <v>0</v>
      </c>
      <c r="BQ12" s="3887"/>
      <c r="BR12" s="3887"/>
      <c r="BS12" s="3888">
        <f t="shared" si="23"/>
        <v>0</v>
      </c>
      <c r="BT12" s="3887"/>
      <c r="BU12" s="3887"/>
      <c r="BV12" s="3888">
        <f t="shared" si="24"/>
        <v>0</v>
      </c>
      <c r="BW12" s="3888">
        <f t="shared" si="24"/>
        <v>0</v>
      </c>
      <c r="BX12" s="3887"/>
      <c r="BY12" s="3887"/>
      <c r="BZ12" s="3888">
        <f t="shared" si="25"/>
        <v>0</v>
      </c>
      <c r="CA12" s="3887"/>
      <c r="CB12" s="3887"/>
      <c r="CC12" s="3888">
        <f t="shared" si="26"/>
        <v>0</v>
      </c>
      <c r="CD12" s="3888">
        <f t="shared" si="26"/>
        <v>0</v>
      </c>
      <c r="CE12" s="3887"/>
      <c r="CF12" s="3887"/>
      <c r="CG12" s="3888">
        <f t="shared" si="27"/>
        <v>0</v>
      </c>
      <c r="CH12" s="3887"/>
      <c r="CI12" s="3887"/>
      <c r="CJ12" s="3888">
        <f t="shared" si="28"/>
        <v>0</v>
      </c>
      <c r="CK12" s="3888">
        <f t="shared" si="28"/>
        <v>0</v>
      </c>
      <c r="CL12" s="3887"/>
      <c r="CM12" s="3887"/>
      <c r="CN12" s="3888">
        <f t="shared" si="29"/>
        <v>0</v>
      </c>
      <c r="CO12" s="3887"/>
      <c r="CP12" s="3887"/>
      <c r="CQ12" s="3888">
        <f t="shared" si="30"/>
        <v>0</v>
      </c>
      <c r="CR12" s="3888">
        <f t="shared" si="30"/>
        <v>0</v>
      </c>
      <c r="CS12" s="3887"/>
      <c r="CT12" s="3887"/>
      <c r="CU12" s="3888">
        <f t="shared" si="31"/>
        <v>0</v>
      </c>
      <c r="CV12" s="3887"/>
      <c r="CW12" s="3887"/>
      <c r="CX12" s="3888">
        <f t="shared" si="32"/>
        <v>0</v>
      </c>
      <c r="CY12" s="3888">
        <f t="shared" si="32"/>
        <v>0</v>
      </c>
      <c r="CZ12" s="3887"/>
      <c r="DA12" s="3887"/>
      <c r="DB12" s="3888">
        <f t="shared" si="33"/>
        <v>0</v>
      </c>
      <c r="DC12" s="3890"/>
      <c r="DD12" s="3890"/>
      <c r="DE12" s="3888">
        <f t="shared" si="34"/>
        <v>0</v>
      </c>
      <c r="DF12" s="3888">
        <f t="shared" si="34"/>
        <v>0</v>
      </c>
      <c r="DG12" s="3890"/>
      <c r="DH12" s="3890"/>
      <c r="DI12" s="3888">
        <f t="shared" si="35"/>
        <v>0</v>
      </c>
      <c r="DJ12" s="3890"/>
      <c r="DK12" s="3890"/>
      <c r="DL12" s="3888">
        <f t="shared" si="36"/>
        <v>0</v>
      </c>
      <c r="DM12" s="3888">
        <f t="shared" si="36"/>
        <v>0</v>
      </c>
      <c r="DN12" s="3890"/>
      <c r="DO12" s="3890"/>
      <c r="DP12" s="3888">
        <f t="shared" si="37"/>
        <v>0</v>
      </c>
      <c r="DQ12" s="3890"/>
      <c r="DR12" s="3890"/>
      <c r="DS12" s="3888">
        <f t="shared" si="38"/>
        <v>0</v>
      </c>
      <c r="DT12" s="3888">
        <f t="shared" si="38"/>
        <v>0</v>
      </c>
      <c r="DU12" s="3890"/>
      <c r="DV12" s="3890"/>
      <c r="DW12" s="3888">
        <f t="shared" si="39"/>
        <v>0</v>
      </c>
      <c r="DX12" s="3890"/>
      <c r="DY12" s="3890"/>
      <c r="DZ12" s="3888">
        <f t="shared" si="40"/>
        <v>0</v>
      </c>
      <c r="EA12" s="3888">
        <f t="shared" si="40"/>
        <v>0</v>
      </c>
      <c r="EB12" s="3890"/>
      <c r="EC12" s="3890"/>
      <c r="ED12" s="3888">
        <f t="shared" si="41"/>
        <v>0</v>
      </c>
      <c r="EE12" s="3890"/>
      <c r="EF12" s="3890"/>
      <c r="EG12" s="3888">
        <f t="shared" si="42"/>
        <v>0</v>
      </c>
      <c r="EH12" s="3888">
        <f t="shared" si="42"/>
        <v>0</v>
      </c>
      <c r="EI12" s="3891">
        <f t="shared" si="43"/>
        <v>0</v>
      </c>
      <c r="EJ12" s="3891">
        <f t="shared" si="43"/>
        <v>0</v>
      </c>
      <c r="EK12" s="3868">
        <f t="shared" si="44"/>
        <v>0</v>
      </c>
      <c r="EL12" s="3891">
        <f t="shared" si="43"/>
        <v>0</v>
      </c>
      <c r="EM12" s="3891">
        <f t="shared" si="43"/>
        <v>0</v>
      </c>
      <c r="EN12" s="3891">
        <f t="shared" si="43"/>
        <v>0</v>
      </c>
      <c r="EO12" s="3891">
        <f t="shared" si="43"/>
        <v>0</v>
      </c>
      <c r="EP12" s="3887"/>
      <c r="EQ12" s="3887"/>
      <c r="ER12" s="3888">
        <f t="shared" si="45"/>
        <v>0</v>
      </c>
      <c r="ES12" s="3887"/>
      <c r="ET12" s="3887"/>
      <c r="EU12" s="3888">
        <f t="shared" si="46"/>
        <v>0</v>
      </c>
      <c r="EV12" s="3888">
        <f t="shared" si="46"/>
        <v>0</v>
      </c>
      <c r="EW12" s="3887"/>
      <c r="EX12" s="3887"/>
      <c r="EY12" s="3888">
        <f t="shared" si="47"/>
        <v>0</v>
      </c>
      <c r="EZ12" s="3887"/>
      <c r="FA12" s="3887"/>
      <c r="FB12" s="3888">
        <f t="shared" si="48"/>
        <v>0</v>
      </c>
      <c r="FC12" s="3888">
        <f t="shared" si="48"/>
        <v>0</v>
      </c>
      <c r="FD12" s="3887"/>
      <c r="FE12" s="3887"/>
      <c r="FF12" s="3888">
        <f t="shared" si="49"/>
        <v>0</v>
      </c>
      <c r="FG12" s="3887"/>
      <c r="FH12" s="3887"/>
      <c r="FI12" s="3888">
        <f t="shared" si="50"/>
        <v>0</v>
      </c>
      <c r="FJ12" s="3888">
        <f t="shared" si="50"/>
        <v>0</v>
      </c>
      <c r="FK12" s="3887"/>
      <c r="FL12" s="3887"/>
      <c r="FM12" s="3888">
        <f t="shared" si="51"/>
        <v>0</v>
      </c>
      <c r="FN12" s="3887"/>
      <c r="FO12" s="3887"/>
      <c r="FP12" s="3888">
        <f t="shared" si="52"/>
        <v>0</v>
      </c>
      <c r="FQ12" s="3888">
        <f t="shared" si="52"/>
        <v>0</v>
      </c>
      <c r="FR12" s="3887"/>
      <c r="FS12" s="3887"/>
      <c r="FT12" s="3888">
        <f t="shared" si="53"/>
        <v>0</v>
      </c>
      <c r="FU12" s="3887"/>
      <c r="FV12" s="3887"/>
      <c r="FW12" s="3888">
        <f t="shared" si="54"/>
        <v>0</v>
      </c>
      <c r="FX12" s="3888">
        <f t="shared" si="54"/>
        <v>0</v>
      </c>
      <c r="FY12" s="3887"/>
      <c r="FZ12" s="3887"/>
      <c r="GA12" s="3888">
        <f t="shared" si="55"/>
        <v>0</v>
      </c>
      <c r="GB12" s="3887"/>
      <c r="GC12" s="3887"/>
      <c r="GD12" s="3888">
        <f t="shared" si="56"/>
        <v>0</v>
      </c>
      <c r="GE12" s="3888">
        <f t="shared" si="56"/>
        <v>0</v>
      </c>
      <c r="GF12" s="3887"/>
      <c r="GG12" s="3887"/>
      <c r="GH12" s="3888">
        <f t="shared" si="57"/>
        <v>0</v>
      </c>
      <c r="GI12" s="3887"/>
      <c r="GJ12" s="3887"/>
      <c r="GK12" s="3888">
        <f t="shared" si="58"/>
        <v>0</v>
      </c>
      <c r="GL12" s="3888">
        <f t="shared" si="58"/>
        <v>0</v>
      </c>
      <c r="GM12" s="3887"/>
      <c r="GN12" s="3887"/>
      <c r="GO12" s="3888">
        <f t="shared" si="59"/>
        <v>0</v>
      </c>
      <c r="GP12" s="3890"/>
      <c r="GQ12" s="3890"/>
      <c r="GR12" s="3888">
        <f t="shared" si="60"/>
        <v>0</v>
      </c>
      <c r="GS12" s="3888">
        <f t="shared" si="60"/>
        <v>0</v>
      </c>
      <c r="GT12" s="3890"/>
      <c r="GU12" s="3890"/>
      <c r="GV12" s="3888">
        <f t="shared" si="61"/>
        <v>0</v>
      </c>
      <c r="GW12" s="3890"/>
      <c r="GX12" s="3890"/>
      <c r="GY12" s="3888">
        <f t="shared" si="62"/>
        <v>0</v>
      </c>
      <c r="GZ12" s="3888">
        <f t="shared" si="62"/>
        <v>0</v>
      </c>
      <c r="HA12" s="3890"/>
      <c r="HB12" s="3890"/>
      <c r="HC12" s="3888">
        <f t="shared" si="63"/>
        <v>0</v>
      </c>
      <c r="HD12" s="3890"/>
      <c r="HE12" s="3890"/>
      <c r="HF12" s="3888">
        <f t="shared" si="64"/>
        <v>0</v>
      </c>
      <c r="HG12" s="3888">
        <f t="shared" si="64"/>
        <v>0</v>
      </c>
      <c r="HH12" s="3890"/>
      <c r="HI12" s="3890"/>
      <c r="HJ12" s="3888">
        <f t="shared" si="65"/>
        <v>0</v>
      </c>
      <c r="HK12" s="3890"/>
      <c r="HL12" s="3890"/>
      <c r="HM12" s="3888">
        <f t="shared" si="66"/>
        <v>0</v>
      </c>
      <c r="HN12" s="3888">
        <f t="shared" si="66"/>
        <v>0</v>
      </c>
      <c r="HO12" s="3890"/>
      <c r="HP12" s="3890"/>
      <c r="HQ12" s="3888">
        <f t="shared" si="67"/>
        <v>0</v>
      </c>
      <c r="HR12" s="3890"/>
      <c r="HS12" s="3890"/>
      <c r="HT12" s="3888">
        <f t="shared" si="68"/>
        <v>0</v>
      </c>
      <c r="HU12" s="3888">
        <f t="shared" si="68"/>
        <v>0</v>
      </c>
      <c r="HV12" s="3892">
        <f t="shared" si="69"/>
        <v>0</v>
      </c>
      <c r="HW12" s="3892">
        <f t="shared" si="69"/>
        <v>0</v>
      </c>
      <c r="HX12" s="3892">
        <f t="shared" si="70"/>
        <v>0</v>
      </c>
      <c r="HY12" s="3892">
        <f t="shared" si="69"/>
        <v>0</v>
      </c>
      <c r="HZ12" s="3892">
        <f t="shared" si="69"/>
        <v>0</v>
      </c>
      <c r="IA12" s="3892">
        <f t="shared" si="69"/>
        <v>0</v>
      </c>
      <c r="IB12" s="3892">
        <f t="shared" si="69"/>
        <v>0</v>
      </c>
      <c r="IC12" s="3893">
        <f t="shared" si="71"/>
        <v>11345</v>
      </c>
      <c r="ID12" s="3893">
        <f t="shared" si="71"/>
        <v>0</v>
      </c>
      <c r="IE12" s="3894">
        <f t="shared" si="72"/>
        <v>11345</v>
      </c>
      <c r="IF12" s="3893">
        <f t="shared" si="71"/>
        <v>24250</v>
      </c>
      <c r="IG12" s="3893">
        <f t="shared" si="71"/>
        <v>0</v>
      </c>
      <c r="IH12" s="3893">
        <f t="shared" si="71"/>
        <v>-12905</v>
      </c>
      <c r="II12" s="3893">
        <f t="shared" si="71"/>
        <v>0</v>
      </c>
    </row>
    <row r="13" spans="1:243" ht="21.95" customHeight="1">
      <c r="A13" s="3801" t="s">
        <v>3541</v>
      </c>
      <c r="B13" s="3878">
        <v>7</v>
      </c>
      <c r="C13" s="3879" t="s">
        <v>3512</v>
      </c>
      <c r="D13" s="3880" t="s">
        <v>3513</v>
      </c>
      <c r="E13" s="3881">
        <v>30.6</v>
      </c>
      <c r="F13" s="3882">
        <v>25</v>
      </c>
      <c r="G13" s="3878">
        <v>5</v>
      </c>
      <c r="H13" s="3878" t="s">
        <v>3504</v>
      </c>
      <c r="I13" s="3896">
        <v>44823</v>
      </c>
      <c r="J13" s="3896">
        <v>44926</v>
      </c>
      <c r="K13" s="3884">
        <f t="shared" si="8"/>
        <v>0</v>
      </c>
      <c r="L13" s="3885">
        <v>5737.5</v>
      </c>
      <c r="M13" s="3881">
        <v>19125</v>
      </c>
      <c r="N13" s="3885"/>
      <c r="O13" s="3885"/>
      <c r="P13" s="3885"/>
      <c r="Q13" s="3886"/>
      <c r="R13" s="3885"/>
      <c r="S13" s="3885"/>
      <c r="T13" s="3885"/>
      <c r="U13" s="3885"/>
      <c r="V13" s="3885"/>
      <c r="W13" s="3886"/>
      <c r="X13" s="3866">
        <f>M13+O13+Q13+S13+U13+W13</f>
        <v>19125</v>
      </c>
      <c r="Y13" s="3866">
        <f t="shared" si="9"/>
        <v>19125</v>
      </c>
      <c r="Z13" s="3866">
        <f t="shared" si="10"/>
        <v>0</v>
      </c>
      <c r="AA13" s="3887"/>
      <c r="AB13" s="3887"/>
      <c r="AC13" s="3888">
        <f t="shared" si="11"/>
        <v>0</v>
      </c>
      <c r="AD13" s="3887"/>
      <c r="AE13" s="3887"/>
      <c r="AF13" s="3888">
        <f t="shared" si="12"/>
        <v>0</v>
      </c>
      <c r="AG13" s="3888">
        <f t="shared" si="12"/>
        <v>0</v>
      </c>
      <c r="AH13" s="3887"/>
      <c r="AI13" s="3887"/>
      <c r="AJ13" s="3888">
        <f t="shared" si="13"/>
        <v>0</v>
      </c>
      <c r="AK13" s="3887"/>
      <c r="AL13" s="3887"/>
      <c r="AM13" s="3888">
        <f t="shared" si="14"/>
        <v>0</v>
      </c>
      <c r="AN13" s="3888">
        <f t="shared" si="14"/>
        <v>0</v>
      </c>
      <c r="AO13" s="3887">
        <f>F13*G13*100</f>
        <v>12500</v>
      </c>
      <c r="AP13" s="3887"/>
      <c r="AQ13" s="3888">
        <f t="shared" si="15"/>
        <v>12500</v>
      </c>
      <c r="AR13" s="3887">
        <v>19125</v>
      </c>
      <c r="AS13" s="3887"/>
      <c r="AT13" s="3888">
        <f t="shared" si="16"/>
        <v>-6625</v>
      </c>
      <c r="AU13" s="3888">
        <f t="shared" si="16"/>
        <v>0</v>
      </c>
      <c r="AV13" s="3889">
        <f t="shared" si="17"/>
        <v>12500</v>
      </c>
      <c r="AW13" s="3889">
        <f t="shared" si="17"/>
        <v>0</v>
      </c>
      <c r="AX13" s="3889">
        <f t="shared" si="18"/>
        <v>12500</v>
      </c>
      <c r="AY13" s="3889">
        <f t="shared" si="17"/>
        <v>19125</v>
      </c>
      <c r="AZ13" s="3889">
        <f t="shared" si="17"/>
        <v>0</v>
      </c>
      <c r="BA13" s="3889">
        <f t="shared" si="17"/>
        <v>-6625</v>
      </c>
      <c r="BB13" s="3889">
        <f t="shared" si="17"/>
        <v>0</v>
      </c>
      <c r="BC13" s="3887"/>
      <c r="BD13" s="3887"/>
      <c r="BE13" s="3888">
        <f t="shared" si="19"/>
        <v>0</v>
      </c>
      <c r="BF13" s="3887"/>
      <c r="BG13" s="3887"/>
      <c r="BH13" s="3888">
        <f t="shared" si="20"/>
        <v>0</v>
      </c>
      <c r="BI13" s="3888">
        <f t="shared" si="20"/>
        <v>0</v>
      </c>
      <c r="BJ13" s="3887"/>
      <c r="BK13" s="3887"/>
      <c r="BL13" s="3888">
        <f t="shared" si="21"/>
        <v>0</v>
      </c>
      <c r="BM13" s="3887"/>
      <c r="BN13" s="3887"/>
      <c r="BO13" s="3888">
        <f t="shared" si="22"/>
        <v>0</v>
      </c>
      <c r="BP13" s="3888">
        <f t="shared" si="22"/>
        <v>0</v>
      </c>
      <c r="BQ13" s="3887"/>
      <c r="BR13" s="3887"/>
      <c r="BS13" s="3888">
        <f t="shared" si="23"/>
        <v>0</v>
      </c>
      <c r="BT13" s="3887"/>
      <c r="BU13" s="3887"/>
      <c r="BV13" s="3888">
        <f t="shared" si="24"/>
        <v>0</v>
      </c>
      <c r="BW13" s="3888">
        <f t="shared" si="24"/>
        <v>0</v>
      </c>
      <c r="BX13" s="3887"/>
      <c r="BY13" s="3887"/>
      <c r="BZ13" s="3888">
        <f t="shared" si="25"/>
        <v>0</v>
      </c>
      <c r="CA13" s="3887"/>
      <c r="CB13" s="3887"/>
      <c r="CC13" s="3888">
        <f t="shared" si="26"/>
        <v>0</v>
      </c>
      <c r="CD13" s="3888">
        <f t="shared" si="26"/>
        <v>0</v>
      </c>
      <c r="CE13" s="3887"/>
      <c r="CF13" s="3887"/>
      <c r="CG13" s="3888">
        <f t="shared" si="27"/>
        <v>0</v>
      </c>
      <c r="CH13" s="3887"/>
      <c r="CI13" s="3887"/>
      <c r="CJ13" s="3888">
        <f t="shared" si="28"/>
        <v>0</v>
      </c>
      <c r="CK13" s="3888">
        <f t="shared" si="28"/>
        <v>0</v>
      </c>
      <c r="CL13" s="3887"/>
      <c r="CM13" s="3887"/>
      <c r="CN13" s="3888">
        <f t="shared" si="29"/>
        <v>0</v>
      </c>
      <c r="CO13" s="3887"/>
      <c r="CP13" s="3887"/>
      <c r="CQ13" s="3888">
        <f t="shared" si="30"/>
        <v>0</v>
      </c>
      <c r="CR13" s="3888">
        <f t="shared" si="30"/>
        <v>0</v>
      </c>
      <c r="CS13" s="3887"/>
      <c r="CT13" s="3887"/>
      <c r="CU13" s="3888">
        <f t="shared" si="31"/>
        <v>0</v>
      </c>
      <c r="CV13" s="3887"/>
      <c r="CW13" s="3887"/>
      <c r="CX13" s="3888">
        <f t="shared" si="32"/>
        <v>0</v>
      </c>
      <c r="CY13" s="3888">
        <f t="shared" si="32"/>
        <v>0</v>
      </c>
      <c r="CZ13" s="3887"/>
      <c r="DA13" s="3887"/>
      <c r="DB13" s="3888">
        <f t="shared" si="33"/>
        <v>0</v>
      </c>
      <c r="DC13" s="3890"/>
      <c r="DD13" s="3890"/>
      <c r="DE13" s="3888">
        <f t="shared" si="34"/>
        <v>0</v>
      </c>
      <c r="DF13" s="3888">
        <f t="shared" si="34"/>
        <v>0</v>
      </c>
      <c r="DG13" s="3890"/>
      <c r="DH13" s="3890"/>
      <c r="DI13" s="3888">
        <f t="shared" si="35"/>
        <v>0</v>
      </c>
      <c r="DJ13" s="3890"/>
      <c r="DK13" s="3890"/>
      <c r="DL13" s="3888">
        <f t="shared" si="36"/>
        <v>0</v>
      </c>
      <c r="DM13" s="3888">
        <f t="shared" si="36"/>
        <v>0</v>
      </c>
      <c r="DN13" s="3890"/>
      <c r="DO13" s="3890"/>
      <c r="DP13" s="3888">
        <f t="shared" si="37"/>
        <v>0</v>
      </c>
      <c r="DQ13" s="3890"/>
      <c r="DR13" s="3890"/>
      <c r="DS13" s="3888">
        <f t="shared" si="38"/>
        <v>0</v>
      </c>
      <c r="DT13" s="3888">
        <f t="shared" si="38"/>
        <v>0</v>
      </c>
      <c r="DU13" s="3890"/>
      <c r="DV13" s="3890"/>
      <c r="DW13" s="3888">
        <f t="shared" si="39"/>
        <v>0</v>
      </c>
      <c r="DX13" s="3890"/>
      <c r="DY13" s="3890"/>
      <c r="DZ13" s="3888">
        <f t="shared" si="40"/>
        <v>0</v>
      </c>
      <c r="EA13" s="3888">
        <f t="shared" si="40"/>
        <v>0</v>
      </c>
      <c r="EB13" s="3890"/>
      <c r="EC13" s="3890"/>
      <c r="ED13" s="3888">
        <f t="shared" si="41"/>
        <v>0</v>
      </c>
      <c r="EE13" s="3890"/>
      <c r="EF13" s="3890"/>
      <c r="EG13" s="3888">
        <f t="shared" si="42"/>
        <v>0</v>
      </c>
      <c r="EH13" s="3888">
        <f t="shared" si="42"/>
        <v>0</v>
      </c>
      <c r="EI13" s="3891">
        <f t="shared" si="43"/>
        <v>0</v>
      </c>
      <c r="EJ13" s="3891">
        <f t="shared" si="43"/>
        <v>0</v>
      </c>
      <c r="EK13" s="3868">
        <f t="shared" si="44"/>
        <v>0</v>
      </c>
      <c r="EL13" s="3891">
        <f t="shared" si="43"/>
        <v>0</v>
      </c>
      <c r="EM13" s="3891">
        <f t="shared" si="43"/>
        <v>0</v>
      </c>
      <c r="EN13" s="3891">
        <f t="shared" si="43"/>
        <v>0</v>
      </c>
      <c r="EO13" s="3891">
        <f t="shared" si="43"/>
        <v>0</v>
      </c>
      <c r="EP13" s="3887"/>
      <c r="EQ13" s="3887"/>
      <c r="ER13" s="3888">
        <f t="shared" si="45"/>
        <v>0</v>
      </c>
      <c r="ES13" s="3887"/>
      <c r="ET13" s="3887"/>
      <c r="EU13" s="3888">
        <f t="shared" si="46"/>
        <v>0</v>
      </c>
      <c r="EV13" s="3888">
        <f t="shared" si="46"/>
        <v>0</v>
      </c>
      <c r="EW13" s="3887"/>
      <c r="EX13" s="3887"/>
      <c r="EY13" s="3888">
        <f t="shared" si="47"/>
        <v>0</v>
      </c>
      <c r="EZ13" s="3887"/>
      <c r="FA13" s="3887"/>
      <c r="FB13" s="3888">
        <f t="shared" si="48"/>
        <v>0</v>
      </c>
      <c r="FC13" s="3888">
        <f t="shared" si="48"/>
        <v>0</v>
      </c>
      <c r="FD13" s="3887"/>
      <c r="FE13" s="3887"/>
      <c r="FF13" s="3888">
        <f t="shared" si="49"/>
        <v>0</v>
      </c>
      <c r="FG13" s="3887"/>
      <c r="FH13" s="3887"/>
      <c r="FI13" s="3888">
        <f t="shared" si="50"/>
        <v>0</v>
      </c>
      <c r="FJ13" s="3888">
        <f t="shared" si="50"/>
        <v>0</v>
      </c>
      <c r="FK13" s="3887"/>
      <c r="FL13" s="3887"/>
      <c r="FM13" s="3888">
        <f t="shared" si="51"/>
        <v>0</v>
      </c>
      <c r="FN13" s="3887"/>
      <c r="FO13" s="3887"/>
      <c r="FP13" s="3888">
        <f t="shared" si="52"/>
        <v>0</v>
      </c>
      <c r="FQ13" s="3888">
        <f t="shared" si="52"/>
        <v>0</v>
      </c>
      <c r="FR13" s="3887"/>
      <c r="FS13" s="3887"/>
      <c r="FT13" s="3888">
        <f t="shared" si="53"/>
        <v>0</v>
      </c>
      <c r="FU13" s="3887"/>
      <c r="FV13" s="3887"/>
      <c r="FW13" s="3888">
        <f t="shared" si="54"/>
        <v>0</v>
      </c>
      <c r="FX13" s="3888">
        <f t="shared" si="54"/>
        <v>0</v>
      </c>
      <c r="FY13" s="3887"/>
      <c r="FZ13" s="3887"/>
      <c r="GA13" s="3888">
        <f t="shared" si="55"/>
        <v>0</v>
      </c>
      <c r="GB13" s="3887"/>
      <c r="GC13" s="3887"/>
      <c r="GD13" s="3888">
        <f t="shared" si="56"/>
        <v>0</v>
      </c>
      <c r="GE13" s="3888">
        <f t="shared" si="56"/>
        <v>0</v>
      </c>
      <c r="GF13" s="3887"/>
      <c r="GG13" s="3887"/>
      <c r="GH13" s="3888">
        <f t="shared" si="57"/>
        <v>0</v>
      </c>
      <c r="GI13" s="3887"/>
      <c r="GJ13" s="3887"/>
      <c r="GK13" s="3888">
        <f t="shared" si="58"/>
        <v>0</v>
      </c>
      <c r="GL13" s="3888">
        <f t="shared" si="58"/>
        <v>0</v>
      </c>
      <c r="GM13" s="3887"/>
      <c r="GN13" s="3887"/>
      <c r="GO13" s="3888">
        <f t="shared" si="59"/>
        <v>0</v>
      </c>
      <c r="GP13" s="3890"/>
      <c r="GQ13" s="3890"/>
      <c r="GR13" s="3888">
        <f t="shared" si="60"/>
        <v>0</v>
      </c>
      <c r="GS13" s="3888">
        <f t="shared" si="60"/>
        <v>0</v>
      </c>
      <c r="GT13" s="3890"/>
      <c r="GU13" s="3890"/>
      <c r="GV13" s="3888">
        <f t="shared" si="61"/>
        <v>0</v>
      </c>
      <c r="GW13" s="3890"/>
      <c r="GX13" s="3890"/>
      <c r="GY13" s="3888">
        <f t="shared" si="62"/>
        <v>0</v>
      </c>
      <c r="GZ13" s="3888">
        <f t="shared" si="62"/>
        <v>0</v>
      </c>
      <c r="HA13" s="3890"/>
      <c r="HB13" s="3890"/>
      <c r="HC13" s="3888">
        <f t="shared" si="63"/>
        <v>0</v>
      </c>
      <c r="HD13" s="3890"/>
      <c r="HE13" s="3890"/>
      <c r="HF13" s="3888">
        <f t="shared" si="64"/>
        <v>0</v>
      </c>
      <c r="HG13" s="3888">
        <f t="shared" si="64"/>
        <v>0</v>
      </c>
      <c r="HH13" s="3890"/>
      <c r="HI13" s="3890"/>
      <c r="HJ13" s="3888">
        <f t="shared" si="65"/>
        <v>0</v>
      </c>
      <c r="HK13" s="3890"/>
      <c r="HL13" s="3890"/>
      <c r="HM13" s="3888">
        <f t="shared" si="66"/>
        <v>0</v>
      </c>
      <c r="HN13" s="3888">
        <f t="shared" si="66"/>
        <v>0</v>
      </c>
      <c r="HO13" s="3890"/>
      <c r="HP13" s="3890"/>
      <c r="HQ13" s="3888">
        <f t="shared" si="67"/>
        <v>0</v>
      </c>
      <c r="HR13" s="3890"/>
      <c r="HS13" s="3890"/>
      <c r="HT13" s="3888">
        <f t="shared" si="68"/>
        <v>0</v>
      </c>
      <c r="HU13" s="3888">
        <f t="shared" si="68"/>
        <v>0</v>
      </c>
      <c r="HV13" s="3892">
        <f t="shared" si="69"/>
        <v>0</v>
      </c>
      <c r="HW13" s="3892">
        <f t="shared" si="69"/>
        <v>0</v>
      </c>
      <c r="HX13" s="3892">
        <f t="shared" si="70"/>
        <v>0</v>
      </c>
      <c r="HY13" s="3892">
        <f t="shared" si="69"/>
        <v>0</v>
      </c>
      <c r="HZ13" s="3892">
        <f t="shared" si="69"/>
        <v>0</v>
      </c>
      <c r="IA13" s="3892">
        <f t="shared" si="69"/>
        <v>0</v>
      </c>
      <c r="IB13" s="3892">
        <f t="shared" si="69"/>
        <v>0</v>
      </c>
      <c r="IC13" s="3893">
        <f t="shared" si="71"/>
        <v>12500</v>
      </c>
      <c r="ID13" s="3893">
        <f t="shared" si="71"/>
        <v>0</v>
      </c>
      <c r="IE13" s="3894">
        <f t="shared" si="72"/>
        <v>12500</v>
      </c>
      <c r="IF13" s="3893">
        <f t="shared" si="71"/>
        <v>19125</v>
      </c>
      <c r="IG13" s="3893">
        <f t="shared" si="71"/>
        <v>0</v>
      </c>
      <c r="IH13" s="3893">
        <f t="shared" si="71"/>
        <v>-6625</v>
      </c>
      <c r="II13" s="3893">
        <f t="shared" si="71"/>
        <v>0</v>
      </c>
    </row>
    <row r="14" spans="1:243" ht="21.95" customHeight="1">
      <c r="A14" s="3801" t="s">
        <v>3542</v>
      </c>
      <c r="B14" s="3878">
        <v>8</v>
      </c>
      <c r="C14" s="3897" t="s">
        <v>3514</v>
      </c>
      <c r="D14" s="3880" t="s">
        <v>3543</v>
      </c>
      <c r="E14" s="3881">
        <v>30.6</v>
      </c>
      <c r="F14" s="3898">
        <v>38.25</v>
      </c>
      <c r="G14" s="3878"/>
      <c r="H14" s="3878"/>
      <c r="I14" s="3896"/>
      <c r="J14" s="3896"/>
      <c r="K14" s="3884">
        <f t="shared" si="8"/>
        <v>0</v>
      </c>
      <c r="L14" s="3885"/>
      <c r="M14" s="3881"/>
      <c r="N14" s="3885"/>
      <c r="O14" s="3886"/>
      <c r="P14" s="3885"/>
      <c r="Q14" s="3886"/>
      <c r="R14" s="3885"/>
      <c r="S14" s="3885"/>
      <c r="T14" s="3885"/>
      <c r="U14" s="3885"/>
      <c r="V14" s="3885"/>
      <c r="X14" s="3866">
        <f>M14+O14+Q14+S14+U14+W14</f>
        <v>0</v>
      </c>
      <c r="Y14" s="3866">
        <f t="shared" si="9"/>
        <v>0</v>
      </c>
      <c r="Z14" s="3866">
        <f t="shared" si="10"/>
        <v>0</v>
      </c>
      <c r="AA14" s="3887"/>
      <c r="AB14" s="3887"/>
      <c r="AC14" s="3888">
        <f t="shared" si="11"/>
        <v>0</v>
      </c>
      <c r="AD14" s="3887"/>
      <c r="AE14" s="3887"/>
      <c r="AF14" s="3888">
        <f t="shared" si="12"/>
        <v>0</v>
      </c>
      <c r="AG14" s="3888">
        <f t="shared" si="12"/>
        <v>0</v>
      </c>
      <c r="AH14" s="3887"/>
      <c r="AI14" s="3887"/>
      <c r="AJ14" s="3888">
        <f t="shared" si="13"/>
        <v>0</v>
      </c>
      <c r="AK14" s="3887"/>
      <c r="AL14" s="3887"/>
      <c r="AM14" s="3888">
        <f t="shared" si="14"/>
        <v>0</v>
      </c>
      <c r="AN14" s="3888">
        <f t="shared" si="14"/>
        <v>0</v>
      </c>
      <c r="AO14" s="3887"/>
      <c r="AP14" s="3887"/>
      <c r="AQ14" s="3888">
        <f t="shared" si="15"/>
        <v>0</v>
      </c>
      <c r="AR14" s="3887"/>
      <c r="AS14" s="3887"/>
      <c r="AT14" s="3888">
        <f t="shared" si="16"/>
        <v>0</v>
      </c>
      <c r="AU14" s="3888">
        <f t="shared" si="16"/>
        <v>0</v>
      </c>
      <c r="AV14" s="3889">
        <f t="shared" si="17"/>
        <v>0</v>
      </c>
      <c r="AW14" s="3889">
        <f t="shared" si="17"/>
        <v>0</v>
      </c>
      <c r="AX14" s="3889">
        <f t="shared" si="18"/>
        <v>0</v>
      </c>
      <c r="AY14" s="3889">
        <f t="shared" si="17"/>
        <v>0</v>
      </c>
      <c r="AZ14" s="3889">
        <f t="shared" si="17"/>
        <v>0</v>
      </c>
      <c r="BA14" s="3889">
        <f t="shared" si="17"/>
        <v>0</v>
      </c>
      <c r="BB14" s="3889">
        <f t="shared" si="17"/>
        <v>0</v>
      </c>
      <c r="BC14" s="3887"/>
      <c r="BD14" s="3887"/>
      <c r="BE14" s="3888">
        <f t="shared" si="19"/>
        <v>0</v>
      </c>
      <c r="BF14" s="3887"/>
      <c r="BG14" s="3887"/>
      <c r="BH14" s="3888">
        <f t="shared" si="20"/>
        <v>0</v>
      </c>
      <c r="BI14" s="3888">
        <f t="shared" si="20"/>
        <v>0</v>
      </c>
      <c r="BJ14" s="3887"/>
      <c r="BK14" s="3887"/>
      <c r="BL14" s="3888">
        <f t="shared" si="21"/>
        <v>0</v>
      </c>
      <c r="BM14" s="3887"/>
      <c r="BN14" s="3887"/>
      <c r="BO14" s="3888">
        <f t="shared" si="22"/>
        <v>0</v>
      </c>
      <c r="BP14" s="3888">
        <f t="shared" si="22"/>
        <v>0</v>
      </c>
      <c r="BQ14" s="3887"/>
      <c r="BR14" s="3887"/>
      <c r="BS14" s="3888">
        <f t="shared" si="23"/>
        <v>0</v>
      </c>
      <c r="BT14" s="3887"/>
      <c r="BU14" s="3887"/>
      <c r="BV14" s="3888">
        <f t="shared" si="24"/>
        <v>0</v>
      </c>
      <c r="BW14" s="3888">
        <f t="shared" si="24"/>
        <v>0</v>
      </c>
      <c r="BX14" s="3887"/>
      <c r="BY14" s="3887"/>
      <c r="BZ14" s="3888">
        <f t="shared" si="25"/>
        <v>0</v>
      </c>
      <c r="CA14" s="3887"/>
      <c r="CB14" s="3887"/>
      <c r="CC14" s="3888">
        <f t="shared" si="26"/>
        <v>0</v>
      </c>
      <c r="CD14" s="3888">
        <f t="shared" si="26"/>
        <v>0</v>
      </c>
      <c r="CE14" s="3887"/>
      <c r="CF14" s="3887"/>
      <c r="CG14" s="3888">
        <f t="shared" si="27"/>
        <v>0</v>
      </c>
      <c r="CH14" s="3887"/>
      <c r="CI14" s="3887"/>
      <c r="CJ14" s="3888">
        <f t="shared" si="28"/>
        <v>0</v>
      </c>
      <c r="CK14" s="3888">
        <f t="shared" si="28"/>
        <v>0</v>
      </c>
      <c r="CL14" s="3887"/>
      <c r="CM14" s="3887"/>
      <c r="CN14" s="3888">
        <f t="shared" si="29"/>
        <v>0</v>
      </c>
      <c r="CO14" s="3887"/>
      <c r="CP14" s="3887"/>
      <c r="CQ14" s="3888">
        <f t="shared" si="30"/>
        <v>0</v>
      </c>
      <c r="CR14" s="3888">
        <f t="shared" si="30"/>
        <v>0</v>
      </c>
      <c r="CS14" s="3887"/>
      <c r="CT14" s="3887"/>
      <c r="CU14" s="3888">
        <f t="shared" si="31"/>
        <v>0</v>
      </c>
      <c r="CV14" s="3887"/>
      <c r="CW14" s="3887"/>
      <c r="CX14" s="3888">
        <f t="shared" si="32"/>
        <v>0</v>
      </c>
      <c r="CY14" s="3888">
        <f t="shared" si="32"/>
        <v>0</v>
      </c>
      <c r="CZ14" s="3887"/>
      <c r="DA14" s="3887"/>
      <c r="DB14" s="3888">
        <f t="shared" si="33"/>
        <v>0</v>
      </c>
      <c r="DC14" s="3890"/>
      <c r="DD14" s="3890"/>
      <c r="DE14" s="3888">
        <f t="shared" si="34"/>
        <v>0</v>
      </c>
      <c r="DF14" s="3888">
        <f t="shared" si="34"/>
        <v>0</v>
      </c>
      <c r="DG14" s="3890"/>
      <c r="DH14" s="3890"/>
      <c r="DI14" s="3888">
        <f t="shared" si="35"/>
        <v>0</v>
      </c>
      <c r="DJ14" s="3890"/>
      <c r="DK14" s="3890"/>
      <c r="DL14" s="3888">
        <f t="shared" si="36"/>
        <v>0</v>
      </c>
      <c r="DM14" s="3888">
        <f t="shared" si="36"/>
        <v>0</v>
      </c>
      <c r="DN14" s="3890"/>
      <c r="DO14" s="3890"/>
      <c r="DP14" s="3888">
        <f t="shared" si="37"/>
        <v>0</v>
      </c>
      <c r="DQ14" s="3890"/>
      <c r="DR14" s="3890"/>
      <c r="DS14" s="3888">
        <f t="shared" si="38"/>
        <v>0</v>
      </c>
      <c r="DT14" s="3888">
        <f t="shared" si="38"/>
        <v>0</v>
      </c>
      <c r="DU14" s="3890"/>
      <c r="DV14" s="3890"/>
      <c r="DW14" s="3888">
        <f t="shared" si="39"/>
        <v>0</v>
      </c>
      <c r="DX14" s="3890"/>
      <c r="DY14" s="3890"/>
      <c r="DZ14" s="3888">
        <f t="shared" si="40"/>
        <v>0</v>
      </c>
      <c r="EA14" s="3888">
        <f t="shared" si="40"/>
        <v>0</v>
      </c>
      <c r="EB14" s="3890"/>
      <c r="EC14" s="3890"/>
      <c r="ED14" s="3888">
        <f t="shared" si="41"/>
        <v>0</v>
      </c>
      <c r="EE14" s="3890"/>
      <c r="EF14" s="3890"/>
      <c r="EG14" s="3888">
        <f t="shared" si="42"/>
        <v>0</v>
      </c>
      <c r="EH14" s="3888">
        <f t="shared" si="42"/>
        <v>0</v>
      </c>
      <c r="EI14" s="3891">
        <f t="shared" si="43"/>
        <v>0</v>
      </c>
      <c r="EJ14" s="3891">
        <f t="shared" si="43"/>
        <v>0</v>
      </c>
      <c r="EK14" s="3868">
        <f t="shared" si="44"/>
        <v>0</v>
      </c>
      <c r="EL14" s="3891">
        <f t="shared" si="43"/>
        <v>0</v>
      </c>
      <c r="EM14" s="3891">
        <f t="shared" si="43"/>
        <v>0</v>
      </c>
      <c r="EN14" s="3891">
        <f t="shared" si="43"/>
        <v>0</v>
      </c>
      <c r="EO14" s="3891">
        <f t="shared" si="43"/>
        <v>0</v>
      </c>
      <c r="EP14" s="3887"/>
      <c r="EQ14" s="3887"/>
      <c r="ER14" s="3888">
        <f t="shared" si="45"/>
        <v>0</v>
      </c>
      <c r="ES14" s="3887"/>
      <c r="ET14" s="3887"/>
      <c r="EU14" s="3888">
        <f t="shared" si="46"/>
        <v>0</v>
      </c>
      <c r="EV14" s="3888">
        <f t="shared" si="46"/>
        <v>0</v>
      </c>
      <c r="EW14" s="3887"/>
      <c r="EX14" s="3887"/>
      <c r="EY14" s="3888">
        <f t="shared" si="47"/>
        <v>0</v>
      </c>
      <c r="EZ14" s="3887"/>
      <c r="FA14" s="3887"/>
      <c r="FB14" s="3888">
        <f t="shared" si="48"/>
        <v>0</v>
      </c>
      <c r="FC14" s="3888">
        <f t="shared" si="48"/>
        <v>0</v>
      </c>
      <c r="FD14" s="3887"/>
      <c r="FE14" s="3887"/>
      <c r="FF14" s="3888">
        <f t="shared" si="49"/>
        <v>0</v>
      </c>
      <c r="FG14" s="3887"/>
      <c r="FH14" s="3887"/>
      <c r="FI14" s="3888">
        <f t="shared" si="50"/>
        <v>0</v>
      </c>
      <c r="FJ14" s="3888">
        <f t="shared" si="50"/>
        <v>0</v>
      </c>
      <c r="FK14" s="3887"/>
      <c r="FL14" s="3887"/>
      <c r="FM14" s="3888">
        <f t="shared" si="51"/>
        <v>0</v>
      </c>
      <c r="FN14" s="3887"/>
      <c r="FO14" s="3887"/>
      <c r="FP14" s="3888">
        <f t="shared" si="52"/>
        <v>0</v>
      </c>
      <c r="FQ14" s="3888">
        <f t="shared" si="52"/>
        <v>0</v>
      </c>
      <c r="FR14" s="3887"/>
      <c r="FS14" s="3887"/>
      <c r="FT14" s="3888">
        <f t="shared" si="53"/>
        <v>0</v>
      </c>
      <c r="FU14" s="3887"/>
      <c r="FV14" s="3887"/>
      <c r="FW14" s="3888">
        <f t="shared" si="54"/>
        <v>0</v>
      </c>
      <c r="FX14" s="3888">
        <f t="shared" si="54"/>
        <v>0</v>
      </c>
      <c r="FY14" s="3887"/>
      <c r="FZ14" s="3887"/>
      <c r="GA14" s="3888">
        <f t="shared" si="55"/>
        <v>0</v>
      </c>
      <c r="GB14" s="3887"/>
      <c r="GC14" s="3887"/>
      <c r="GD14" s="3888">
        <f t="shared" si="56"/>
        <v>0</v>
      </c>
      <c r="GE14" s="3888">
        <f t="shared" si="56"/>
        <v>0</v>
      </c>
      <c r="GF14" s="3887"/>
      <c r="GG14" s="3887"/>
      <c r="GH14" s="3888">
        <f t="shared" si="57"/>
        <v>0</v>
      </c>
      <c r="GI14" s="3887"/>
      <c r="GJ14" s="3887"/>
      <c r="GK14" s="3888">
        <f t="shared" si="58"/>
        <v>0</v>
      </c>
      <c r="GL14" s="3888">
        <f t="shared" si="58"/>
        <v>0</v>
      </c>
      <c r="GM14" s="3887"/>
      <c r="GN14" s="3887"/>
      <c r="GO14" s="3888">
        <f t="shared" si="59"/>
        <v>0</v>
      </c>
      <c r="GP14" s="3890"/>
      <c r="GQ14" s="3890"/>
      <c r="GR14" s="3888">
        <f t="shared" si="60"/>
        <v>0</v>
      </c>
      <c r="GS14" s="3888">
        <f t="shared" si="60"/>
        <v>0</v>
      </c>
      <c r="GT14" s="3890"/>
      <c r="GU14" s="3890"/>
      <c r="GV14" s="3888">
        <f t="shared" si="61"/>
        <v>0</v>
      </c>
      <c r="GW14" s="3890"/>
      <c r="GX14" s="3890"/>
      <c r="GY14" s="3888">
        <f t="shared" si="62"/>
        <v>0</v>
      </c>
      <c r="GZ14" s="3888">
        <f t="shared" si="62"/>
        <v>0</v>
      </c>
      <c r="HA14" s="3890"/>
      <c r="HB14" s="3890"/>
      <c r="HC14" s="3888">
        <f t="shared" si="63"/>
        <v>0</v>
      </c>
      <c r="HD14" s="3890"/>
      <c r="HE14" s="3890"/>
      <c r="HF14" s="3888">
        <f t="shared" si="64"/>
        <v>0</v>
      </c>
      <c r="HG14" s="3888">
        <f t="shared" si="64"/>
        <v>0</v>
      </c>
      <c r="HH14" s="3890"/>
      <c r="HI14" s="3890"/>
      <c r="HJ14" s="3888">
        <f t="shared" si="65"/>
        <v>0</v>
      </c>
      <c r="HK14" s="3890"/>
      <c r="HL14" s="3890"/>
      <c r="HM14" s="3888">
        <f t="shared" si="66"/>
        <v>0</v>
      </c>
      <c r="HN14" s="3888">
        <f t="shared" si="66"/>
        <v>0</v>
      </c>
      <c r="HO14" s="3890"/>
      <c r="HP14" s="3890"/>
      <c r="HQ14" s="3888">
        <f t="shared" si="67"/>
        <v>0</v>
      </c>
      <c r="HR14" s="3890"/>
      <c r="HS14" s="3890"/>
      <c r="HT14" s="3888">
        <f t="shared" si="68"/>
        <v>0</v>
      </c>
      <c r="HU14" s="3888">
        <f t="shared" si="68"/>
        <v>0</v>
      </c>
      <c r="HV14" s="3892">
        <f t="shared" si="69"/>
        <v>0</v>
      </c>
      <c r="HW14" s="3892">
        <f t="shared" si="69"/>
        <v>0</v>
      </c>
      <c r="HX14" s="3892">
        <f t="shared" si="70"/>
        <v>0</v>
      </c>
      <c r="HY14" s="3892">
        <f t="shared" si="69"/>
        <v>0</v>
      </c>
      <c r="HZ14" s="3892">
        <f t="shared" si="69"/>
        <v>0</v>
      </c>
      <c r="IA14" s="3892">
        <f t="shared" si="69"/>
        <v>0</v>
      </c>
      <c r="IB14" s="3892">
        <f t="shared" si="69"/>
        <v>0</v>
      </c>
      <c r="IC14" s="3893">
        <f t="shared" si="71"/>
        <v>0</v>
      </c>
      <c r="ID14" s="3893">
        <f t="shared" si="71"/>
        <v>0</v>
      </c>
      <c r="IE14" s="3894">
        <f t="shared" si="72"/>
        <v>0</v>
      </c>
      <c r="IF14" s="3893">
        <f t="shared" si="71"/>
        <v>0</v>
      </c>
      <c r="IG14" s="3893">
        <f t="shared" si="71"/>
        <v>0</v>
      </c>
      <c r="IH14" s="3893">
        <f t="shared" si="71"/>
        <v>0</v>
      </c>
      <c r="II14" s="3893">
        <f t="shared" si="71"/>
        <v>0</v>
      </c>
    </row>
    <row r="15" spans="1:243" ht="20.100000000000001" customHeight="1">
      <c r="A15" s="3801" t="s">
        <v>3542</v>
      </c>
      <c r="B15" s="3885">
        <v>9</v>
      </c>
      <c r="C15" s="3895" t="s">
        <v>3515</v>
      </c>
      <c r="D15" s="3880" t="s">
        <v>3516</v>
      </c>
      <c r="E15" s="3881">
        <v>30.6</v>
      </c>
      <c r="F15" s="3898">
        <v>38.25</v>
      </c>
      <c r="G15" s="3878">
        <v>6</v>
      </c>
      <c r="H15" s="3878" t="s">
        <v>3517</v>
      </c>
      <c r="I15" s="3896">
        <v>44896</v>
      </c>
      <c r="J15" s="3896">
        <v>47117</v>
      </c>
      <c r="K15" s="3884">
        <f t="shared" si="8"/>
        <v>6</v>
      </c>
      <c r="L15" s="3885">
        <v>6980.6</v>
      </c>
      <c r="M15" s="3881">
        <v>76786.880000000005</v>
      </c>
      <c r="N15" s="3885">
        <v>6980.6</v>
      </c>
      <c r="O15" s="3886">
        <v>76786.880000000005</v>
      </c>
      <c r="P15" s="3885">
        <v>7329.6</v>
      </c>
      <c r="Q15" s="3886">
        <v>80626.210000000006</v>
      </c>
      <c r="R15" s="3885">
        <v>7329.6</v>
      </c>
      <c r="S15" s="3885">
        <v>87955.88</v>
      </c>
      <c r="T15" s="3885">
        <v>7701.9</v>
      </c>
      <c r="U15" s="3885">
        <v>92423.48</v>
      </c>
      <c r="V15" s="3885">
        <v>7701.9</v>
      </c>
      <c r="W15" s="3805">
        <v>92423.48</v>
      </c>
      <c r="X15" s="3866">
        <f>M15+O15+Q15+S15+U15+W15</f>
        <v>507002.81</v>
      </c>
      <c r="Y15" s="3866">
        <f t="shared" si="9"/>
        <v>76786.880000000005</v>
      </c>
      <c r="Z15" s="3866">
        <f t="shared" si="10"/>
        <v>430215.93</v>
      </c>
      <c r="AA15" s="3887"/>
      <c r="AB15" s="3887"/>
      <c r="AC15" s="3888">
        <f t="shared" si="11"/>
        <v>0</v>
      </c>
      <c r="AD15" s="3887"/>
      <c r="AE15" s="3887"/>
      <c r="AF15" s="3888">
        <f t="shared" si="12"/>
        <v>0</v>
      </c>
      <c r="AG15" s="3888">
        <f t="shared" si="12"/>
        <v>0</v>
      </c>
      <c r="AH15" s="3887"/>
      <c r="AI15" s="3887"/>
      <c r="AJ15" s="3888">
        <f t="shared" si="13"/>
        <v>0</v>
      </c>
      <c r="AK15" s="3887"/>
      <c r="AL15" s="3887"/>
      <c r="AM15" s="3888">
        <f t="shared" si="14"/>
        <v>0</v>
      </c>
      <c r="AN15" s="3888">
        <f t="shared" si="14"/>
        <v>0</v>
      </c>
      <c r="AO15" s="3887">
        <v>76786.880000000005</v>
      </c>
      <c r="AP15" s="3887">
        <v>6980.6</v>
      </c>
      <c r="AQ15" s="3888">
        <f t="shared" si="15"/>
        <v>69806.28</v>
      </c>
      <c r="AR15" s="3887">
        <v>76786.880000000005</v>
      </c>
      <c r="AS15" s="3887">
        <v>6980.6</v>
      </c>
      <c r="AT15" s="3888">
        <f t="shared" si="16"/>
        <v>0</v>
      </c>
      <c r="AU15" s="3888">
        <f t="shared" si="16"/>
        <v>0</v>
      </c>
      <c r="AV15" s="3889">
        <f t="shared" si="17"/>
        <v>76786.880000000005</v>
      </c>
      <c r="AW15" s="3889">
        <f t="shared" si="17"/>
        <v>6980.6</v>
      </c>
      <c r="AX15" s="3889">
        <f t="shared" si="18"/>
        <v>69806.28</v>
      </c>
      <c r="AY15" s="3889">
        <f t="shared" si="17"/>
        <v>76786.880000000005</v>
      </c>
      <c r="AZ15" s="3889">
        <f t="shared" si="17"/>
        <v>6980.6</v>
      </c>
      <c r="BA15" s="3889">
        <f t="shared" si="17"/>
        <v>0</v>
      </c>
      <c r="BB15" s="3889">
        <f t="shared" si="17"/>
        <v>0</v>
      </c>
      <c r="BC15" s="3887"/>
      <c r="BD15" s="3887"/>
      <c r="BE15" s="3888">
        <f t="shared" si="19"/>
        <v>0</v>
      </c>
      <c r="BF15" s="3887"/>
      <c r="BG15" s="3887"/>
      <c r="BH15" s="3888">
        <f t="shared" si="20"/>
        <v>0</v>
      </c>
      <c r="BI15" s="3888">
        <f t="shared" si="20"/>
        <v>0</v>
      </c>
      <c r="BJ15" s="3887"/>
      <c r="BK15" s="3887"/>
      <c r="BL15" s="3888">
        <f t="shared" si="21"/>
        <v>0</v>
      </c>
      <c r="BM15" s="3887"/>
      <c r="BN15" s="3887"/>
      <c r="BO15" s="3888">
        <f t="shared" si="22"/>
        <v>0</v>
      </c>
      <c r="BP15" s="3888">
        <f t="shared" si="22"/>
        <v>0</v>
      </c>
      <c r="BQ15" s="3887"/>
      <c r="BR15" s="3887"/>
      <c r="BS15" s="3888">
        <f t="shared" si="23"/>
        <v>0</v>
      </c>
      <c r="BT15" s="3887"/>
      <c r="BU15" s="3887"/>
      <c r="BV15" s="3888">
        <f t="shared" si="24"/>
        <v>0</v>
      </c>
      <c r="BW15" s="3888">
        <f t="shared" si="24"/>
        <v>0</v>
      </c>
      <c r="BX15" s="3887"/>
      <c r="BY15" s="3887"/>
      <c r="BZ15" s="3888">
        <f t="shared" si="25"/>
        <v>0</v>
      </c>
      <c r="CA15" s="3887"/>
      <c r="CB15" s="3887"/>
      <c r="CC15" s="3888">
        <f t="shared" si="26"/>
        <v>0</v>
      </c>
      <c r="CD15" s="3888">
        <f t="shared" si="26"/>
        <v>0</v>
      </c>
      <c r="CE15" s="3887"/>
      <c r="CF15" s="3887"/>
      <c r="CG15" s="3888">
        <f t="shared" si="27"/>
        <v>0</v>
      </c>
      <c r="CH15" s="3887"/>
      <c r="CI15" s="3887"/>
      <c r="CJ15" s="3888">
        <f t="shared" si="28"/>
        <v>0</v>
      </c>
      <c r="CK15" s="3888">
        <f t="shared" si="28"/>
        <v>0</v>
      </c>
      <c r="CL15" s="3887"/>
      <c r="CM15" s="3887"/>
      <c r="CN15" s="3888">
        <f t="shared" si="29"/>
        <v>0</v>
      </c>
      <c r="CO15" s="3887"/>
      <c r="CP15" s="3887"/>
      <c r="CQ15" s="3888">
        <f t="shared" si="30"/>
        <v>0</v>
      </c>
      <c r="CR15" s="3888">
        <f t="shared" si="30"/>
        <v>0</v>
      </c>
      <c r="CS15" s="3887"/>
      <c r="CT15" s="3887"/>
      <c r="CU15" s="3888">
        <f t="shared" si="31"/>
        <v>0</v>
      </c>
      <c r="CV15" s="3887"/>
      <c r="CW15" s="3887"/>
      <c r="CX15" s="3888">
        <f t="shared" si="32"/>
        <v>0</v>
      </c>
      <c r="CY15" s="3888">
        <f t="shared" si="32"/>
        <v>0</v>
      </c>
      <c r="CZ15" s="3887"/>
      <c r="DA15" s="3887"/>
      <c r="DB15" s="3888">
        <f t="shared" si="33"/>
        <v>0</v>
      </c>
      <c r="DC15" s="3890"/>
      <c r="DD15" s="3890"/>
      <c r="DE15" s="3888">
        <f t="shared" si="34"/>
        <v>0</v>
      </c>
      <c r="DF15" s="3888">
        <f t="shared" si="34"/>
        <v>0</v>
      </c>
      <c r="DG15" s="3890"/>
      <c r="DH15" s="3890"/>
      <c r="DI15" s="3888">
        <f t="shared" si="35"/>
        <v>0</v>
      </c>
      <c r="DJ15" s="3890"/>
      <c r="DK15" s="3890"/>
      <c r="DL15" s="3888">
        <f t="shared" si="36"/>
        <v>0</v>
      </c>
      <c r="DM15" s="3888">
        <f t="shared" si="36"/>
        <v>0</v>
      </c>
      <c r="DN15" s="3890"/>
      <c r="DO15" s="3890"/>
      <c r="DP15" s="3888">
        <f t="shared" si="37"/>
        <v>0</v>
      </c>
      <c r="DQ15" s="3890"/>
      <c r="DR15" s="3890"/>
      <c r="DS15" s="3888">
        <f t="shared" si="38"/>
        <v>0</v>
      </c>
      <c r="DT15" s="3888">
        <f t="shared" si="38"/>
        <v>0</v>
      </c>
      <c r="DU15" s="3890"/>
      <c r="DV15" s="3890"/>
      <c r="DW15" s="3888">
        <f t="shared" si="39"/>
        <v>0</v>
      </c>
      <c r="DX15" s="3890"/>
      <c r="DY15" s="3890"/>
      <c r="DZ15" s="3888">
        <f t="shared" si="40"/>
        <v>0</v>
      </c>
      <c r="EA15" s="3888">
        <f t="shared" si="40"/>
        <v>0</v>
      </c>
      <c r="EB15" s="3890"/>
      <c r="EC15" s="3890"/>
      <c r="ED15" s="3888">
        <f t="shared" si="41"/>
        <v>0</v>
      </c>
      <c r="EE15" s="3890"/>
      <c r="EF15" s="3890"/>
      <c r="EG15" s="3888">
        <f t="shared" si="42"/>
        <v>0</v>
      </c>
      <c r="EH15" s="3888">
        <f t="shared" si="42"/>
        <v>0</v>
      </c>
      <c r="EI15" s="3891">
        <f t="shared" si="43"/>
        <v>0</v>
      </c>
      <c r="EJ15" s="3891">
        <f t="shared" si="43"/>
        <v>0</v>
      </c>
      <c r="EK15" s="3868">
        <f t="shared" si="44"/>
        <v>0</v>
      </c>
      <c r="EL15" s="3891">
        <f t="shared" si="43"/>
        <v>0</v>
      </c>
      <c r="EM15" s="3891">
        <f t="shared" si="43"/>
        <v>0</v>
      </c>
      <c r="EN15" s="3891">
        <f t="shared" si="43"/>
        <v>0</v>
      </c>
      <c r="EO15" s="3891">
        <f t="shared" si="43"/>
        <v>0</v>
      </c>
      <c r="EP15" s="3887"/>
      <c r="EQ15" s="3887"/>
      <c r="ER15" s="3888">
        <f t="shared" si="45"/>
        <v>0</v>
      </c>
      <c r="ES15" s="3887"/>
      <c r="ET15" s="3887"/>
      <c r="EU15" s="3888">
        <f t="shared" si="46"/>
        <v>0</v>
      </c>
      <c r="EV15" s="3888">
        <f t="shared" si="46"/>
        <v>0</v>
      </c>
      <c r="EW15" s="3887"/>
      <c r="EX15" s="3887"/>
      <c r="EY15" s="3888">
        <f t="shared" si="47"/>
        <v>0</v>
      </c>
      <c r="EZ15" s="3887"/>
      <c r="FA15" s="3887"/>
      <c r="FB15" s="3888">
        <f t="shared" si="48"/>
        <v>0</v>
      </c>
      <c r="FC15" s="3888">
        <f t="shared" si="48"/>
        <v>0</v>
      </c>
      <c r="FD15" s="3887"/>
      <c r="FE15" s="3887"/>
      <c r="FF15" s="3888">
        <f t="shared" si="49"/>
        <v>0</v>
      </c>
      <c r="FG15" s="3887"/>
      <c r="FH15" s="3887"/>
      <c r="FI15" s="3888">
        <f t="shared" si="50"/>
        <v>0</v>
      </c>
      <c r="FJ15" s="3888">
        <f t="shared" si="50"/>
        <v>0</v>
      </c>
      <c r="FK15" s="3887"/>
      <c r="FL15" s="3887"/>
      <c r="FM15" s="3888">
        <f t="shared" si="51"/>
        <v>0</v>
      </c>
      <c r="FN15" s="3887"/>
      <c r="FO15" s="3887"/>
      <c r="FP15" s="3888">
        <f t="shared" si="52"/>
        <v>0</v>
      </c>
      <c r="FQ15" s="3888">
        <f t="shared" si="52"/>
        <v>0</v>
      </c>
      <c r="FR15" s="3887"/>
      <c r="FS15" s="3887"/>
      <c r="FT15" s="3888">
        <f t="shared" si="53"/>
        <v>0</v>
      </c>
      <c r="FU15" s="3887"/>
      <c r="FV15" s="3887"/>
      <c r="FW15" s="3888">
        <f t="shared" si="54"/>
        <v>0</v>
      </c>
      <c r="FX15" s="3888">
        <f t="shared" si="54"/>
        <v>0</v>
      </c>
      <c r="FY15" s="3887"/>
      <c r="FZ15" s="3887"/>
      <c r="GA15" s="3888">
        <f t="shared" si="55"/>
        <v>0</v>
      </c>
      <c r="GB15" s="3887"/>
      <c r="GC15" s="3887"/>
      <c r="GD15" s="3888">
        <f t="shared" si="56"/>
        <v>0</v>
      </c>
      <c r="GE15" s="3888">
        <f t="shared" si="56"/>
        <v>0</v>
      </c>
      <c r="GF15" s="3887"/>
      <c r="GG15" s="3887"/>
      <c r="GH15" s="3888">
        <f t="shared" si="57"/>
        <v>0</v>
      </c>
      <c r="GI15" s="3887"/>
      <c r="GJ15" s="3887"/>
      <c r="GK15" s="3888">
        <f t="shared" si="58"/>
        <v>0</v>
      </c>
      <c r="GL15" s="3888">
        <f t="shared" si="58"/>
        <v>0</v>
      </c>
      <c r="GM15" s="3887"/>
      <c r="GN15" s="3887"/>
      <c r="GO15" s="3888">
        <f t="shared" si="59"/>
        <v>0</v>
      </c>
      <c r="GP15" s="3890"/>
      <c r="GQ15" s="3890"/>
      <c r="GR15" s="3888">
        <f t="shared" si="60"/>
        <v>0</v>
      </c>
      <c r="GS15" s="3888">
        <f t="shared" si="60"/>
        <v>0</v>
      </c>
      <c r="GT15" s="3890"/>
      <c r="GU15" s="3890"/>
      <c r="GV15" s="3888">
        <f t="shared" si="61"/>
        <v>0</v>
      </c>
      <c r="GW15" s="3890"/>
      <c r="GX15" s="3890"/>
      <c r="GY15" s="3888">
        <f t="shared" si="62"/>
        <v>0</v>
      </c>
      <c r="GZ15" s="3888">
        <f t="shared" si="62"/>
        <v>0</v>
      </c>
      <c r="HA15" s="3890"/>
      <c r="HB15" s="3890"/>
      <c r="HC15" s="3888">
        <f t="shared" si="63"/>
        <v>0</v>
      </c>
      <c r="HD15" s="3890"/>
      <c r="HE15" s="3890"/>
      <c r="HF15" s="3888">
        <f t="shared" si="64"/>
        <v>0</v>
      </c>
      <c r="HG15" s="3888">
        <f t="shared" si="64"/>
        <v>0</v>
      </c>
      <c r="HH15" s="3890"/>
      <c r="HI15" s="3890"/>
      <c r="HJ15" s="3888">
        <f t="shared" si="65"/>
        <v>0</v>
      </c>
      <c r="HK15" s="3890"/>
      <c r="HL15" s="3890"/>
      <c r="HM15" s="3888">
        <f t="shared" si="66"/>
        <v>0</v>
      </c>
      <c r="HN15" s="3888">
        <f t="shared" si="66"/>
        <v>0</v>
      </c>
      <c r="HO15" s="3890"/>
      <c r="HP15" s="3890"/>
      <c r="HQ15" s="3888">
        <f t="shared" si="67"/>
        <v>0</v>
      </c>
      <c r="HR15" s="3890"/>
      <c r="HS15" s="3890"/>
      <c r="HT15" s="3888">
        <f t="shared" si="68"/>
        <v>0</v>
      </c>
      <c r="HU15" s="3888">
        <f t="shared" si="68"/>
        <v>0</v>
      </c>
      <c r="HV15" s="3892">
        <f t="shared" si="69"/>
        <v>0</v>
      </c>
      <c r="HW15" s="3892">
        <f t="shared" si="69"/>
        <v>0</v>
      </c>
      <c r="HX15" s="3892">
        <f t="shared" si="70"/>
        <v>0</v>
      </c>
      <c r="HY15" s="3892">
        <f t="shared" si="69"/>
        <v>0</v>
      </c>
      <c r="HZ15" s="3892">
        <f t="shared" si="69"/>
        <v>0</v>
      </c>
      <c r="IA15" s="3892">
        <f t="shared" si="69"/>
        <v>0</v>
      </c>
      <c r="IB15" s="3892">
        <f t="shared" si="69"/>
        <v>0</v>
      </c>
      <c r="IC15" s="3893">
        <f t="shared" si="71"/>
        <v>76786.880000000005</v>
      </c>
      <c r="ID15" s="3893">
        <f t="shared" si="71"/>
        <v>6980.6</v>
      </c>
      <c r="IE15" s="3894">
        <f t="shared" si="72"/>
        <v>69806.28</v>
      </c>
      <c r="IF15" s="3893">
        <f t="shared" si="71"/>
        <v>76786.880000000005</v>
      </c>
      <c r="IG15" s="3893">
        <f t="shared" si="71"/>
        <v>6980.6</v>
      </c>
      <c r="IH15" s="3893">
        <f t="shared" si="71"/>
        <v>0</v>
      </c>
      <c r="II15" s="3893">
        <f t="shared" si="71"/>
        <v>0</v>
      </c>
    </row>
    <row r="16" spans="1:243" ht="21.95" customHeight="1">
      <c r="A16" s="3801" t="s">
        <v>3542</v>
      </c>
      <c r="B16" s="3878">
        <v>10</v>
      </c>
      <c r="C16" s="3895" t="s">
        <v>3518</v>
      </c>
      <c r="D16" s="3880" t="s">
        <v>3519</v>
      </c>
      <c r="E16" s="3881">
        <v>30.6</v>
      </c>
      <c r="F16" s="3898">
        <v>38.25</v>
      </c>
      <c r="G16" s="3878">
        <v>4.7300000000000004</v>
      </c>
      <c r="H16" s="3878" t="s">
        <v>3520</v>
      </c>
      <c r="I16" s="3896">
        <v>45047</v>
      </c>
      <c r="J16" s="3896">
        <v>47238</v>
      </c>
      <c r="K16" s="3884">
        <f t="shared" si="8"/>
        <v>6</v>
      </c>
      <c r="L16" s="3885">
        <f t="shared" ref="L16:P16" si="73">M16/11</f>
        <v>5507.0002840909092</v>
      </c>
      <c r="M16" s="3881">
        <v>60577.003125000003</v>
      </c>
      <c r="N16" s="3885">
        <f t="shared" si="73"/>
        <v>5507.0002840909092</v>
      </c>
      <c r="O16" s="3886">
        <v>60577.003125000003</v>
      </c>
      <c r="P16" s="3885">
        <f t="shared" si="73"/>
        <v>5672.2102926136367</v>
      </c>
      <c r="Q16" s="3886">
        <v>62394.313218750001</v>
      </c>
      <c r="R16" s="3885">
        <f t="shared" ref="R16:V16" si="74">S16/12</f>
        <v>5835.1099638281257</v>
      </c>
      <c r="S16" s="3885">
        <v>70021.319565937505</v>
      </c>
      <c r="T16" s="3885">
        <f t="shared" si="74"/>
        <v>6010.1632627429672</v>
      </c>
      <c r="U16" s="3885">
        <v>72121.959152915602</v>
      </c>
      <c r="V16" s="3885">
        <f t="shared" si="74"/>
        <v>6190.4681606252589</v>
      </c>
      <c r="W16" s="3886">
        <v>74285.617927503103</v>
      </c>
      <c r="X16" s="3866">
        <f>M16+O16+Q16+S16+U16+W16</f>
        <v>399977.21611510625</v>
      </c>
      <c r="Y16" s="3866">
        <f t="shared" si="9"/>
        <v>22000.45</v>
      </c>
      <c r="Z16" s="3866">
        <f t="shared" si="10"/>
        <v>377976.76611510623</v>
      </c>
      <c r="AA16" s="3887"/>
      <c r="AB16" s="3887"/>
      <c r="AC16" s="3888">
        <f t="shared" si="11"/>
        <v>0</v>
      </c>
      <c r="AD16" s="3887"/>
      <c r="AE16" s="3887"/>
      <c r="AF16" s="3888">
        <f t="shared" si="12"/>
        <v>0</v>
      </c>
      <c r="AG16" s="3888">
        <f t="shared" si="12"/>
        <v>0</v>
      </c>
      <c r="AH16" s="3887"/>
      <c r="AI16" s="3887"/>
      <c r="AJ16" s="3888">
        <f t="shared" si="13"/>
        <v>0</v>
      </c>
      <c r="AK16" s="3887"/>
      <c r="AL16" s="3887"/>
      <c r="AM16" s="3888">
        <f t="shared" si="14"/>
        <v>0</v>
      </c>
      <c r="AN16" s="3888">
        <f t="shared" si="14"/>
        <v>0</v>
      </c>
      <c r="AO16" s="3887">
        <v>16500.45</v>
      </c>
      <c r="AP16" s="3887"/>
      <c r="AQ16" s="3888">
        <f t="shared" si="15"/>
        <v>16500.45</v>
      </c>
      <c r="AR16" s="3887"/>
      <c r="AS16" s="3887"/>
      <c r="AT16" s="3888">
        <f t="shared" si="16"/>
        <v>16500.45</v>
      </c>
      <c r="AU16" s="3888">
        <f t="shared" si="16"/>
        <v>0</v>
      </c>
      <c r="AV16" s="3889">
        <f t="shared" si="17"/>
        <v>16500.45</v>
      </c>
      <c r="AW16" s="3889">
        <f t="shared" si="17"/>
        <v>0</v>
      </c>
      <c r="AX16" s="3889">
        <f t="shared" si="18"/>
        <v>16500.45</v>
      </c>
      <c r="AY16" s="3889">
        <f t="shared" si="17"/>
        <v>0</v>
      </c>
      <c r="AZ16" s="3889">
        <f t="shared" si="17"/>
        <v>0</v>
      </c>
      <c r="BA16" s="3889">
        <f t="shared" si="17"/>
        <v>16500.45</v>
      </c>
      <c r="BB16" s="3889">
        <f t="shared" si="17"/>
        <v>0</v>
      </c>
      <c r="BC16" s="3887"/>
      <c r="BD16" s="3887"/>
      <c r="BE16" s="3888">
        <f t="shared" si="19"/>
        <v>0</v>
      </c>
      <c r="BF16" s="3887"/>
      <c r="BG16" s="3887"/>
      <c r="BH16" s="3888">
        <f t="shared" si="20"/>
        <v>0</v>
      </c>
      <c r="BI16" s="3888">
        <f t="shared" si="20"/>
        <v>0</v>
      </c>
      <c r="BJ16" s="3887"/>
      <c r="BK16" s="3887"/>
      <c r="BL16" s="3888">
        <f t="shared" si="21"/>
        <v>0</v>
      </c>
      <c r="BM16" s="3887"/>
      <c r="BN16" s="3887"/>
      <c r="BO16" s="3888">
        <f t="shared" si="22"/>
        <v>0</v>
      </c>
      <c r="BP16" s="3888">
        <f t="shared" si="22"/>
        <v>0</v>
      </c>
      <c r="BQ16" s="3887"/>
      <c r="BR16" s="3887"/>
      <c r="BS16" s="3888">
        <f t="shared" si="23"/>
        <v>0</v>
      </c>
      <c r="BT16" s="3887"/>
      <c r="BU16" s="3887"/>
      <c r="BV16" s="3888">
        <f t="shared" si="24"/>
        <v>0</v>
      </c>
      <c r="BW16" s="3888">
        <f t="shared" si="24"/>
        <v>0</v>
      </c>
      <c r="BX16" s="3887">
        <v>22000.45</v>
      </c>
      <c r="BY16" s="3887"/>
      <c r="BZ16" s="3888">
        <f t="shared" si="25"/>
        <v>22000.45</v>
      </c>
      <c r="CA16" s="3887">
        <v>22000.45</v>
      </c>
      <c r="CB16" s="3887"/>
      <c r="CC16" s="3888">
        <f t="shared" si="26"/>
        <v>0</v>
      </c>
      <c r="CD16" s="3888">
        <f t="shared" si="26"/>
        <v>0</v>
      </c>
      <c r="CE16" s="3887"/>
      <c r="CF16" s="3887"/>
      <c r="CG16" s="3888">
        <f t="shared" si="27"/>
        <v>0</v>
      </c>
      <c r="CH16" s="3887"/>
      <c r="CI16" s="3887"/>
      <c r="CJ16" s="3888">
        <f t="shared" si="28"/>
        <v>0</v>
      </c>
      <c r="CK16" s="3888">
        <f t="shared" si="28"/>
        <v>0</v>
      </c>
      <c r="CL16" s="3887"/>
      <c r="CM16" s="3887"/>
      <c r="CN16" s="3888">
        <f t="shared" si="29"/>
        <v>0</v>
      </c>
      <c r="CO16" s="3887"/>
      <c r="CP16" s="3887"/>
      <c r="CQ16" s="3888">
        <f t="shared" si="30"/>
        <v>0</v>
      </c>
      <c r="CR16" s="3888">
        <f t="shared" si="30"/>
        <v>0</v>
      </c>
      <c r="CS16" s="3887"/>
      <c r="CT16" s="3887"/>
      <c r="CU16" s="3888">
        <f t="shared" si="31"/>
        <v>0</v>
      </c>
      <c r="CV16" s="3887"/>
      <c r="CW16" s="3887"/>
      <c r="CX16" s="3888">
        <f t="shared" si="32"/>
        <v>0</v>
      </c>
      <c r="CY16" s="3888">
        <f t="shared" si="32"/>
        <v>0</v>
      </c>
      <c r="CZ16" s="3887"/>
      <c r="DA16" s="3887"/>
      <c r="DB16" s="3888">
        <f t="shared" si="33"/>
        <v>0</v>
      </c>
      <c r="DC16" s="3890"/>
      <c r="DD16" s="3890"/>
      <c r="DE16" s="3888">
        <f t="shared" si="34"/>
        <v>0</v>
      </c>
      <c r="DF16" s="3888">
        <f t="shared" si="34"/>
        <v>0</v>
      </c>
      <c r="DG16" s="3890"/>
      <c r="DH16" s="3890"/>
      <c r="DI16" s="3888">
        <f t="shared" si="35"/>
        <v>0</v>
      </c>
      <c r="DJ16" s="3890"/>
      <c r="DK16" s="3890"/>
      <c r="DL16" s="3888">
        <f t="shared" si="36"/>
        <v>0</v>
      </c>
      <c r="DM16" s="3888">
        <f t="shared" si="36"/>
        <v>0</v>
      </c>
      <c r="DN16" s="3890"/>
      <c r="DO16" s="3890"/>
      <c r="DP16" s="3888">
        <f t="shared" si="37"/>
        <v>0</v>
      </c>
      <c r="DQ16" s="3890"/>
      <c r="DR16" s="3890"/>
      <c r="DS16" s="3888">
        <f t="shared" si="38"/>
        <v>0</v>
      </c>
      <c r="DT16" s="3888">
        <f t="shared" si="38"/>
        <v>0</v>
      </c>
      <c r="DU16" s="3890"/>
      <c r="DV16" s="3890"/>
      <c r="DW16" s="3888">
        <f t="shared" si="39"/>
        <v>0</v>
      </c>
      <c r="DX16" s="3890"/>
      <c r="DY16" s="3890"/>
      <c r="DZ16" s="3888">
        <f t="shared" si="40"/>
        <v>0</v>
      </c>
      <c r="EA16" s="3888">
        <f t="shared" si="40"/>
        <v>0</v>
      </c>
      <c r="EB16" s="3890"/>
      <c r="EC16" s="3890"/>
      <c r="ED16" s="3888">
        <f t="shared" si="41"/>
        <v>0</v>
      </c>
      <c r="EE16" s="3890"/>
      <c r="EF16" s="3890"/>
      <c r="EG16" s="3888">
        <f t="shared" si="42"/>
        <v>0</v>
      </c>
      <c r="EH16" s="3888">
        <f t="shared" si="42"/>
        <v>0</v>
      </c>
      <c r="EI16" s="3891">
        <f t="shared" si="43"/>
        <v>22000.45</v>
      </c>
      <c r="EJ16" s="3891">
        <f t="shared" si="43"/>
        <v>0</v>
      </c>
      <c r="EK16" s="3868">
        <f t="shared" si="44"/>
        <v>22000.45</v>
      </c>
      <c r="EL16" s="3891">
        <f t="shared" si="43"/>
        <v>22000.45</v>
      </c>
      <c r="EM16" s="3891">
        <f t="shared" si="43"/>
        <v>0</v>
      </c>
      <c r="EN16" s="3891">
        <f t="shared" si="43"/>
        <v>0</v>
      </c>
      <c r="EO16" s="3891">
        <f t="shared" si="43"/>
        <v>0</v>
      </c>
      <c r="EP16" s="3887"/>
      <c r="EQ16" s="3887"/>
      <c r="ER16" s="3888">
        <f t="shared" si="45"/>
        <v>0</v>
      </c>
      <c r="ES16" s="3887"/>
      <c r="ET16" s="3887"/>
      <c r="EU16" s="3888">
        <f t="shared" si="46"/>
        <v>0</v>
      </c>
      <c r="EV16" s="3888">
        <f t="shared" si="46"/>
        <v>0</v>
      </c>
      <c r="EW16" s="3887"/>
      <c r="EX16" s="3887"/>
      <c r="EY16" s="3888">
        <f t="shared" si="47"/>
        <v>0</v>
      </c>
      <c r="EZ16" s="3887"/>
      <c r="FA16" s="3887"/>
      <c r="FB16" s="3888">
        <f t="shared" si="48"/>
        <v>0</v>
      </c>
      <c r="FC16" s="3888">
        <f t="shared" si="48"/>
        <v>0</v>
      </c>
      <c r="FD16" s="3887"/>
      <c r="FE16" s="3887"/>
      <c r="FF16" s="3888">
        <f t="shared" si="49"/>
        <v>0</v>
      </c>
      <c r="FG16" s="3887"/>
      <c r="FH16" s="3887"/>
      <c r="FI16" s="3888">
        <f t="shared" si="50"/>
        <v>0</v>
      </c>
      <c r="FJ16" s="3888">
        <f t="shared" si="50"/>
        <v>0</v>
      </c>
      <c r="FK16" s="3887"/>
      <c r="FL16" s="3887"/>
      <c r="FM16" s="3888">
        <f t="shared" si="51"/>
        <v>0</v>
      </c>
      <c r="FN16" s="3887"/>
      <c r="FO16" s="3887"/>
      <c r="FP16" s="3888">
        <f t="shared" si="52"/>
        <v>0</v>
      </c>
      <c r="FQ16" s="3888">
        <f t="shared" si="52"/>
        <v>0</v>
      </c>
      <c r="FR16" s="3887"/>
      <c r="FS16" s="3887"/>
      <c r="FT16" s="3888">
        <f t="shared" si="53"/>
        <v>0</v>
      </c>
      <c r="FU16" s="3887"/>
      <c r="FV16" s="3887"/>
      <c r="FW16" s="3888">
        <f t="shared" si="54"/>
        <v>0</v>
      </c>
      <c r="FX16" s="3888">
        <f t="shared" si="54"/>
        <v>0</v>
      </c>
      <c r="FY16" s="3887"/>
      <c r="FZ16" s="3887"/>
      <c r="GA16" s="3888">
        <f t="shared" si="55"/>
        <v>0</v>
      </c>
      <c r="GB16" s="3887"/>
      <c r="GC16" s="3887"/>
      <c r="GD16" s="3888">
        <f t="shared" si="56"/>
        <v>0</v>
      </c>
      <c r="GE16" s="3888">
        <f t="shared" si="56"/>
        <v>0</v>
      </c>
      <c r="GF16" s="3887"/>
      <c r="GG16" s="3887"/>
      <c r="GH16" s="3888">
        <f t="shared" si="57"/>
        <v>0</v>
      </c>
      <c r="GI16" s="3887"/>
      <c r="GJ16" s="3887"/>
      <c r="GK16" s="3888">
        <f t="shared" si="58"/>
        <v>0</v>
      </c>
      <c r="GL16" s="3888">
        <f t="shared" si="58"/>
        <v>0</v>
      </c>
      <c r="GM16" s="3887"/>
      <c r="GN16" s="3887"/>
      <c r="GO16" s="3888">
        <f t="shared" si="59"/>
        <v>0</v>
      </c>
      <c r="GP16" s="3890"/>
      <c r="GQ16" s="3890"/>
      <c r="GR16" s="3888">
        <f t="shared" si="60"/>
        <v>0</v>
      </c>
      <c r="GS16" s="3888">
        <f t="shared" si="60"/>
        <v>0</v>
      </c>
      <c r="GT16" s="3890"/>
      <c r="GU16" s="3890"/>
      <c r="GV16" s="3888">
        <f t="shared" si="61"/>
        <v>0</v>
      </c>
      <c r="GW16" s="3890"/>
      <c r="GX16" s="3890"/>
      <c r="GY16" s="3888">
        <f t="shared" si="62"/>
        <v>0</v>
      </c>
      <c r="GZ16" s="3888">
        <f t="shared" si="62"/>
        <v>0</v>
      </c>
      <c r="HA16" s="3890"/>
      <c r="HB16" s="3890"/>
      <c r="HC16" s="3888">
        <f t="shared" si="63"/>
        <v>0</v>
      </c>
      <c r="HD16" s="3890"/>
      <c r="HE16" s="3890"/>
      <c r="HF16" s="3888">
        <f t="shared" si="64"/>
        <v>0</v>
      </c>
      <c r="HG16" s="3888">
        <f t="shared" si="64"/>
        <v>0</v>
      </c>
      <c r="HH16" s="3890"/>
      <c r="HI16" s="3890"/>
      <c r="HJ16" s="3888">
        <f t="shared" si="65"/>
        <v>0</v>
      </c>
      <c r="HK16" s="3890"/>
      <c r="HL16" s="3890"/>
      <c r="HM16" s="3888">
        <f t="shared" si="66"/>
        <v>0</v>
      </c>
      <c r="HN16" s="3888">
        <f t="shared" si="66"/>
        <v>0</v>
      </c>
      <c r="HO16" s="3890"/>
      <c r="HP16" s="3890"/>
      <c r="HQ16" s="3888">
        <f t="shared" si="67"/>
        <v>0</v>
      </c>
      <c r="HR16" s="3890"/>
      <c r="HS16" s="3890"/>
      <c r="HT16" s="3888">
        <f t="shared" si="68"/>
        <v>0</v>
      </c>
      <c r="HU16" s="3888">
        <f t="shared" si="68"/>
        <v>0</v>
      </c>
      <c r="HV16" s="3892">
        <f t="shared" si="69"/>
        <v>0</v>
      </c>
      <c r="HW16" s="3892">
        <f t="shared" si="69"/>
        <v>0</v>
      </c>
      <c r="HX16" s="3892">
        <f t="shared" si="70"/>
        <v>0</v>
      </c>
      <c r="HY16" s="3892">
        <f t="shared" si="69"/>
        <v>0</v>
      </c>
      <c r="HZ16" s="3892">
        <f t="shared" si="69"/>
        <v>0</v>
      </c>
      <c r="IA16" s="3892">
        <f t="shared" si="69"/>
        <v>0</v>
      </c>
      <c r="IB16" s="3892">
        <f t="shared" si="69"/>
        <v>0</v>
      </c>
      <c r="IC16" s="3893">
        <f t="shared" si="71"/>
        <v>38500.9</v>
      </c>
      <c r="ID16" s="3893">
        <f t="shared" si="71"/>
        <v>0</v>
      </c>
      <c r="IE16" s="3894">
        <f t="shared" si="72"/>
        <v>38500.9</v>
      </c>
      <c r="IF16" s="3893">
        <f t="shared" si="71"/>
        <v>22000.45</v>
      </c>
      <c r="IG16" s="3893">
        <f t="shared" si="71"/>
        <v>0</v>
      </c>
      <c r="IH16" s="3893">
        <f t="shared" si="71"/>
        <v>16500.45</v>
      </c>
      <c r="II16" s="3893">
        <f t="shared" si="71"/>
        <v>0</v>
      </c>
    </row>
    <row r="17" spans="1:243" ht="21.95" customHeight="1">
      <c r="A17" s="3801" t="s">
        <v>3542</v>
      </c>
      <c r="B17" s="3878">
        <v>11</v>
      </c>
      <c r="C17" s="3879" t="s">
        <v>3521</v>
      </c>
      <c r="D17" s="3880" t="s">
        <v>3522</v>
      </c>
      <c r="E17" s="3881">
        <v>38.799999999999997</v>
      </c>
      <c r="F17" s="3882">
        <v>48.5</v>
      </c>
      <c r="G17" s="3878"/>
      <c r="H17" s="3883"/>
      <c r="I17" s="3878"/>
      <c r="J17" s="3878"/>
      <c r="K17" s="3884">
        <f t="shared" si="8"/>
        <v>0</v>
      </c>
      <c r="L17" s="3885"/>
      <c r="M17" s="3881"/>
      <c r="N17" s="3885"/>
      <c r="O17" s="3885"/>
      <c r="P17" s="3885"/>
      <c r="Q17" s="3886"/>
      <c r="R17" s="3885"/>
      <c r="S17" s="3885"/>
      <c r="T17" s="3885"/>
      <c r="U17" s="3885"/>
      <c r="V17" s="3885"/>
      <c r="W17" s="3886"/>
      <c r="X17" s="3866">
        <f>M17+O17+Q17+S17+U17+W17</f>
        <v>0</v>
      </c>
      <c r="Y17" s="3866">
        <f t="shared" si="9"/>
        <v>0</v>
      </c>
      <c r="Z17" s="3866">
        <f t="shared" si="10"/>
        <v>0</v>
      </c>
      <c r="AA17" s="3887"/>
      <c r="AB17" s="3887"/>
      <c r="AC17" s="3888">
        <f t="shared" si="11"/>
        <v>0</v>
      </c>
      <c r="AD17" s="3887"/>
      <c r="AE17" s="3887"/>
      <c r="AF17" s="3888">
        <f t="shared" si="12"/>
        <v>0</v>
      </c>
      <c r="AG17" s="3888">
        <f t="shared" si="12"/>
        <v>0</v>
      </c>
      <c r="AH17" s="3887"/>
      <c r="AI17" s="3887"/>
      <c r="AJ17" s="3888">
        <f t="shared" si="13"/>
        <v>0</v>
      </c>
      <c r="AK17" s="3887"/>
      <c r="AL17" s="3887"/>
      <c r="AM17" s="3888">
        <f t="shared" si="14"/>
        <v>0</v>
      </c>
      <c r="AN17" s="3888">
        <f t="shared" si="14"/>
        <v>0</v>
      </c>
      <c r="AO17" s="3887"/>
      <c r="AP17" s="3887"/>
      <c r="AQ17" s="3888">
        <f t="shared" si="15"/>
        <v>0</v>
      </c>
      <c r="AR17" s="3887"/>
      <c r="AS17" s="3887"/>
      <c r="AT17" s="3888">
        <f t="shared" si="16"/>
        <v>0</v>
      </c>
      <c r="AU17" s="3888">
        <f t="shared" si="16"/>
        <v>0</v>
      </c>
      <c r="AV17" s="3889">
        <f t="shared" si="17"/>
        <v>0</v>
      </c>
      <c r="AW17" s="3889">
        <f t="shared" si="17"/>
        <v>0</v>
      </c>
      <c r="AX17" s="3889">
        <f t="shared" si="18"/>
        <v>0</v>
      </c>
      <c r="AY17" s="3889">
        <f t="shared" si="17"/>
        <v>0</v>
      </c>
      <c r="AZ17" s="3889">
        <f t="shared" si="17"/>
        <v>0</v>
      </c>
      <c r="BA17" s="3889">
        <f t="shared" si="17"/>
        <v>0</v>
      </c>
      <c r="BB17" s="3889">
        <f t="shared" si="17"/>
        <v>0</v>
      </c>
      <c r="BC17" s="3887"/>
      <c r="BD17" s="3887"/>
      <c r="BE17" s="3888">
        <f t="shared" si="19"/>
        <v>0</v>
      </c>
      <c r="BF17" s="3887"/>
      <c r="BG17" s="3887"/>
      <c r="BH17" s="3888">
        <f t="shared" si="20"/>
        <v>0</v>
      </c>
      <c r="BI17" s="3888">
        <f t="shared" si="20"/>
        <v>0</v>
      </c>
      <c r="BJ17" s="3887"/>
      <c r="BK17" s="3887"/>
      <c r="BL17" s="3888">
        <f t="shared" si="21"/>
        <v>0</v>
      </c>
      <c r="BM17" s="3887"/>
      <c r="BN17" s="3887"/>
      <c r="BO17" s="3888">
        <f t="shared" si="22"/>
        <v>0</v>
      </c>
      <c r="BP17" s="3888">
        <f t="shared" si="22"/>
        <v>0</v>
      </c>
      <c r="BQ17" s="3887"/>
      <c r="BR17" s="3887"/>
      <c r="BS17" s="3888">
        <f t="shared" si="23"/>
        <v>0</v>
      </c>
      <c r="BT17" s="3887"/>
      <c r="BU17" s="3887"/>
      <c r="BV17" s="3888">
        <f t="shared" si="24"/>
        <v>0</v>
      </c>
      <c r="BW17" s="3888">
        <f t="shared" si="24"/>
        <v>0</v>
      </c>
      <c r="BX17" s="3887"/>
      <c r="BY17" s="3887"/>
      <c r="BZ17" s="3888">
        <f t="shared" si="25"/>
        <v>0</v>
      </c>
      <c r="CA17" s="3887"/>
      <c r="CB17" s="3887"/>
      <c r="CC17" s="3888">
        <f t="shared" si="26"/>
        <v>0</v>
      </c>
      <c r="CD17" s="3888">
        <f t="shared" si="26"/>
        <v>0</v>
      </c>
      <c r="CE17" s="3887"/>
      <c r="CF17" s="3887"/>
      <c r="CG17" s="3888">
        <f t="shared" si="27"/>
        <v>0</v>
      </c>
      <c r="CH17" s="3887"/>
      <c r="CI17" s="3887"/>
      <c r="CJ17" s="3888">
        <f t="shared" si="28"/>
        <v>0</v>
      </c>
      <c r="CK17" s="3888">
        <f t="shared" si="28"/>
        <v>0</v>
      </c>
      <c r="CL17" s="3887"/>
      <c r="CM17" s="3887"/>
      <c r="CN17" s="3888">
        <f t="shared" si="29"/>
        <v>0</v>
      </c>
      <c r="CO17" s="3887"/>
      <c r="CP17" s="3887"/>
      <c r="CQ17" s="3888">
        <f t="shared" si="30"/>
        <v>0</v>
      </c>
      <c r="CR17" s="3888">
        <f t="shared" si="30"/>
        <v>0</v>
      </c>
      <c r="CS17" s="3887"/>
      <c r="CT17" s="3887"/>
      <c r="CU17" s="3888">
        <f t="shared" si="31"/>
        <v>0</v>
      </c>
      <c r="CV17" s="3887"/>
      <c r="CW17" s="3887"/>
      <c r="CX17" s="3888">
        <f t="shared" si="32"/>
        <v>0</v>
      </c>
      <c r="CY17" s="3888">
        <f t="shared" si="32"/>
        <v>0</v>
      </c>
      <c r="CZ17" s="3887"/>
      <c r="DA17" s="3887"/>
      <c r="DB17" s="3888">
        <f t="shared" si="33"/>
        <v>0</v>
      </c>
      <c r="DC17" s="3890"/>
      <c r="DD17" s="3890"/>
      <c r="DE17" s="3888">
        <f t="shared" si="34"/>
        <v>0</v>
      </c>
      <c r="DF17" s="3888">
        <f t="shared" si="34"/>
        <v>0</v>
      </c>
      <c r="DG17" s="3890"/>
      <c r="DH17" s="3890"/>
      <c r="DI17" s="3888">
        <f t="shared" si="35"/>
        <v>0</v>
      </c>
      <c r="DJ17" s="3890"/>
      <c r="DK17" s="3890"/>
      <c r="DL17" s="3888">
        <f t="shared" si="36"/>
        <v>0</v>
      </c>
      <c r="DM17" s="3888">
        <f t="shared" si="36"/>
        <v>0</v>
      </c>
      <c r="DN17" s="3890"/>
      <c r="DO17" s="3890"/>
      <c r="DP17" s="3888">
        <f t="shared" si="37"/>
        <v>0</v>
      </c>
      <c r="DQ17" s="3890"/>
      <c r="DR17" s="3890"/>
      <c r="DS17" s="3888">
        <f t="shared" si="38"/>
        <v>0</v>
      </c>
      <c r="DT17" s="3888">
        <f t="shared" si="38"/>
        <v>0</v>
      </c>
      <c r="DU17" s="3890"/>
      <c r="DV17" s="3890"/>
      <c r="DW17" s="3888">
        <f t="shared" si="39"/>
        <v>0</v>
      </c>
      <c r="DX17" s="3890"/>
      <c r="DY17" s="3890"/>
      <c r="DZ17" s="3888">
        <f t="shared" si="40"/>
        <v>0</v>
      </c>
      <c r="EA17" s="3888">
        <f t="shared" si="40"/>
        <v>0</v>
      </c>
      <c r="EB17" s="3890"/>
      <c r="EC17" s="3890"/>
      <c r="ED17" s="3888">
        <f t="shared" si="41"/>
        <v>0</v>
      </c>
      <c r="EE17" s="3890"/>
      <c r="EF17" s="3890"/>
      <c r="EG17" s="3888">
        <f t="shared" si="42"/>
        <v>0</v>
      </c>
      <c r="EH17" s="3888">
        <f t="shared" si="42"/>
        <v>0</v>
      </c>
      <c r="EI17" s="3891">
        <f t="shared" si="43"/>
        <v>0</v>
      </c>
      <c r="EJ17" s="3891">
        <f t="shared" si="43"/>
        <v>0</v>
      </c>
      <c r="EK17" s="3868">
        <f t="shared" si="44"/>
        <v>0</v>
      </c>
      <c r="EL17" s="3891">
        <f t="shared" si="43"/>
        <v>0</v>
      </c>
      <c r="EM17" s="3891">
        <f t="shared" si="43"/>
        <v>0</v>
      </c>
      <c r="EN17" s="3891">
        <f t="shared" si="43"/>
        <v>0</v>
      </c>
      <c r="EO17" s="3891">
        <f t="shared" si="43"/>
        <v>0</v>
      </c>
      <c r="EP17" s="3887"/>
      <c r="EQ17" s="3887"/>
      <c r="ER17" s="3888">
        <f t="shared" si="45"/>
        <v>0</v>
      </c>
      <c r="ES17" s="3887"/>
      <c r="ET17" s="3887"/>
      <c r="EU17" s="3888">
        <f t="shared" si="46"/>
        <v>0</v>
      </c>
      <c r="EV17" s="3888">
        <f t="shared" si="46"/>
        <v>0</v>
      </c>
      <c r="EW17" s="3887"/>
      <c r="EX17" s="3887"/>
      <c r="EY17" s="3888">
        <f t="shared" si="47"/>
        <v>0</v>
      </c>
      <c r="EZ17" s="3887"/>
      <c r="FA17" s="3887"/>
      <c r="FB17" s="3888">
        <f t="shared" si="48"/>
        <v>0</v>
      </c>
      <c r="FC17" s="3888">
        <f t="shared" si="48"/>
        <v>0</v>
      </c>
      <c r="FD17" s="3887"/>
      <c r="FE17" s="3887"/>
      <c r="FF17" s="3888">
        <f t="shared" si="49"/>
        <v>0</v>
      </c>
      <c r="FG17" s="3887"/>
      <c r="FH17" s="3887"/>
      <c r="FI17" s="3888">
        <f t="shared" si="50"/>
        <v>0</v>
      </c>
      <c r="FJ17" s="3888">
        <f t="shared" si="50"/>
        <v>0</v>
      </c>
      <c r="FK17" s="3887"/>
      <c r="FL17" s="3887"/>
      <c r="FM17" s="3888">
        <f t="shared" si="51"/>
        <v>0</v>
      </c>
      <c r="FN17" s="3887"/>
      <c r="FO17" s="3887"/>
      <c r="FP17" s="3888">
        <f t="shared" si="52"/>
        <v>0</v>
      </c>
      <c r="FQ17" s="3888">
        <f t="shared" si="52"/>
        <v>0</v>
      </c>
      <c r="FR17" s="3887"/>
      <c r="FS17" s="3887"/>
      <c r="FT17" s="3888">
        <f t="shared" si="53"/>
        <v>0</v>
      </c>
      <c r="FU17" s="3887"/>
      <c r="FV17" s="3887"/>
      <c r="FW17" s="3888">
        <f t="shared" si="54"/>
        <v>0</v>
      </c>
      <c r="FX17" s="3888">
        <f t="shared" si="54"/>
        <v>0</v>
      </c>
      <c r="FY17" s="3887"/>
      <c r="FZ17" s="3887"/>
      <c r="GA17" s="3888">
        <f t="shared" si="55"/>
        <v>0</v>
      </c>
      <c r="GB17" s="3887"/>
      <c r="GC17" s="3887"/>
      <c r="GD17" s="3888">
        <f t="shared" si="56"/>
        <v>0</v>
      </c>
      <c r="GE17" s="3888">
        <f t="shared" si="56"/>
        <v>0</v>
      </c>
      <c r="GF17" s="3887"/>
      <c r="GG17" s="3887"/>
      <c r="GH17" s="3888">
        <f t="shared" si="57"/>
        <v>0</v>
      </c>
      <c r="GI17" s="3887"/>
      <c r="GJ17" s="3887"/>
      <c r="GK17" s="3888">
        <f t="shared" si="58"/>
        <v>0</v>
      </c>
      <c r="GL17" s="3888">
        <f t="shared" si="58"/>
        <v>0</v>
      </c>
      <c r="GM17" s="3887"/>
      <c r="GN17" s="3887"/>
      <c r="GO17" s="3888">
        <f t="shared" si="59"/>
        <v>0</v>
      </c>
      <c r="GP17" s="3890"/>
      <c r="GQ17" s="3890"/>
      <c r="GR17" s="3888">
        <f t="shared" si="60"/>
        <v>0</v>
      </c>
      <c r="GS17" s="3888">
        <f t="shared" si="60"/>
        <v>0</v>
      </c>
      <c r="GT17" s="3890"/>
      <c r="GU17" s="3890"/>
      <c r="GV17" s="3888">
        <f t="shared" si="61"/>
        <v>0</v>
      </c>
      <c r="GW17" s="3890"/>
      <c r="GX17" s="3890"/>
      <c r="GY17" s="3888">
        <f t="shared" si="62"/>
        <v>0</v>
      </c>
      <c r="GZ17" s="3888">
        <f t="shared" si="62"/>
        <v>0</v>
      </c>
      <c r="HA17" s="3890"/>
      <c r="HB17" s="3890"/>
      <c r="HC17" s="3888">
        <f t="shared" si="63"/>
        <v>0</v>
      </c>
      <c r="HD17" s="3890"/>
      <c r="HE17" s="3890"/>
      <c r="HF17" s="3888">
        <f t="shared" si="64"/>
        <v>0</v>
      </c>
      <c r="HG17" s="3888">
        <f t="shared" si="64"/>
        <v>0</v>
      </c>
      <c r="HH17" s="3890"/>
      <c r="HI17" s="3890"/>
      <c r="HJ17" s="3888">
        <f t="shared" si="65"/>
        <v>0</v>
      </c>
      <c r="HK17" s="3890"/>
      <c r="HL17" s="3890"/>
      <c r="HM17" s="3888">
        <f t="shared" si="66"/>
        <v>0</v>
      </c>
      <c r="HN17" s="3888">
        <f t="shared" si="66"/>
        <v>0</v>
      </c>
      <c r="HO17" s="3890"/>
      <c r="HP17" s="3890"/>
      <c r="HQ17" s="3888">
        <f t="shared" si="67"/>
        <v>0</v>
      </c>
      <c r="HR17" s="3890"/>
      <c r="HS17" s="3890"/>
      <c r="HT17" s="3888">
        <f t="shared" si="68"/>
        <v>0</v>
      </c>
      <c r="HU17" s="3888">
        <f t="shared" si="68"/>
        <v>0</v>
      </c>
      <c r="HV17" s="3892">
        <f t="shared" si="69"/>
        <v>0</v>
      </c>
      <c r="HW17" s="3892">
        <f t="shared" si="69"/>
        <v>0</v>
      </c>
      <c r="HX17" s="3892">
        <f t="shared" si="70"/>
        <v>0</v>
      </c>
      <c r="HY17" s="3892">
        <f t="shared" si="69"/>
        <v>0</v>
      </c>
      <c r="HZ17" s="3892">
        <f t="shared" si="69"/>
        <v>0</v>
      </c>
      <c r="IA17" s="3892">
        <f t="shared" si="69"/>
        <v>0</v>
      </c>
      <c r="IB17" s="3892">
        <f t="shared" si="69"/>
        <v>0</v>
      </c>
      <c r="IC17" s="3893">
        <f t="shared" si="71"/>
        <v>0</v>
      </c>
      <c r="ID17" s="3893">
        <f t="shared" si="71"/>
        <v>0</v>
      </c>
      <c r="IE17" s="3894">
        <f t="shared" si="72"/>
        <v>0</v>
      </c>
      <c r="IF17" s="3893">
        <f t="shared" si="71"/>
        <v>0</v>
      </c>
      <c r="IG17" s="3893">
        <f t="shared" si="71"/>
        <v>0</v>
      </c>
      <c r="IH17" s="3893">
        <f t="shared" si="71"/>
        <v>0</v>
      </c>
      <c r="II17" s="3893">
        <f t="shared" si="71"/>
        <v>0</v>
      </c>
    </row>
    <row r="18" spans="1:243" ht="21.95" customHeight="1">
      <c r="A18" s="3801" t="s">
        <v>3542</v>
      </c>
      <c r="B18" s="3878">
        <v>12</v>
      </c>
      <c r="C18" s="3895" t="s">
        <v>3523</v>
      </c>
      <c r="D18" s="3880" t="s">
        <v>3524</v>
      </c>
      <c r="E18" s="3881">
        <v>37</v>
      </c>
      <c r="F18" s="3882">
        <v>46.25</v>
      </c>
      <c r="G18" s="3878">
        <v>4.46</v>
      </c>
      <c r="H18" s="3878" t="s">
        <v>3525</v>
      </c>
      <c r="I18" s="3896">
        <v>44983</v>
      </c>
      <c r="J18" s="3896">
        <v>47174</v>
      </c>
      <c r="K18" s="3884">
        <f t="shared" si="8"/>
        <v>6</v>
      </c>
      <c r="L18" s="3886">
        <f t="shared" ref="L18:P18" si="75">M18/11</f>
        <v>6282.0118181818189</v>
      </c>
      <c r="M18" s="3881">
        <v>69102.13</v>
      </c>
      <c r="N18" s="3886">
        <f t="shared" si="75"/>
        <v>6282.0118181818189</v>
      </c>
      <c r="O18" s="3886">
        <v>69102.13</v>
      </c>
      <c r="P18" s="3886">
        <f t="shared" si="75"/>
        <v>6470.471818181818</v>
      </c>
      <c r="Q18" s="3886">
        <v>71175.19</v>
      </c>
      <c r="R18" s="3886">
        <f t="shared" ref="R18:V18" si="76">S18/12</f>
        <v>6656.2966666666662</v>
      </c>
      <c r="S18" s="3886">
        <v>79875.56</v>
      </c>
      <c r="T18" s="3886">
        <f t="shared" si="76"/>
        <v>6855.9858333333332</v>
      </c>
      <c r="U18" s="3886">
        <v>82271.83</v>
      </c>
      <c r="V18" s="3886">
        <f t="shared" si="76"/>
        <v>7061.665</v>
      </c>
      <c r="W18" s="3886">
        <v>84739.98</v>
      </c>
      <c r="X18" s="3866">
        <f>M18+O18+Q18+S18+U18+W18</f>
        <v>456266.82</v>
      </c>
      <c r="Y18" s="3866">
        <f t="shared" si="9"/>
        <v>31370.99</v>
      </c>
      <c r="Z18" s="3866">
        <f t="shared" si="10"/>
        <v>424895.83</v>
      </c>
      <c r="AA18" s="3887"/>
      <c r="AB18" s="3887"/>
      <c r="AC18" s="3888">
        <f t="shared" si="11"/>
        <v>0</v>
      </c>
      <c r="AD18" s="3887"/>
      <c r="AE18" s="3887"/>
      <c r="AF18" s="3888">
        <f t="shared" si="12"/>
        <v>0</v>
      </c>
      <c r="AG18" s="3888">
        <f t="shared" si="12"/>
        <v>0</v>
      </c>
      <c r="AH18" s="3887"/>
      <c r="AI18" s="3887"/>
      <c r="AJ18" s="3888">
        <f t="shared" si="13"/>
        <v>0</v>
      </c>
      <c r="AK18" s="3887"/>
      <c r="AL18" s="3887"/>
      <c r="AM18" s="3888">
        <f t="shared" si="14"/>
        <v>0</v>
      </c>
      <c r="AN18" s="3888">
        <f t="shared" si="14"/>
        <v>0</v>
      </c>
      <c r="AO18" s="3887"/>
      <c r="AP18" s="3887"/>
      <c r="AQ18" s="3888">
        <f t="shared" si="15"/>
        <v>0</v>
      </c>
      <c r="AR18" s="3887"/>
      <c r="AS18" s="3887"/>
      <c r="AT18" s="3888">
        <f t="shared" si="16"/>
        <v>0</v>
      </c>
      <c r="AU18" s="3888">
        <f t="shared" si="16"/>
        <v>0</v>
      </c>
      <c r="AV18" s="3889">
        <f t="shared" si="17"/>
        <v>0</v>
      </c>
      <c r="AW18" s="3889">
        <f t="shared" si="17"/>
        <v>0</v>
      </c>
      <c r="AX18" s="3889">
        <f t="shared" si="18"/>
        <v>0</v>
      </c>
      <c r="AY18" s="3889">
        <f t="shared" si="17"/>
        <v>0</v>
      </c>
      <c r="AZ18" s="3889">
        <f t="shared" si="17"/>
        <v>0</v>
      </c>
      <c r="BA18" s="3889">
        <f t="shared" si="17"/>
        <v>0</v>
      </c>
      <c r="BB18" s="3889">
        <f t="shared" si="17"/>
        <v>0</v>
      </c>
      <c r="BC18" s="3887">
        <v>31370.99</v>
      </c>
      <c r="BD18" s="3887">
        <f>ROUND(L18/2,0)</f>
        <v>3141</v>
      </c>
      <c r="BE18" s="3888">
        <f t="shared" si="19"/>
        <v>28229.99</v>
      </c>
      <c r="BF18" s="3887">
        <v>31370.99</v>
      </c>
      <c r="BG18" s="3887">
        <v>3141</v>
      </c>
      <c r="BH18" s="3888">
        <f t="shared" si="20"/>
        <v>0</v>
      </c>
      <c r="BI18" s="3888">
        <f t="shared" si="20"/>
        <v>0</v>
      </c>
      <c r="BJ18" s="3887"/>
      <c r="BK18" s="3887"/>
      <c r="BL18" s="3888">
        <f t="shared" si="21"/>
        <v>0</v>
      </c>
      <c r="BM18" s="3887"/>
      <c r="BN18" s="3887"/>
      <c r="BO18" s="3888">
        <f t="shared" si="22"/>
        <v>0</v>
      </c>
      <c r="BP18" s="3888">
        <f t="shared" si="22"/>
        <v>0</v>
      </c>
      <c r="BQ18" s="3887"/>
      <c r="BR18" s="3887"/>
      <c r="BS18" s="3888">
        <f t="shared" si="23"/>
        <v>0</v>
      </c>
      <c r="BT18" s="3887"/>
      <c r="BU18" s="3887"/>
      <c r="BV18" s="3888">
        <f t="shared" si="24"/>
        <v>0</v>
      </c>
      <c r="BW18" s="3888">
        <f t="shared" si="24"/>
        <v>0</v>
      </c>
      <c r="BX18" s="3887"/>
      <c r="BY18" s="3887"/>
      <c r="BZ18" s="3888">
        <f t="shared" si="25"/>
        <v>0</v>
      </c>
      <c r="CA18" s="3887"/>
      <c r="CB18" s="3887"/>
      <c r="CC18" s="3888">
        <f t="shared" si="26"/>
        <v>0</v>
      </c>
      <c r="CD18" s="3888">
        <f t="shared" si="26"/>
        <v>0</v>
      </c>
      <c r="CE18" s="3887"/>
      <c r="CF18" s="3887"/>
      <c r="CG18" s="3888">
        <f t="shared" si="27"/>
        <v>0</v>
      </c>
      <c r="CH18" s="3887"/>
      <c r="CI18" s="3887"/>
      <c r="CJ18" s="3888">
        <f t="shared" si="28"/>
        <v>0</v>
      </c>
      <c r="CK18" s="3888">
        <f t="shared" si="28"/>
        <v>0</v>
      </c>
      <c r="CL18" s="3887"/>
      <c r="CM18" s="3887"/>
      <c r="CN18" s="3888">
        <f t="shared" si="29"/>
        <v>0</v>
      </c>
      <c r="CO18" s="3887"/>
      <c r="CP18" s="3887"/>
      <c r="CQ18" s="3888">
        <f t="shared" si="30"/>
        <v>0</v>
      </c>
      <c r="CR18" s="3888">
        <f t="shared" si="30"/>
        <v>0</v>
      </c>
      <c r="CS18" s="3887"/>
      <c r="CT18" s="3887"/>
      <c r="CU18" s="3888">
        <f t="shared" si="31"/>
        <v>0</v>
      </c>
      <c r="CV18" s="3887"/>
      <c r="CW18" s="3887"/>
      <c r="CX18" s="3888">
        <f t="shared" si="32"/>
        <v>0</v>
      </c>
      <c r="CY18" s="3888">
        <f t="shared" si="32"/>
        <v>0</v>
      </c>
      <c r="CZ18" s="3887"/>
      <c r="DA18" s="3887"/>
      <c r="DB18" s="3888">
        <f t="shared" si="33"/>
        <v>0</v>
      </c>
      <c r="DC18" s="3890"/>
      <c r="DD18" s="3890"/>
      <c r="DE18" s="3888">
        <f t="shared" si="34"/>
        <v>0</v>
      </c>
      <c r="DF18" s="3888">
        <f t="shared" si="34"/>
        <v>0</v>
      </c>
      <c r="DG18" s="3890"/>
      <c r="DH18" s="3890"/>
      <c r="DI18" s="3888">
        <f t="shared" si="35"/>
        <v>0</v>
      </c>
      <c r="DJ18" s="3890"/>
      <c r="DK18" s="3890"/>
      <c r="DL18" s="3888">
        <f t="shared" si="36"/>
        <v>0</v>
      </c>
      <c r="DM18" s="3888">
        <f t="shared" si="36"/>
        <v>0</v>
      </c>
      <c r="DN18" s="3890"/>
      <c r="DO18" s="3890"/>
      <c r="DP18" s="3888">
        <f t="shared" si="37"/>
        <v>0</v>
      </c>
      <c r="DQ18" s="3890"/>
      <c r="DR18" s="3890"/>
      <c r="DS18" s="3888">
        <f t="shared" si="38"/>
        <v>0</v>
      </c>
      <c r="DT18" s="3888">
        <f t="shared" si="38"/>
        <v>0</v>
      </c>
      <c r="DU18" s="3890"/>
      <c r="DV18" s="3890"/>
      <c r="DW18" s="3888">
        <f t="shared" si="39"/>
        <v>0</v>
      </c>
      <c r="DX18" s="3890"/>
      <c r="DY18" s="3890"/>
      <c r="DZ18" s="3888">
        <f t="shared" si="40"/>
        <v>0</v>
      </c>
      <c r="EA18" s="3888">
        <f t="shared" si="40"/>
        <v>0</v>
      </c>
      <c r="EB18" s="3890"/>
      <c r="EC18" s="3890"/>
      <c r="ED18" s="3888">
        <f t="shared" si="41"/>
        <v>0</v>
      </c>
      <c r="EE18" s="3890"/>
      <c r="EF18" s="3890"/>
      <c r="EG18" s="3888">
        <f t="shared" si="42"/>
        <v>0</v>
      </c>
      <c r="EH18" s="3888">
        <f t="shared" si="42"/>
        <v>0</v>
      </c>
      <c r="EI18" s="3891">
        <f t="shared" si="43"/>
        <v>31370.99</v>
      </c>
      <c r="EJ18" s="3891">
        <f t="shared" si="43"/>
        <v>3141</v>
      </c>
      <c r="EK18" s="3868">
        <f t="shared" si="44"/>
        <v>28229.99</v>
      </c>
      <c r="EL18" s="3891">
        <f t="shared" si="43"/>
        <v>31370.99</v>
      </c>
      <c r="EM18" s="3891">
        <f t="shared" si="43"/>
        <v>3141</v>
      </c>
      <c r="EN18" s="3891">
        <f t="shared" si="43"/>
        <v>0</v>
      </c>
      <c r="EO18" s="3891">
        <f t="shared" si="43"/>
        <v>0</v>
      </c>
      <c r="EP18" s="3887"/>
      <c r="EQ18" s="3887"/>
      <c r="ER18" s="3888">
        <f t="shared" si="45"/>
        <v>0</v>
      </c>
      <c r="ES18" s="3887"/>
      <c r="ET18" s="3887"/>
      <c r="EU18" s="3888">
        <f t="shared" si="46"/>
        <v>0</v>
      </c>
      <c r="EV18" s="3888">
        <f t="shared" si="46"/>
        <v>0</v>
      </c>
      <c r="EW18" s="3887"/>
      <c r="EX18" s="3887"/>
      <c r="EY18" s="3888">
        <f t="shared" si="47"/>
        <v>0</v>
      </c>
      <c r="EZ18" s="3887"/>
      <c r="FA18" s="3887"/>
      <c r="FB18" s="3888">
        <f t="shared" si="48"/>
        <v>0</v>
      </c>
      <c r="FC18" s="3888">
        <f t="shared" si="48"/>
        <v>0</v>
      </c>
      <c r="FD18" s="3887"/>
      <c r="FE18" s="3887"/>
      <c r="FF18" s="3888">
        <f t="shared" si="49"/>
        <v>0</v>
      </c>
      <c r="FG18" s="3887"/>
      <c r="FH18" s="3887"/>
      <c r="FI18" s="3888">
        <f t="shared" si="50"/>
        <v>0</v>
      </c>
      <c r="FJ18" s="3888">
        <f t="shared" si="50"/>
        <v>0</v>
      </c>
      <c r="FK18" s="3887"/>
      <c r="FL18" s="3887"/>
      <c r="FM18" s="3888">
        <f t="shared" si="51"/>
        <v>0</v>
      </c>
      <c r="FN18" s="3887"/>
      <c r="FO18" s="3887"/>
      <c r="FP18" s="3888">
        <f t="shared" si="52"/>
        <v>0</v>
      </c>
      <c r="FQ18" s="3888">
        <f t="shared" si="52"/>
        <v>0</v>
      </c>
      <c r="FR18" s="3887"/>
      <c r="FS18" s="3887"/>
      <c r="FT18" s="3888">
        <f t="shared" si="53"/>
        <v>0</v>
      </c>
      <c r="FU18" s="3887"/>
      <c r="FV18" s="3887"/>
      <c r="FW18" s="3888">
        <f t="shared" si="54"/>
        <v>0</v>
      </c>
      <c r="FX18" s="3888">
        <f t="shared" si="54"/>
        <v>0</v>
      </c>
      <c r="FY18" s="3887"/>
      <c r="FZ18" s="3887"/>
      <c r="GA18" s="3888">
        <f t="shared" si="55"/>
        <v>0</v>
      </c>
      <c r="GB18" s="3887"/>
      <c r="GC18" s="3887"/>
      <c r="GD18" s="3888">
        <f t="shared" si="56"/>
        <v>0</v>
      </c>
      <c r="GE18" s="3888">
        <f t="shared" si="56"/>
        <v>0</v>
      </c>
      <c r="GF18" s="3887"/>
      <c r="GG18" s="3887"/>
      <c r="GH18" s="3888">
        <f t="shared" si="57"/>
        <v>0</v>
      </c>
      <c r="GI18" s="3887"/>
      <c r="GJ18" s="3887"/>
      <c r="GK18" s="3888">
        <f t="shared" si="58"/>
        <v>0</v>
      </c>
      <c r="GL18" s="3888">
        <f t="shared" si="58"/>
        <v>0</v>
      </c>
      <c r="GM18" s="3887"/>
      <c r="GN18" s="3887"/>
      <c r="GO18" s="3888">
        <f t="shared" si="59"/>
        <v>0</v>
      </c>
      <c r="GP18" s="3890"/>
      <c r="GQ18" s="3890"/>
      <c r="GR18" s="3888">
        <f t="shared" si="60"/>
        <v>0</v>
      </c>
      <c r="GS18" s="3888">
        <f t="shared" si="60"/>
        <v>0</v>
      </c>
      <c r="GT18" s="3890"/>
      <c r="GU18" s="3890"/>
      <c r="GV18" s="3888">
        <f t="shared" si="61"/>
        <v>0</v>
      </c>
      <c r="GW18" s="3890"/>
      <c r="GX18" s="3890"/>
      <c r="GY18" s="3888">
        <f t="shared" si="62"/>
        <v>0</v>
      </c>
      <c r="GZ18" s="3888">
        <f t="shared" si="62"/>
        <v>0</v>
      </c>
      <c r="HA18" s="3890"/>
      <c r="HB18" s="3890"/>
      <c r="HC18" s="3888">
        <f t="shared" si="63"/>
        <v>0</v>
      </c>
      <c r="HD18" s="3890"/>
      <c r="HE18" s="3890"/>
      <c r="HF18" s="3888">
        <f t="shared" si="64"/>
        <v>0</v>
      </c>
      <c r="HG18" s="3888">
        <f t="shared" si="64"/>
        <v>0</v>
      </c>
      <c r="HH18" s="3890"/>
      <c r="HI18" s="3890"/>
      <c r="HJ18" s="3888">
        <f t="shared" si="65"/>
        <v>0</v>
      </c>
      <c r="HK18" s="3890"/>
      <c r="HL18" s="3890"/>
      <c r="HM18" s="3888">
        <f t="shared" si="66"/>
        <v>0</v>
      </c>
      <c r="HN18" s="3888">
        <f t="shared" si="66"/>
        <v>0</v>
      </c>
      <c r="HO18" s="3890"/>
      <c r="HP18" s="3890"/>
      <c r="HQ18" s="3888">
        <f t="shared" si="67"/>
        <v>0</v>
      </c>
      <c r="HR18" s="3890"/>
      <c r="HS18" s="3890"/>
      <c r="HT18" s="3888">
        <f t="shared" si="68"/>
        <v>0</v>
      </c>
      <c r="HU18" s="3888">
        <f t="shared" si="68"/>
        <v>0</v>
      </c>
      <c r="HV18" s="3892">
        <f t="shared" si="69"/>
        <v>0</v>
      </c>
      <c r="HW18" s="3892">
        <f t="shared" si="69"/>
        <v>0</v>
      </c>
      <c r="HX18" s="3892">
        <f t="shared" si="70"/>
        <v>0</v>
      </c>
      <c r="HY18" s="3892">
        <f t="shared" si="69"/>
        <v>0</v>
      </c>
      <c r="HZ18" s="3892">
        <f t="shared" si="69"/>
        <v>0</v>
      </c>
      <c r="IA18" s="3892">
        <f t="shared" si="69"/>
        <v>0</v>
      </c>
      <c r="IB18" s="3892">
        <f t="shared" si="69"/>
        <v>0</v>
      </c>
      <c r="IC18" s="3893">
        <f t="shared" si="71"/>
        <v>31370.99</v>
      </c>
      <c r="ID18" s="3893">
        <f t="shared" si="71"/>
        <v>3141</v>
      </c>
      <c r="IE18" s="3894">
        <f t="shared" si="72"/>
        <v>28229.99</v>
      </c>
      <c r="IF18" s="3893">
        <f t="shared" si="71"/>
        <v>31370.99</v>
      </c>
      <c r="IG18" s="3893">
        <f t="shared" si="71"/>
        <v>3141</v>
      </c>
      <c r="IH18" s="3893">
        <f t="shared" si="71"/>
        <v>0</v>
      </c>
      <c r="II18" s="3893">
        <f t="shared" si="71"/>
        <v>0</v>
      </c>
    </row>
    <row r="19" spans="1:243" ht="21.95" customHeight="1">
      <c r="AE19" s="3806"/>
    </row>
    <row r="20" spans="1:243" ht="21.95" customHeight="1">
      <c r="A20" s="3803">
        <f>F7+F10+F11+F13</f>
        <v>171.96</v>
      </c>
      <c r="L20" s="3801"/>
      <c r="M20" s="3899"/>
      <c r="N20" s="3801"/>
      <c r="O20" s="3801"/>
      <c r="P20" s="3801"/>
      <c r="Q20" s="3899"/>
      <c r="R20" s="3801"/>
      <c r="S20" s="3801"/>
      <c r="T20" s="3801"/>
      <c r="U20" s="3801"/>
      <c r="V20" s="3801"/>
      <c r="W20" s="3899"/>
    </row>
    <row r="21" spans="1:243" ht="21.95" hidden="1" customHeight="1">
      <c r="C21" s="3900" t="s">
        <v>3526</v>
      </c>
      <c r="L21" s="3801"/>
      <c r="M21" s="3899"/>
      <c r="N21" s="3801"/>
      <c r="O21" s="3801"/>
      <c r="P21" s="3801"/>
      <c r="Q21" s="3899"/>
      <c r="R21" s="3801"/>
      <c r="S21" s="3801"/>
      <c r="T21" s="3801"/>
      <c r="U21" s="3801"/>
      <c r="V21" s="3801"/>
      <c r="W21" s="3899"/>
    </row>
    <row r="22" spans="1:243" ht="21.95" hidden="1" customHeight="1">
      <c r="C22" s="3901" t="s">
        <v>3527</v>
      </c>
      <c r="D22" s="3902" t="s">
        <v>3528</v>
      </c>
      <c r="E22" s="3873"/>
      <c r="F22" s="3870" t="s">
        <v>3531</v>
      </c>
      <c r="G22" s="3871" t="s">
        <v>3532</v>
      </c>
      <c r="H22" s="3872" t="s">
        <v>3533</v>
      </c>
      <c r="I22" s="3873" t="s">
        <v>3529</v>
      </c>
      <c r="J22" s="3873" t="s">
        <v>3530</v>
      </c>
      <c r="K22" s="3871" t="s">
        <v>3531</v>
      </c>
      <c r="L22" s="3871" t="s">
        <v>3532</v>
      </c>
      <c r="M22" s="3903" t="s">
        <v>3533</v>
      </c>
      <c r="N22" s="3872" t="s">
        <v>3534</v>
      </c>
      <c r="O22" s="3804" t="s">
        <v>3492</v>
      </c>
      <c r="P22" s="3801"/>
      <c r="Q22" s="3899"/>
      <c r="R22" s="3801"/>
      <c r="S22" s="3801"/>
      <c r="T22" s="3801"/>
      <c r="U22" s="3801"/>
      <c r="V22" s="3801"/>
      <c r="W22" s="3899"/>
    </row>
    <row r="23" spans="1:243" ht="21.95" hidden="1" customHeight="1">
      <c r="D23" s="3902" t="s">
        <v>3535</v>
      </c>
      <c r="E23" s="3890"/>
      <c r="F23" s="3890" t="e">
        <f>SUMIFS(AY7:AY18,#REF!,"一分")</f>
        <v>#REF!</v>
      </c>
      <c r="G23" s="3890" t="e">
        <f>SUMIFS(AZ7:AZ18,#REF!,"一分")</f>
        <v>#REF!</v>
      </c>
      <c r="H23" s="3890" t="e">
        <f>SUMIFS(BA7:BA18,#REF!,"一分")</f>
        <v>#REF!</v>
      </c>
      <c r="I23" s="3890" t="e">
        <f>#REF!</f>
        <v>#REF!</v>
      </c>
      <c r="J23" s="3890">
        <v>1.2</v>
      </c>
      <c r="K23" s="3890">
        <v>2.5</v>
      </c>
      <c r="L23" s="3890">
        <v>1.2</v>
      </c>
      <c r="M23" s="3904" t="e">
        <f t="shared" ref="M23:M26" si="77">I23-K23</f>
        <v>#REF!</v>
      </c>
      <c r="N23" s="3890">
        <f>J23-L23</f>
        <v>0</v>
      </c>
      <c r="O23" s="3804" t="e">
        <f>I23-J23</f>
        <v>#REF!</v>
      </c>
    </row>
    <row r="24" spans="1:243" ht="21.95" hidden="1" customHeight="1">
      <c r="D24" s="3902" t="s">
        <v>3536</v>
      </c>
      <c r="E24" s="3890"/>
      <c r="F24" s="3890" t="e">
        <f>SUMIFS(HY7:HY19,#REF!,"一分")</f>
        <v>#REF!</v>
      </c>
      <c r="G24" s="3890" t="e">
        <f>SUMIFS(HZ7:HZ19,#REF!,"一分")</f>
        <v>#REF!</v>
      </c>
      <c r="H24" s="3890" t="e">
        <f>SUMIFS(IA7:IA19,#REF!,"一分")</f>
        <v>#REF!</v>
      </c>
      <c r="I24" s="3890" t="e">
        <f>#REF!</f>
        <v>#REF!</v>
      </c>
      <c r="J24" s="3890"/>
      <c r="K24" s="3890"/>
      <c r="L24" s="3890"/>
      <c r="M24" s="3904" t="e">
        <f t="shared" si="77"/>
        <v>#REF!</v>
      </c>
      <c r="N24" s="3890">
        <f>J24-L24</f>
        <v>0</v>
      </c>
      <c r="O24" s="3804" t="e">
        <f>I24-J24</f>
        <v>#REF!</v>
      </c>
    </row>
    <row r="25" spans="1:243" ht="21.95" hidden="1" customHeight="1">
      <c r="D25" s="3902" t="s">
        <v>3537</v>
      </c>
      <c r="E25" s="3890"/>
      <c r="F25" s="3890"/>
      <c r="G25" s="3890"/>
      <c r="H25" s="3890" t="e">
        <f>#REF!-F25</f>
        <v>#REF!</v>
      </c>
      <c r="I25" s="3890"/>
      <c r="J25" s="3890"/>
      <c r="K25" s="3890"/>
      <c r="L25" s="3890"/>
      <c r="M25" s="3904">
        <f t="shared" si="77"/>
        <v>0</v>
      </c>
      <c r="N25" s="3890">
        <f>J25-L25</f>
        <v>0</v>
      </c>
      <c r="O25" s="3804">
        <f>I25-J25</f>
        <v>0</v>
      </c>
    </row>
    <row r="26" spans="1:243" ht="21.95" hidden="1" customHeight="1">
      <c r="D26" s="3902"/>
      <c r="E26" s="3890"/>
      <c r="F26" s="3890"/>
      <c r="G26" s="3890"/>
      <c r="H26" s="3890" t="e">
        <f>#REF!-F26</f>
        <v>#REF!</v>
      </c>
      <c r="I26" s="3890"/>
      <c r="J26" s="3890"/>
      <c r="K26" s="3890"/>
      <c r="L26" s="3890"/>
      <c r="M26" s="3904">
        <f t="shared" si="77"/>
        <v>0</v>
      </c>
      <c r="N26" s="3890">
        <f>J26-L26</f>
        <v>0</v>
      </c>
      <c r="O26" s="3804">
        <f>I26-J26</f>
        <v>0</v>
      </c>
    </row>
    <row r="27" spans="1:243" ht="21.95" hidden="1" customHeight="1">
      <c r="D27" s="3905" t="s">
        <v>3462</v>
      </c>
      <c r="E27" s="3906"/>
      <c r="F27" s="3906" t="e">
        <f t="shared" ref="F27:H27" si="78">SUM(F23:F26)</f>
        <v>#REF!</v>
      </c>
      <c r="G27" s="3906" t="e">
        <f t="shared" si="78"/>
        <v>#REF!</v>
      </c>
      <c r="H27" s="3906" t="e">
        <f t="shared" si="78"/>
        <v>#REF!</v>
      </c>
      <c r="I27" s="3906" t="e">
        <f t="shared" ref="I27:O27" si="79">SUM(I23:I26)</f>
        <v>#REF!</v>
      </c>
      <c r="J27" s="3906">
        <f t="shared" si="79"/>
        <v>1.2</v>
      </c>
      <c r="K27" s="3906">
        <f t="shared" si="79"/>
        <v>2.5</v>
      </c>
      <c r="L27" s="3906">
        <f t="shared" si="79"/>
        <v>1.2</v>
      </c>
      <c r="M27" s="3907" t="e">
        <f t="shared" si="79"/>
        <v>#REF!</v>
      </c>
      <c r="N27" s="3906">
        <f t="shared" si="79"/>
        <v>0</v>
      </c>
      <c r="O27" s="3906" t="e">
        <f t="shared" si="79"/>
        <v>#REF!</v>
      </c>
    </row>
    <row r="28" spans="1:243" ht="21.95" hidden="1" customHeight="1"/>
    <row r="29" spans="1:243" ht="21.95" hidden="1" customHeight="1"/>
    <row r="30" spans="1:243" ht="21.95" hidden="1" customHeight="1">
      <c r="C30" s="3908" t="s">
        <v>3500</v>
      </c>
    </row>
    <row r="31" spans="1:243" ht="21.95" hidden="1" customHeight="1">
      <c r="D31" s="3902" t="s">
        <v>3528</v>
      </c>
      <c r="E31" s="3873"/>
      <c r="F31" s="3870" t="s">
        <v>3531</v>
      </c>
      <c r="G31" s="3871" t="s">
        <v>3532</v>
      </c>
      <c r="H31" s="3872" t="s">
        <v>3533</v>
      </c>
    </row>
    <row r="32" spans="1:243" ht="21.95" hidden="1" customHeight="1">
      <c r="D32" s="3902" t="s">
        <v>3535</v>
      </c>
      <c r="E32" s="3890"/>
      <c r="F32" s="3890" t="e">
        <f>AY3-F23</f>
        <v>#REF!</v>
      </c>
      <c r="G32" s="3890" t="e">
        <f>AZ3-G23</f>
        <v>#REF!</v>
      </c>
      <c r="H32" s="3890" t="e">
        <f>BA3-H23</f>
        <v>#REF!</v>
      </c>
    </row>
    <row r="33" spans="3:15" ht="21.95" hidden="1" customHeight="1">
      <c r="D33" s="3902" t="s">
        <v>3536</v>
      </c>
      <c r="E33" s="3890"/>
      <c r="F33" s="3890">
        <f>EL3</f>
        <v>53371.44</v>
      </c>
      <c r="G33" s="3890">
        <f>EM3</f>
        <v>3141</v>
      </c>
      <c r="H33" s="3890">
        <f>EN3</f>
        <v>0</v>
      </c>
    </row>
    <row r="34" spans="3:15" ht="21.95" hidden="1" customHeight="1">
      <c r="D34" s="3902" t="s">
        <v>3537</v>
      </c>
      <c r="E34" s="3890"/>
      <c r="F34" s="3890"/>
      <c r="G34" s="3890"/>
      <c r="H34" s="3890" t="e">
        <f>#REF!-F34</f>
        <v>#REF!</v>
      </c>
    </row>
    <row r="35" spans="3:15" ht="21.95" hidden="1" customHeight="1">
      <c r="D35" s="3902"/>
      <c r="E35" s="3890"/>
      <c r="F35" s="3890"/>
      <c r="G35" s="3890"/>
      <c r="H35" s="3890" t="e">
        <f>#REF!-F35</f>
        <v>#REF!</v>
      </c>
    </row>
    <row r="36" spans="3:15" ht="21.95" hidden="1" customHeight="1">
      <c r="D36" s="3905" t="s">
        <v>3462</v>
      </c>
      <c r="E36" s="3906"/>
      <c r="F36" s="3906" t="e">
        <f t="shared" ref="F36:H36" si="80">SUM(F32:F35)</f>
        <v>#REF!</v>
      </c>
      <c r="G36" s="3906" t="e">
        <f t="shared" si="80"/>
        <v>#REF!</v>
      </c>
      <c r="H36" s="3906" t="e">
        <f t="shared" si="80"/>
        <v>#REF!</v>
      </c>
    </row>
    <row r="37" spans="3:15" ht="21.95" hidden="1" customHeight="1"/>
    <row r="38" spans="3:15" ht="21.95" hidden="1" customHeight="1">
      <c r="C38" s="3908" t="s">
        <v>3538</v>
      </c>
      <c r="D38" s="3818"/>
      <c r="E38" s="3818"/>
      <c r="F38" s="3909" t="e">
        <f t="shared" ref="F38:H38" si="81">F27+F36</f>
        <v>#REF!</v>
      </c>
      <c r="G38" s="3818" t="e">
        <f t="shared" si="81"/>
        <v>#REF!</v>
      </c>
      <c r="H38" s="3818" t="e">
        <f t="shared" si="81"/>
        <v>#REF!</v>
      </c>
    </row>
    <row r="39" spans="3:15" ht="21.95" hidden="1" customHeight="1">
      <c r="C39" s="3908" t="s">
        <v>3539</v>
      </c>
      <c r="F39" s="3803" t="e">
        <f>F38-IF3</f>
        <v>#REF!</v>
      </c>
      <c r="G39" s="3801" t="e">
        <f>G38-IG3</f>
        <v>#REF!</v>
      </c>
      <c r="H39" s="3801" t="e">
        <f>H38-IH3</f>
        <v>#REF!</v>
      </c>
    </row>
    <row r="40" spans="3:15" ht="21.95" hidden="1" customHeight="1">
      <c r="C40" s="3908" t="s">
        <v>3540</v>
      </c>
      <c r="D40" s="3818"/>
      <c r="E40" s="3818"/>
      <c r="F40" s="3909" t="e">
        <f>F38-K27</f>
        <v>#REF!</v>
      </c>
      <c r="G40" s="3818" t="e">
        <f>G38-L27</f>
        <v>#REF!</v>
      </c>
      <c r="H40" s="3818" t="e">
        <f>H38-M27</f>
        <v>#REF!</v>
      </c>
    </row>
    <row r="41" spans="3:15" ht="21.95" hidden="1" customHeight="1"/>
    <row r="42" spans="3:15" ht="21.95" hidden="1" customHeight="1"/>
    <row r="43" spans="3:15" ht="21.95" customHeight="1">
      <c r="F43" s="3805">
        <f>F8+F9+F12+F13+F15+F16+F18</f>
        <v>265.82</v>
      </c>
      <c r="I43" s="3801">
        <f>ROUND(M43/F43/365,1)</f>
        <v>4.5999999999999996</v>
      </c>
      <c r="L43" s="3804">
        <f>F14*G14*30</f>
        <v>0</v>
      </c>
      <c r="M43" s="3805">
        <f>SUM(M8:M18)</f>
        <v>451050.92312500003</v>
      </c>
      <c r="N43" s="3806">
        <f>F8+F9+F15+F16+F18</f>
        <v>218.13</v>
      </c>
      <c r="O43" s="3805">
        <f>SUM(O8:O18)</f>
        <v>407675.92312500003</v>
      </c>
    </row>
    <row r="44" spans="3:15" ht="21.95" customHeight="1">
      <c r="N44" s="3804">
        <f>ROUND(O43/N43/365,1)</f>
        <v>5.0999999999999996</v>
      </c>
    </row>
  </sheetData>
  <mergeCells count="54">
    <mergeCell ref="IC5:II5"/>
    <mergeCell ref="GM5:GS5"/>
    <mergeCell ref="GT5:GZ5"/>
    <mergeCell ref="HA5:HG5"/>
    <mergeCell ref="HH5:HN5"/>
    <mergeCell ref="HO5:HU5"/>
    <mergeCell ref="HV5:IB5"/>
    <mergeCell ref="EW5:FC5"/>
    <mergeCell ref="FD5:FJ5"/>
    <mergeCell ref="FK5:FQ5"/>
    <mergeCell ref="FR5:FX5"/>
    <mergeCell ref="FY5:GE5"/>
    <mergeCell ref="GF5:GL5"/>
    <mergeCell ref="DG5:DM5"/>
    <mergeCell ref="DN5:DT5"/>
    <mergeCell ref="DU5:EA5"/>
    <mergeCell ref="EB5:EH5"/>
    <mergeCell ref="EI5:EO5"/>
    <mergeCell ref="EP5:EV5"/>
    <mergeCell ref="BQ5:BW5"/>
    <mergeCell ref="BX5:CD5"/>
    <mergeCell ref="CE5:CK5"/>
    <mergeCell ref="CL5:CR5"/>
    <mergeCell ref="CS5:CY5"/>
    <mergeCell ref="CZ5:DF5"/>
    <mergeCell ref="AA5:AG5"/>
    <mergeCell ref="AH5:AN5"/>
    <mergeCell ref="AO5:AU5"/>
    <mergeCell ref="AV5:BB5"/>
    <mergeCell ref="BC5:BI5"/>
    <mergeCell ref="BJ5:BP5"/>
    <mergeCell ref="AA4:AN4"/>
    <mergeCell ref="BC4:IB4"/>
    <mergeCell ref="L5:M5"/>
    <mergeCell ref="N5:O5"/>
    <mergeCell ref="P5:Q5"/>
    <mergeCell ref="R5:S5"/>
    <mergeCell ref="T5:U5"/>
    <mergeCell ref="V5:W5"/>
    <mergeCell ref="X5:X6"/>
    <mergeCell ref="Y5:Y6"/>
    <mergeCell ref="I4:I6"/>
    <mergeCell ref="J4:J6"/>
    <mergeCell ref="K4:K6"/>
    <mergeCell ref="L4:Z4"/>
    <mergeCell ref="Z5:Z6"/>
    <mergeCell ref="E4:E6"/>
    <mergeCell ref="F4:F6"/>
    <mergeCell ref="G4:G6"/>
    <mergeCell ref="H4:H6"/>
    <mergeCell ref="B3:D3"/>
    <mergeCell ref="B4:B6"/>
    <mergeCell ref="C4:C6"/>
    <mergeCell ref="D4:D6"/>
  </mergeCells>
  <phoneticPr fontId="134" type="noConversion"/>
  <pageMargins left="0.75" right="0.75" top="1" bottom="1" header="0.5" footer="0.5"/>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
  <sheetViews>
    <sheetView workbookViewId="0">
      <selection activeCell="Q5" sqref="Q5"/>
    </sheetView>
  </sheetViews>
  <sheetFormatPr defaultRowHeight="13.5"/>
  <sheetData>
    <row r="5" spans="17:17">
      <c r="Q5">
        <v>1078.98</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3" sqref="B3:D4"/>
    </sheetView>
  </sheetViews>
  <sheetFormatPr defaultRowHeight="13.5"/>
  <sheetData>
    <row r="1" spans="1:8">
      <c r="A1" s="3454" t="s">
        <v>3435</v>
      </c>
      <c r="B1" s="3454" t="s">
        <v>3438</v>
      </c>
      <c r="C1" s="3454" t="s">
        <v>3439</v>
      </c>
      <c r="D1" s="3454" t="s">
        <v>3440</v>
      </c>
    </row>
    <row r="2" spans="1:8">
      <c r="A2" s="3454" t="s">
        <v>3436</v>
      </c>
      <c r="B2">
        <v>560</v>
      </c>
      <c r="C2">
        <v>1700</v>
      </c>
      <c r="D2">
        <f>ROUND(C2*10000/B2,0)</f>
        <v>30357</v>
      </c>
      <c r="F2">
        <v>2020</v>
      </c>
      <c r="H2" s="3454" t="s">
        <v>3548</v>
      </c>
    </row>
    <row r="3" spans="1:8">
      <c r="A3" s="3454" t="s">
        <v>3448</v>
      </c>
      <c r="B3">
        <v>198</v>
      </c>
      <c r="C3">
        <v>500</v>
      </c>
      <c r="D3">
        <f>ROUND(C3*10000/B3,0)</f>
        <v>25253</v>
      </c>
      <c r="F3">
        <v>2014</v>
      </c>
    </row>
    <row r="4" spans="1:8">
      <c r="A4" s="3454" t="s">
        <v>3437</v>
      </c>
      <c r="B4">
        <v>123</v>
      </c>
      <c r="C4">
        <v>330</v>
      </c>
      <c r="D4">
        <f>ROUND(C4*10000/B4,0)</f>
        <v>26829</v>
      </c>
      <c r="F4">
        <v>2018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3" t="s">
        <v>925</v>
      </c>
      <c r="E3" s="853" t="s">
        <v>931</v>
      </c>
      <c r="F3" s="853" t="s">
        <v>925</v>
      </c>
      <c r="G3" s="853" t="s">
        <v>926</v>
      </c>
      <c r="H3" s="853" t="s">
        <v>925</v>
      </c>
      <c r="I3" s="853" t="s">
        <v>926</v>
      </c>
    </row>
    <row r="4" spans="1:9" ht="30">
      <c r="A4" s="1504" t="str">
        <f>项目基本情况!S2</f>
        <v>北京市门头沟区城子大街90号院17号楼1层17-2房地产</v>
      </c>
      <c r="B4" s="853">
        <f>项目基本情况!C17</f>
        <v>499.53</v>
      </c>
      <c r="C4" s="853">
        <f>项目基本情况!C18</f>
        <v>0</v>
      </c>
      <c r="D4" s="853">
        <f ca="1">结果表!D118</f>
        <v>973</v>
      </c>
      <c r="E4" s="853">
        <f ca="1">结果表!E118</f>
        <v>19473</v>
      </c>
      <c r="F4" s="853">
        <f ca="1">结果表!F118</f>
        <v>376</v>
      </c>
      <c r="G4" s="853">
        <f ca="1">结果表!G118</f>
        <v>7535</v>
      </c>
      <c r="H4" s="853">
        <f ca="1">结果表!H118</f>
        <v>1349</v>
      </c>
      <c r="I4" s="853">
        <f ca="1">结果表!I118</f>
        <v>27008</v>
      </c>
    </row>
    <row r="5" spans="1:9" ht="30" customHeight="1">
      <c r="A5" s="3475" t="s">
        <v>927</v>
      </c>
      <c r="B5" s="3475"/>
      <c r="C5" s="3475"/>
      <c r="D5" s="3475" t="str">
        <f ca="1">结果表!D119</f>
        <v>玖佰柒拾叁万元整</v>
      </c>
      <c r="E5" s="3475"/>
      <c r="F5" s="3475" t="str">
        <f ca="1">结果表!F119</f>
        <v>叁佰柒拾陆万元整</v>
      </c>
      <c r="G5" s="3475"/>
      <c r="H5" s="3475" t="str">
        <f ca="1">结果表!H119</f>
        <v>壹仟叁佰肆拾玖万元整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1349</v>
      </c>
      <c r="E8" s="3474"/>
      <c r="F8" s="3474"/>
      <c r="G8" s="3474"/>
      <c r="H8" s="3474"/>
      <c r="I8" s="3474"/>
    </row>
    <row r="9" spans="1:9" ht="15">
      <c r="A9" s="3475" t="s">
        <v>927</v>
      </c>
      <c r="B9" s="3475"/>
      <c r="C9" s="3475"/>
      <c r="D9" s="3475" t="str">
        <f ca="1">结果表!D123</f>
        <v>壹仟叁佰肆拾玖万元整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抵押净值</v>
      </c>
      <c r="B12" s="3474"/>
      <c r="C12" s="3474"/>
      <c r="D12" s="3474">
        <f ca="1">结果表!D126</f>
        <v>1285</v>
      </c>
      <c r="E12" s="3474"/>
      <c r="F12" s="3474"/>
      <c r="G12" s="3474"/>
      <c r="H12" s="3474"/>
      <c r="I12" s="3474"/>
    </row>
    <row r="13" spans="1:9" ht="15.75" thickBot="1">
      <c r="A13" s="3472" t="s">
        <v>927</v>
      </c>
      <c r="B13" s="3472"/>
      <c r="C13" s="3472"/>
      <c r="D13" s="3472" t="str">
        <f ca="1">结果表!D127</f>
        <v>壹仟贰佰捌拾伍万元整</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45062</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2158</v>
      </c>
      <c r="B17" s="3498"/>
      <c r="C17" s="3498"/>
      <c r="D17" s="3498"/>
      <c r="E17" s="3498"/>
      <c r="F17" s="3498"/>
      <c r="G17" s="3498"/>
      <c r="H17" s="3498"/>
    </row>
    <row r="18" spans="1:8" ht="24" customHeight="1">
      <c r="A18" s="3499" t="s">
        <v>2159</v>
      </c>
      <c r="B18" s="3499"/>
      <c r="C18" s="3499"/>
      <c r="D18" s="2342"/>
      <c r="E18" s="3500" t="s">
        <v>2160</v>
      </c>
      <c r="F18" s="3499"/>
      <c r="G18" s="3499"/>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案例-中指</vt:lpstr>
      <vt:lpstr>案例-网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2023-05-16T02:53:44Z</dcterms:modified>
</cp:coreProperties>
</file>