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比较法-办公" sheetId="34"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6" i="43" l="1"/>
  <c r="U15" i="43"/>
  <c r="L11" i="80"/>
  <c r="L9" i="80"/>
  <c r="K9" i="80"/>
  <c r="H54" i="80"/>
  <c r="N6" i="1"/>
  <c r="U10" i="43" l="1"/>
  <c r="U11" i="43"/>
  <c r="U9" i="43"/>
  <c r="U6" i="43"/>
  <c r="J49" i="15" l="1"/>
  <c r="K10" i="80"/>
  <c r="F34" i="80"/>
  <c r="F35" i="80"/>
  <c r="F33" i="80"/>
  <c r="F28" i="80"/>
  <c r="F29" i="80"/>
  <c r="F27" i="80"/>
  <c r="H56" i="80"/>
  <c r="D47" i="80"/>
  <c r="E47" i="80" s="1"/>
  <c r="E44" i="80"/>
  <c r="B35" i="1"/>
  <c r="B21" i="1"/>
  <c r="F19" i="6"/>
  <c r="I14" i="3"/>
  <c r="I15" i="3"/>
  <c r="I16" i="3"/>
  <c r="I17" i="3"/>
  <c r="I18" i="3"/>
  <c r="I19" i="3"/>
  <c r="I20" i="3"/>
  <c r="I21" i="3"/>
  <c r="I13" i="3"/>
  <c r="C14" i="3"/>
  <c r="C15" i="3"/>
  <c r="C16" i="3"/>
  <c r="C17" i="3"/>
  <c r="C18" i="3"/>
  <c r="C19" i="3"/>
  <c r="C20" i="3"/>
  <c r="C21" i="3"/>
  <c r="C13" i="3"/>
  <c r="H16" i="80"/>
  <c r="H4" i="80"/>
  <c r="E43" i="80" l="1"/>
  <c r="E42" i="80" s="1"/>
  <c r="C42" i="80"/>
  <c r="C45" i="80" l="1"/>
  <c r="E45" i="80" s="1"/>
  <c r="C48" i="80"/>
  <c r="C46" i="80"/>
  <c r="E46" i="80" s="1"/>
  <c r="D42" i="80"/>
  <c r="E48" i="80" l="1"/>
  <c r="D48" i="80" s="1"/>
  <c r="G48" i="80" l="1"/>
  <c r="I37" i="34" l="1"/>
  <c r="A25" i="31"/>
  <c r="A26" i="31"/>
  <c r="A27" i="31"/>
  <c r="A28" i="31"/>
  <c r="A29" i="31"/>
  <c r="A30" i="31"/>
  <c r="A31" i="31"/>
  <c r="A32" i="31"/>
  <c r="A24" i="31"/>
  <c r="J49" i="67"/>
  <c r="B25" i="31"/>
  <c r="B26" i="31"/>
  <c r="B27" i="31"/>
  <c r="B28" i="31"/>
  <c r="B29" i="31"/>
  <c r="B30" i="31"/>
  <c r="B31" i="31"/>
  <c r="B32" i="31"/>
  <c r="C34" i="34"/>
  <c r="Y6" i="1" l="1"/>
  <c r="C37" i="34"/>
  <c r="B24" i="3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Z3"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Q37" i="71"/>
  <c r="AB32" i="71" s="1"/>
  <c r="P37" i="71"/>
  <c r="O37" i="71"/>
  <c r="Y37" i="71" s="1"/>
  <c r="Z37" i="71" s="1"/>
  <c r="N37" i="71"/>
  <c r="B38" i="71" s="1"/>
  <c r="B39" i="71" s="1"/>
  <c r="B40" i="71" s="1"/>
  <c r="S40" i="71" s="1"/>
  <c r="D37" i="71"/>
  <c r="Q36" i="71"/>
  <c r="P36" i="71"/>
  <c r="O36" i="71"/>
  <c r="N36" i="71"/>
  <c r="Q35" i="71"/>
  <c r="P35" i="71"/>
  <c r="O35" i="71"/>
  <c r="Y35" i="71" s="1"/>
  <c r="Z35" i="71" s="1"/>
  <c r="N35" i="71"/>
  <c r="Q34" i="71"/>
  <c r="P34" i="71"/>
  <c r="O34" i="71"/>
  <c r="N34" i="71"/>
  <c r="Q33" i="71"/>
  <c r="F34" i="71" s="1"/>
  <c r="P33" i="71"/>
  <c r="O33" i="71"/>
  <c r="N33" i="71"/>
  <c r="X26" i="71" s="1"/>
  <c r="D33" i="71"/>
  <c r="Q32" i="71"/>
  <c r="P32" i="71"/>
  <c r="O32" i="71"/>
  <c r="N32" i="71"/>
  <c r="Q31" i="71"/>
  <c r="P31" i="71"/>
  <c r="O31" i="71"/>
  <c r="N31" i="71"/>
  <c r="Q30" i="71"/>
  <c r="P30" i="71"/>
  <c r="O30" i="71"/>
  <c r="N30" i="71"/>
  <c r="Q29" i="71"/>
  <c r="F30" i="71" s="1"/>
  <c r="P29" i="71"/>
  <c r="AA28" i="71" s="1"/>
  <c r="O29" i="71"/>
  <c r="N29" i="71"/>
  <c r="D29" i="71"/>
  <c r="O28" i="71"/>
  <c r="C28" i="71" s="1"/>
  <c r="N28" i="71"/>
  <c r="B30" i="71"/>
  <c r="B31" i="71" s="1"/>
  <c r="B32" i="71" s="1"/>
  <c r="S32" i="71" s="1"/>
  <c r="B34" i="71"/>
  <c r="B35" i="71" s="1"/>
  <c r="B36" i="71" s="1"/>
  <c r="S36" i="71" s="1"/>
  <c r="E38" i="71"/>
  <c r="E39" i="71" s="1"/>
  <c r="N68" i="71"/>
  <c r="E34" i="71"/>
  <c r="C30" i="71"/>
  <c r="C38" i="71"/>
  <c r="D38" i="71" s="1"/>
  <c r="X38" i="71"/>
  <c r="B28" i="71"/>
  <c r="B27" i="71" s="1"/>
  <c r="B26" i="71" s="1"/>
  <c r="D30" i="71"/>
  <c r="C43" i="71"/>
  <c r="C44" i="71" s="1"/>
  <c r="D44" i="71" s="1"/>
  <c r="C51" i="71"/>
  <c r="P28" i="71"/>
  <c r="E28" i="71" s="1"/>
  <c r="U68" i="71"/>
  <c r="E67" i="71"/>
  <c r="Q28" i="71"/>
  <c r="D58" i="71"/>
  <c r="D62" i="71"/>
  <c r="D72" i="71"/>
  <c r="E75" i="71"/>
  <c r="E74" i="71" s="1"/>
  <c r="E79" i="71"/>
  <c r="E78" i="71" s="1"/>
  <c r="C87" i="71"/>
  <c r="F28" i="71"/>
  <c r="F27" i="71" s="1"/>
  <c r="F26" i="71" s="1"/>
  <c r="P67" i="71"/>
  <c r="E66" i="7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R55" i="31"/>
  <c r="R56" i="31"/>
  <c r="S56" i="31" s="1"/>
  <c r="R57" i="31"/>
  <c r="R58" i="31"/>
  <c r="S58" i="31" s="1"/>
  <c r="R59" i="31"/>
  <c r="R60" i="31"/>
  <c r="S60" i="31" s="1"/>
  <c r="R61" i="31"/>
  <c r="R62" i="31"/>
  <c r="S62" i="31" s="1"/>
  <c r="R63" i="31"/>
  <c r="R64" i="31"/>
  <c r="S64" i="31" s="1"/>
  <c r="R65" i="31"/>
  <c r="R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S174" i="31" s="1"/>
  <c r="R175" i="31"/>
  <c r="R176" i="31"/>
  <c r="S176" i="31" s="1"/>
  <c r="R177" i="31"/>
  <c r="S177" i="31" s="1"/>
  <c r="R178" i="31"/>
  <c r="R179" i="31"/>
  <c r="R180" i="31"/>
  <c r="S180" i="31" s="1"/>
  <c r="R181" i="31"/>
  <c r="S181" i="31" s="1"/>
  <c r="R182" i="31"/>
  <c r="S182" i="31" s="1"/>
  <c r="R183" i="31"/>
  <c r="R184" i="31"/>
  <c r="S184" i="31" s="1"/>
  <c r="R185" i="31"/>
  <c r="S185" i="31" s="1"/>
  <c r="R186" i="31"/>
  <c r="R187" i="31"/>
  <c r="R188" i="31"/>
  <c r="S188" i="31" s="1"/>
  <c r="R189" i="31"/>
  <c r="S189" i="31" s="1"/>
  <c r="R190" i="31"/>
  <c r="S190" i="31" s="1"/>
  <c r="R191" i="31"/>
  <c r="R192" i="31"/>
  <c r="S192" i="31" s="1"/>
  <c r="R193" i="31"/>
  <c r="S193" i="31" s="1"/>
  <c r="R194" i="31"/>
  <c r="R195" i="31"/>
  <c r="R196" i="31"/>
  <c r="S196" i="31" s="1"/>
  <c r="R197" i="31"/>
  <c r="S197" i="31" s="1"/>
  <c r="R198" i="31"/>
  <c r="S198" i="31" s="1"/>
  <c r="R199" i="31"/>
  <c r="R200" i="31"/>
  <c r="S200" i="31" s="1"/>
  <c r="R201" i="31"/>
  <c r="S201" i="31" s="1"/>
  <c r="R202" i="31"/>
  <c r="R203" i="31"/>
  <c r="R204" i="31"/>
  <c r="S204" i="31" s="1"/>
  <c r="R205" i="31"/>
  <c r="S205" i="31" s="1"/>
  <c r="R206" i="31"/>
  <c r="S206" i="31" s="1"/>
  <c r="R207" i="31"/>
  <c r="R208" i="31"/>
  <c r="S208" i="31" s="1"/>
  <c r="R209" i="31"/>
  <c r="S209" i="31" s="1"/>
  <c r="R210" i="31"/>
  <c r="R211" i="31"/>
  <c r="R212" i="31"/>
  <c r="S212" i="31" s="1"/>
  <c r="R213" i="31"/>
  <c r="S213" i="31" s="1"/>
  <c r="R214" i="31"/>
  <c r="S214" i="31" s="1"/>
  <c r="R215" i="31"/>
  <c r="R216" i="31"/>
  <c r="S216" i="31" s="1"/>
  <c r="R217" i="31"/>
  <c r="S217" i="31" s="1"/>
  <c r="R218" i="31"/>
  <c r="R219" i="31"/>
  <c r="R220" i="31"/>
  <c r="S220" i="31" s="1"/>
  <c r="R221" i="31"/>
  <c r="S221" i="31" s="1"/>
  <c r="R222" i="31"/>
  <c r="S222" i="31" s="1"/>
  <c r="R223" i="31"/>
  <c r="R224" i="31"/>
  <c r="S224" i="31" s="1"/>
  <c r="R225" i="31"/>
  <c r="S225" i="31" s="1"/>
  <c r="R226" i="31"/>
  <c r="R227" i="31"/>
  <c r="R228" i="31"/>
  <c r="S228" i="31" s="1"/>
  <c r="R229" i="31"/>
  <c r="S229" i="31" s="1"/>
  <c r="R230" i="31"/>
  <c r="S230" i="31" s="1"/>
  <c r="R231" i="31"/>
  <c r="R232" i="31"/>
  <c r="S232" i="31" s="1"/>
  <c r="R233" i="31"/>
  <c r="S233" i="31" s="1"/>
  <c r="R234" i="31"/>
  <c r="R235" i="31"/>
  <c r="R236" i="31"/>
  <c r="S236" i="31" s="1"/>
  <c r="R237" i="31"/>
  <c r="S237" i="31" s="1"/>
  <c r="R238" i="31"/>
  <c r="S238" i="31" s="1"/>
  <c r="R239" i="31"/>
  <c r="R240" i="31"/>
  <c r="S240" i="31" s="1"/>
  <c r="R241" i="31"/>
  <c r="S241" i="31" s="1"/>
  <c r="R242" i="31"/>
  <c r="R243" i="31"/>
  <c r="R244" i="31"/>
  <c r="S244" i="31" s="1"/>
  <c r="R245" i="31"/>
  <c r="S245" i="31" s="1"/>
  <c r="R246" i="31"/>
  <c r="S246" i="31" s="1"/>
  <c r="R247" i="31"/>
  <c r="R248" i="31"/>
  <c r="S248" i="31" s="1"/>
  <c r="R249" i="31"/>
  <c r="S249" i="31" s="1"/>
  <c r="R250" i="3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4" i="31"/>
  <c r="S374" i="31"/>
  <c r="S354" i="31"/>
  <c r="S338" i="31"/>
  <c r="S322" i="31"/>
  <c r="S316" i="31"/>
  <c r="S310" i="31"/>
  <c r="S294" i="31"/>
  <c r="S278" i="31"/>
  <c r="S262" i="31"/>
  <c r="S251" i="31"/>
  <c r="S250" i="31"/>
  <c r="S247" i="31"/>
  <c r="S243" i="31"/>
  <c r="S242" i="31"/>
  <c r="S239" i="31"/>
  <c r="S235" i="31"/>
  <c r="S234" i="31"/>
  <c r="S231" i="31"/>
  <c r="S227" i="31"/>
  <c r="S226" i="31"/>
  <c r="S223" i="31"/>
  <c r="S429" i="31"/>
  <c r="S427" i="31"/>
  <c r="S426" i="31"/>
  <c r="S425" i="31"/>
  <c r="S219" i="31"/>
  <c r="S218" i="31"/>
  <c r="S215" i="31"/>
  <c r="S211" i="31"/>
  <c r="S210" i="31"/>
  <c r="S207" i="31"/>
  <c r="S203" i="31"/>
  <c r="S202" i="31"/>
  <c r="S199" i="31"/>
  <c r="S195" i="31"/>
  <c r="S194" i="31"/>
  <c r="S191" i="31"/>
  <c r="S187" i="31"/>
  <c r="S186" i="31"/>
  <c r="S183" i="31"/>
  <c r="S179" i="31"/>
  <c r="S178" i="31"/>
  <c r="S175" i="31"/>
  <c r="S172" i="31"/>
  <c r="S171" i="31"/>
  <c r="S167" i="31"/>
  <c r="S163" i="31"/>
  <c r="S159" i="31"/>
  <c r="S155" i="31"/>
  <c r="S151" i="31"/>
  <c r="S147" i="31"/>
  <c r="S143" i="31"/>
  <c r="S139" i="31"/>
  <c r="S135" i="31"/>
  <c r="S131" i="31"/>
  <c r="S127" i="31"/>
  <c r="S123" i="31"/>
  <c r="S497" i="31"/>
  <c r="S495" i="31"/>
  <c r="S493" i="31"/>
  <c r="S491" i="31"/>
  <c r="S489" i="31"/>
  <c r="S485" i="31"/>
  <c r="S483" i="31"/>
  <c r="S481" i="31"/>
  <c r="S479" i="31"/>
  <c r="S477" i="31"/>
  <c r="S475" i="31"/>
  <c r="S473" i="31"/>
  <c r="S469" i="31"/>
  <c r="S443" i="31"/>
  <c r="S441" i="31"/>
  <c r="S439" i="31"/>
  <c r="S437" i="31"/>
  <c r="S435" i="31"/>
  <c r="S433" i="31"/>
  <c r="S431" i="31"/>
  <c r="S121" i="31"/>
  <c r="S119" i="31"/>
  <c r="S118" i="31"/>
  <c r="S117" i="31"/>
  <c r="S115" i="31"/>
  <c r="S113" i="31"/>
  <c r="S467" i="31"/>
  <c r="S465" i="31"/>
  <c r="S463" i="31"/>
  <c r="S461" i="31"/>
  <c r="S459" i="31"/>
  <c r="S457" i="31"/>
  <c r="S455" i="31"/>
  <c r="S453" i="31"/>
  <c r="S452" i="31"/>
  <c r="S451" i="31"/>
  <c r="S54" i="31"/>
  <c r="S52" i="31"/>
  <c r="S51" i="31"/>
  <c r="S47" i="31"/>
  <c r="S43" i="31"/>
  <c r="S39" i="31"/>
  <c r="S35" i="31"/>
  <c r="S77" i="31"/>
  <c r="S75" i="31"/>
  <c r="S73" i="31"/>
  <c r="S71" i="31"/>
  <c r="S69" i="31"/>
  <c r="S67" i="31"/>
  <c r="S66" i="31"/>
  <c r="S65" i="31"/>
  <c r="S63" i="31"/>
  <c r="S61" i="31"/>
  <c r="S59" i="31"/>
  <c r="S57" i="31"/>
  <c r="S55" i="31"/>
  <c r="S97" i="31"/>
  <c r="S95" i="31"/>
  <c r="S93" i="31"/>
  <c r="S91" i="31"/>
  <c r="S89" i="31"/>
  <c r="S87" i="31"/>
  <c r="S85" i="31"/>
  <c r="S83" i="31"/>
  <c r="S82" i="31"/>
  <c r="S81" i="31"/>
  <c r="S79" i="31"/>
  <c r="S98" i="31"/>
  <c r="S99" i="31"/>
  <c r="S103" i="31"/>
  <c r="S104" i="31"/>
  <c r="S107"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AZ563" i="3" s="1"/>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A572" i="3" s="1"/>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L576" i="3" s="1"/>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AA38" i="34" s="1"/>
  <c r="S38" i="34"/>
  <c r="D112" i="34"/>
  <c r="E112" i="34" s="1"/>
  <c r="F112" i="34" s="1"/>
  <c r="G112" i="34" s="1"/>
  <c r="H112" i="34" s="1"/>
  <c r="I112" i="34" s="1"/>
  <c r="J112" i="34" s="1"/>
  <c r="K112" i="34" s="1"/>
  <c r="L112" i="34" s="1"/>
  <c r="M112" i="34" s="1"/>
  <c r="F40" i="33"/>
  <c r="J41" i="33"/>
  <c r="AC41" i="33" s="1"/>
  <c r="D113" i="33"/>
  <c r="E113" i="33" s="1"/>
  <c r="F37" i="33"/>
  <c r="D111" i="33"/>
  <c r="E111" i="33" s="1"/>
  <c r="F111" i="33" s="1"/>
  <c r="S515" i="31"/>
  <c r="S517" i="31"/>
  <c r="S518" i="31"/>
  <c r="S519" i="31"/>
  <c r="S521" i="31"/>
  <c r="S523"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H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F13" i="36" s="1"/>
  <c r="S13" i="36" s="1"/>
  <c r="B57"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Q27" i="36"/>
  <c r="Z27" i="36" s="1"/>
  <c r="Q26" i="36"/>
  <c r="Z26" i="36" s="1"/>
  <c r="H26" i="36"/>
  <c r="AB26" i="36"/>
  <c r="Q25" i="36"/>
  <c r="Z25" i="36" s="1"/>
  <c r="Q24" i="36"/>
  <c r="Z24" i="36" s="1"/>
  <c r="H24" i="36"/>
  <c r="AB24" i="36" s="1"/>
  <c r="Q23" i="36"/>
  <c r="Z23" i="36" s="1"/>
  <c r="Q22" i="36"/>
  <c r="Z22" i="36" s="1"/>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H35" i="35" s="1"/>
  <c r="B97" i="35"/>
  <c r="B77" i="35"/>
  <c r="B75" i="35"/>
  <c r="J24" i="35" s="1"/>
  <c r="AC24" i="35"/>
  <c r="B73" i="35"/>
  <c r="J23" i="35" s="1"/>
  <c r="AC23" i="35" s="1"/>
  <c r="B57" i="35"/>
  <c r="B61" i="35"/>
  <c r="B59" i="35"/>
  <c r="F12" i="35" s="1"/>
  <c r="B131" i="34"/>
  <c r="J47" i="34" s="1"/>
  <c r="B129" i="34"/>
  <c r="B127" i="34"/>
  <c r="B99" i="34"/>
  <c r="J32" i="34" s="1"/>
  <c r="W32" i="34" s="1"/>
  <c r="B97" i="34"/>
  <c r="H31" i="34" s="1"/>
  <c r="B95" i="34"/>
  <c r="B93" i="34"/>
  <c r="B75" i="34"/>
  <c r="J14" i="34" s="1"/>
  <c r="W14" i="34" s="1"/>
  <c r="B73" i="34"/>
  <c r="H13" i="34" s="1"/>
  <c r="U13" i="34" s="1"/>
  <c r="B71" i="34"/>
  <c r="J12" i="34" s="1"/>
  <c r="B130" i="33"/>
  <c r="B128" i="33"/>
  <c r="H45" i="33" s="1"/>
  <c r="U45" i="33" s="1"/>
  <c r="B126" i="33"/>
  <c r="H44" i="33" s="1"/>
  <c r="B98" i="33"/>
  <c r="B96" i="33"/>
  <c r="B94" i="33"/>
  <c r="F29" i="33" s="1"/>
  <c r="S29" i="33" s="1"/>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c r="H38" i="33"/>
  <c r="AB38" i="33" s="1"/>
  <c r="F38" i="33"/>
  <c r="AA38" i="33" s="1"/>
  <c r="Q37" i="33"/>
  <c r="Z37" i="33" s="1"/>
  <c r="Q36" i="33"/>
  <c r="Z36" i="33" s="1"/>
  <c r="Q35" i="33"/>
  <c r="Z35" i="33" s="1"/>
  <c r="H35" i="33"/>
  <c r="U35" i="33" s="1"/>
  <c r="AB35" i="33"/>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B126" i="21"/>
  <c r="B98" i="21"/>
  <c r="B96" i="21"/>
  <c r="F30" i="21" s="1"/>
  <c r="S30" i="21" s="1"/>
  <c r="B94" i="21"/>
  <c r="B92" i="21"/>
  <c r="B90" i="2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S41" i="21"/>
  <c r="F45" i="39"/>
  <c r="S45" i="39" s="1"/>
  <c r="J45" i="39"/>
  <c r="W45" i="39" s="1"/>
  <c r="J44" i="39"/>
  <c r="AC44" i="39" s="1"/>
  <c r="F36" i="39"/>
  <c r="H36" i="39"/>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U31" i="36"/>
  <c r="H22" i="35"/>
  <c r="AB22" i="35" s="1"/>
  <c r="W28" i="35"/>
  <c r="W22" i="35"/>
  <c r="S31" i="35"/>
  <c r="U34" i="35"/>
  <c r="F36" i="34"/>
  <c r="J35" i="34"/>
  <c r="AC35" i="34" s="1"/>
  <c r="H39" i="33"/>
  <c r="AB39" i="33" s="1"/>
  <c r="F26" i="33"/>
  <c r="S26" i="33" s="1"/>
  <c r="AA26" i="33"/>
  <c r="W39" i="33"/>
  <c r="S27" i="35"/>
  <c r="F11" i="40"/>
  <c r="AA11" i="40"/>
  <c r="H11" i="40"/>
  <c r="AB11"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AB32" i="33" s="1"/>
  <c r="H11" i="21"/>
  <c r="U11" i="21" s="1"/>
  <c r="J11" i="21"/>
  <c r="W11" i="21" s="1"/>
  <c r="H37" i="40"/>
  <c r="U37" i="40" s="1"/>
  <c r="H36" i="40"/>
  <c r="F35" i="40"/>
  <c r="AA35" i="40"/>
  <c r="H23" i="40"/>
  <c r="AB23" i="40" s="1"/>
  <c r="H17" i="40"/>
  <c r="U17" i="40" s="1"/>
  <c r="J15" i="40"/>
  <c r="W15" i="40" s="1"/>
  <c r="J11" i="40"/>
  <c r="AC11" i="40" s="1"/>
  <c r="AB12" i="35"/>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F101" i="37"/>
  <c r="G101" i="37" s="1"/>
  <c r="H101" i="37" s="1"/>
  <c r="I101" i="37" s="1"/>
  <c r="J101" i="37" s="1"/>
  <c r="K101" i="37"/>
  <c r="L101" i="37" s="1"/>
  <c r="M101" i="37" s="1"/>
  <c r="J34" i="37"/>
  <c r="W34" i="37" s="1"/>
  <c r="AB34" i="37"/>
  <c r="J33" i="37"/>
  <c r="AC33" i="37" s="1"/>
  <c r="U42" i="34"/>
  <c r="H40" i="34"/>
  <c r="U40" i="34" s="1"/>
  <c r="H36" i="34"/>
  <c r="U36" i="34" s="1"/>
  <c r="F37" i="34"/>
  <c r="AA37" i="34" s="1"/>
  <c r="F25" i="34"/>
  <c r="S25" i="34" s="1"/>
  <c r="J23" i="34"/>
  <c r="W23" i="34" s="1"/>
  <c r="H17" i="34"/>
  <c r="U17" i="34" s="1"/>
  <c r="F15" i="34"/>
  <c r="AA15" i="34" s="1"/>
  <c r="J15" i="34"/>
  <c r="W15" i="34" s="1"/>
  <c r="J28" i="34"/>
  <c r="F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A42" i="34"/>
  <c r="S42" i="34"/>
  <c r="AC38" i="34"/>
  <c r="J37" i="34"/>
  <c r="AC37" i="34" s="1"/>
  <c r="J11" i="33"/>
  <c r="W11" i="33" s="1"/>
  <c r="J42" i="21"/>
  <c r="AC42" i="21"/>
  <c r="H42" i="21"/>
  <c r="U42" i="21"/>
  <c r="F44" i="34"/>
  <c r="AA44" i="34" s="1"/>
  <c r="J10" i="35"/>
  <c r="AC10" i="35" s="1"/>
  <c r="J14" i="21"/>
  <c r="W14" i="21" s="1"/>
  <c r="F14" i="21"/>
  <c r="S14" i="21" s="1"/>
  <c r="H14" i="21"/>
  <c r="U14" i="21" s="1"/>
  <c r="H28" i="21"/>
  <c r="AB28" i="21" s="1"/>
  <c r="F28" i="21"/>
  <c r="AA28" i="21"/>
  <c r="J28" i="21"/>
  <c r="H30" i="21"/>
  <c r="U30" i="21" s="1"/>
  <c r="J30" i="21"/>
  <c r="AC30" i="21"/>
  <c r="J44" i="21"/>
  <c r="AC44" i="21" s="1"/>
  <c r="H44" i="21"/>
  <c r="U44" i="21" s="1"/>
  <c r="F44" i="21"/>
  <c r="AA44" i="21" s="1"/>
  <c r="H46" i="21"/>
  <c r="U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27" i="33"/>
  <c r="AA27" i="33" s="1"/>
  <c r="J13" i="33"/>
  <c r="J29" i="33"/>
  <c r="H29" i="33"/>
  <c r="U29" i="33" s="1"/>
  <c r="F31" i="33"/>
  <c r="J45" i="33"/>
  <c r="W45" i="33" s="1"/>
  <c r="F45" i="33"/>
  <c r="AA45" i="33"/>
  <c r="F14" i="34"/>
  <c r="H14" i="34"/>
  <c r="H32" i="34"/>
  <c r="F32" i="34"/>
  <c r="S32" i="34" s="1"/>
  <c r="J46" i="34"/>
  <c r="J11" i="35"/>
  <c r="J26" i="36"/>
  <c r="W26" i="36" s="1"/>
  <c r="H28" i="36"/>
  <c r="U28" i="36" s="1"/>
  <c r="J11" i="36"/>
  <c r="AC11" i="36" s="1"/>
  <c r="H11" i="36"/>
  <c r="U11" i="36" s="1"/>
  <c r="H13" i="36"/>
  <c r="AB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H30" i="33"/>
  <c r="AB30" i="33" s="1"/>
  <c r="F30" i="33"/>
  <c r="J30" i="33"/>
  <c r="J44" i="33"/>
  <c r="AC44" i="33"/>
  <c r="F44" i="33"/>
  <c r="J46" i="33"/>
  <c r="AC46" i="33" s="1"/>
  <c r="F46" i="33"/>
  <c r="AA46" i="33" s="1"/>
  <c r="H46" i="33"/>
  <c r="U46" i="33" s="1"/>
  <c r="AB46" i="33"/>
  <c r="J13" i="34"/>
  <c r="W13" i="34" s="1"/>
  <c r="F13" i="34"/>
  <c r="AA13" i="34" s="1"/>
  <c r="J29" i="34"/>
  <c r="F29" i="34"/>
  <c r="S29" i="34" s="1"/>
  <c r="H29" i="34"/>
  <c r="AB29" i="34" s="1"/>
  <c r="J31" i="34"/>
  <c r="AC31" i="34"/>
  <c r="F31" i="34"/>
  <c r="S31" i="34" s="1"/>
  <c r="H45" i="34"/>
  <c r="U45" i="34" s="1"/>
  <c r="J45" i="34"/>
  <c r="W45" i="34" s="1"/>
  <c r="F45" i="34"/>
  <c r="S45" i="34" s="1"/>
  <c r="H47" i="34"/>
  <c r="U47" i="34" s="1"/>
  <c r="F47" i="34"/>
  <c r="S47" i="34" s="1"/>
  <c r="AC47" i="34"/>
  <c r="F13" i="35"/>
  <c r="J13" i="35"/>
  <c r="AC13" i="35" s="1"/>
  <c r="H13" i="35"/>
  <c r="U13" i="35" s="1"/>
  <c r="F25" i="35"/>
  <c r="S25" i="35" s="1"/>
  <c r="J35" i="35"/>
  <c r="AC35" i="35" s="1"/>
  <c r="F35" i="35"/>
  <c r="AA35" i="35"/>
  <c r="J25" i="36"/>
  <c r="W25" i="36" s="1"/>
  <c r="F25" i="36"/>
  <c r="S25" i="36" s="1"/>
  <c r="H25" i="36"/>
  <c r="AB25" i="36" s="1"/>
  <c r="H13" i="37"/>
  <c r="AB13" i="37" s="1"/>
  <c r="F13" i="37"/>
  <c r="S13" i="37" s="1"/>
  <c r="J13" i="37"/>
  <c r="W13" i="37" s="1"/>
  <c r="J28" i="37"/>
  <c r="AC28" i="37" s="1"/>
  <c r="H28" i="37"/>
  <c r="H38" i="37"/>
  <c r="AB38" i="37" s="1"/>
  <c r="J38" i="37"/>
  <c r="AC38" i="37" s="1"/>
  <c r="F38" i="37"/>
  <c r="S38" i="37" s="1"/>
  <c r="F43" i="39"/>
  <c r="AA43"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4" i="40"/>
  <c r="J14" i="40"/>
  <c r="W14" i="40" s="1"/>
  <c r="F14" i="40"/>
  <c r="J14" i="37"/>
  <c r="J27" i="37"/>
  <c r="AC27" i="37"/>
  <c r="AA14" i="33"/>
  <c r="J36" i="37"/>
  <c r="AC36" i="37" s="1"/>
  <c r="J10" i="36"/>
  <c r="AC10" i="36" s="1"/>
  <c r="AB30" i="21"/>
  <c r="W31" i="34"/>
  <c r="S11" i="36"/>
  <c r="S45" i="33"/>
  <c r="F17" i="21"/>
  <c r="AA17" i="21" s="1"/>
  <c r="H17" i="21"/>
  <c r="AB17" i="21" s="1"/>
  <c r="F15" i="21"/>
  <c r="S15" i="21" s="1"/>
  <c r="J41" i="39"/>
  <c r="W41" i="39" s="1"/>
  <c r="W44" i="39"/>
  <c r="S35" i="39"/>
  <c r="G544" i="3"/>
  <c r="G532" i="3"/>
  <c r="G531" i="3"/>
  <c r="G523" i="3"/>
  <c r="G518" i="3"/>
  <c r="G510" i="3"/>
  <c r="G508" i="3"/>
  <c r="G496" i="3"/>
  <c r="G584" i="3"/>
  <c r="G568" i="3"/>
  <c r="G564" i="3"/>
  <c r="G554" i="3"/>
  <c r="BL584" i="3"/>
  <c r="BL560" i="3"/>
  <c r="BL530" i="3"/>
  <c r="BL526" i="3"/>
  <c r="BL506" i="3"/>
  <c r="BL498" i="3"/>
  <c r="BL574" i="3"/>
  <c r="BL552" i="3"/>
  <c r="BL532" i="3"/>
  <c r="BL528" i="3"/>
  <c r="BL514" i="3"/>
  <c r="BL510" i="3"/>
  <c r="G493" i="3"/>
  <c r="BA576" i="3"/>
  <c r="BA564" i="3"/>
  <c r="BA562" i="3"/>
  <c r="BA552" i="3"/>
  <c r="AZ552" i="3" s="1"/>
  <c r="BA540" i="3"/>
  <c r="BA526" i="3"/>
  <c r="AZ526" i="3" s="1"/>
  <c r="BA524" i="3"/>
  <c r="BA516" i="3"/>
  <c r="BA512" i="3"/>
  <c r="BA504" i="3"/>
  <c r="BA502" i="3"/>
  <c r="BA494" i="3"/>
  <c r="BA587" i="3"/>
  <c r="BA577" i="3"/>
  <c r="BA565" i="3"/>
  <c r="BA547" i="3"/>
  <c r="BA545" i="3"/>
  <c r="BA537" i="3"/>
  <c r="BA525" i="3"/>
  <c r="BA523" i="3"/>
  <c r="BA513" i="3"/>
  <c r="BA511" i="3"/>
  <c r="BA501" i="3"/>
  <c r="BA497" i="3"/>
  <c r="G583" i="3"/>
  <c r="G575" i="3"/>
  <c r="G571" i="3"/>
  <c r="G567" i="3"/>
  <c r="G563" i="3"/>
  <c r="G561" i="3"/>
  <c r="AC557" i="3"/>
  <c r="G557" i="3" s="1"/>
  <c r="BQ557" i="3"/>
  <c r="BQ583" i="3"/>
  <c r="BQ581" i="3"/>
  <c r="BQ579" i="3"/>
  <c r="BL579" i="3" s="1"/>
  <c r="BQ577" i="3"/>
  <c r="BQ575" i="3"/>
  <c r="BQ573" i="3"/>
  <c r="BQ571" i="3"/>
  <c r="BQ569" i="3"/>
  <c r="BQ567" i="3"/>
  <c r="BQ565" i="3"/>
  <c r="BQ563" i="3"/>
  <c r="BL563" i="3"/>
  <c r="BQ561" i="3"/>
  <c r="BQ559" i="3"/>
  <c r="G555" i="3"/>
  <c r="G553" i="3"/>
  <c r="G547" i="3"/>
  <c r="G545" i="3"/>
  <c r="G539" i="3"/>
  <c r="G537" i="3"/>
  <c r="BQ555" i="3"/>
  <c r="BQ553" i="3"/>
  <c r="BQ551" i="3"/>
  <c r="BL551" i="3"/>
  <c r="BQ549" i="3"/>
  <c r="BQ547" i="3"/>
  <c r="BQ545" i="3"/>
  <c r="BL545" i="3"/>
  <c r="BQ543" i="3"/>
  <c r="BQ541" i="3"/>
  <c r="BL541" i="3"/>
  <c r="BQ539" i="3"/>
  <c r="BQ537" i="3"/>
  <c r="BQ535" i="3"/>
  <c r="BQ533" i="3"/>
  <c r="BQ531" i="3"/>
  <c r="BQ529" i="3"/>
  <c r="BQ527" i="3"/>
  <c r="BQ525" i="3"/>
  <c r="BQ523" i="3"/>
  <c r="BL523" i="3" s="1"/>
  <c r="AZ523" i="3" s="1"/>
  <c r="BA521" i="3"/>
  <c r="AC521" i="3"/>
  <c r="G521" i="3" s="1"/>
  <c r="BQ521" i="3"/>
  <c r="BL520" i="3"/>
  <c r="G519" i="3"/>
  <c r="G517" i="3"/>
  <c r="G515" i="3"/>
  <c r="G513" i="3"/>
  <c r="G511" i="3"/>
  <c r="BQ519" i="3"/>
  <c r="BQ517" i="3"/>
  <c r="BQ515" i="3"/>
  <c r="BL515" i="3" s="1"/>
  <c r="BQ513" i="3"/>
  <c r="BL513" i="3" s="1"/>
  <c r="BQ511" i="3"/>
  <c r="BA509" i="3"/>
  <c r="AC509" i="3"/>
  <c r="BQ509" i="3"/>
  <c r="BL509" i="3" s="1"/>
  <c r="G507" i="3"/>
  <c r="G505" i="3"/>
  <c r="G503" i="3"/>
  <c r="G501" i="3"/>
  <c r="G499" i="3"/>
  <c r="G497" i="3"/>
  <c r="G495" i="3"/>
  <c r="BQ507" i="3"/>
  <c r="BQ505" i="3"/>
  <c r="BL505" i="3" s="1"/>
  <c r="BQ503" i="3"/>
  <c r="BL503" i="3" s="1"/>
  <c r="BQ501" i="3"/>
  <c r="BL501" i="3" s="1"/>
  <c r="BQ499" i="3"/>
  <c r="BQ497" i="3"/>
  <c r="BL497" i="3" s="1"/>
  <c r="AZ497" i="3" s="1"/>
  <c r="BQ495" i="3"/>
  <c r="BL495" i="3" s="1"/>
  <c r="BQ493" i="3"/>
  <c r="BL493" i="3" s="1"/>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U14" i="40"/>
  <c r="W23" i="35"/>
  <c r="U26" i="37"/>
  <c r="W47" i="34"/>
  <c r="AC45" i="33"/>
  <c r="W44" i="33"/>
  <c r="U19" i="21"/>
  <c r="AB38" i="21"/>
  <c r="F43" i="33"/>
  <c r="AA43" i="33" s="1"/>
  <c r="W40" i="37"/>
  <c r="G107" i="37"/>
  <c r="H107" i="37" s="1"/>
  <c r="I107" i="37" s="1"/>
  <c r="J107" i="37" s="1"/>
  <c r="K107" i="37" s="1"/>
  <c r="L107" i="37" s="1"/>
  <c r="M107" i="37" s="1"/>
  <c r="H37" i="21"/>
  <c r="U37" i="21" s="1"/>
  <c r="F36" i="35"/>
  <c r="S36" i="35" s="1"/>
  <c r="J9" i="37"/>
  <c r="W9" i="37" s="1"/>
  <c r="H9" i="37"/>
  <c r="U9" i="37" s="1"/>
  <c r="F9" i="37"/>
  <c r="S9" i="37" s="1"/>
  <c r="J12" i="37"/>
  <c r="H12" i="37"/>
  <c r="AB12" i="37" s="1"/>
  <c r="F12" i="37"/>
  <c r="S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19" i="40"/>
  <c r="U19" i="40" s="1"/>
  <c r="F88" i="40"/>
  <c r="G88" i="40" s="1"/>
  <c r="F19" i="40"/>
  <c r="S19" i="40" s="1"/>
  <c r="W2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A118" i="9"/>
  <c r="A4" i="52"/>
  <c r="B41" i="72" s="1"/>
  <c r="J11" i="39"/>
  <c r="W11" i="39" s="1"/>
  <c r="F11" i="39"/>
  <c r="S11" i="39" s="1"/>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AZ196" i="3" s="1"/>
  <c r="G197" i="3"/>
  <c r="BA199" i="3"/>
  <c r="BL200" i="3"/>
  <c r="G201" i="3"/>
  <c r="BA203" i="3"/>
  <c r="BL20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AZ346" i="3" s="1"/>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BL374" i="3"/>
  <c r="G375" i="3"/>
  <c r="BA377" i="3"/>
  <c r="BA379" i="3"/>
  <c r="BL380" i="3"/>
  <c r="AZ380" i="3" s="1"/>
  <c r="G381" i="3"/>
  <c r="BA383" i="3"/>
  <c r="BL384" i="3"/>
  <c r="AZ384" i="3" s="1"/>
  <c r="G385" i="3"/>
  <c r="BA387" i="3"/>
  <c r="BL388" i="3"/>
  <c r="G389" i="3"/>
  <c r="BA391" i="3"/>
  <c r="AZ391" i="3" s="1"/>
  <c r="BL392" i="3"/>
  <c r="G393" i="3"/>
  <c r="BM5" i="3"/>
  <c r="BH5" i="3"/>
  <c r="BD5" i="3"/>
  <c r="G548" i="3"/>
  <c r="G538" i="3"/>
  <c r="G520" i="3"/>
  <c r="G502" i="3"/>
  <c r="BN5" i="3"/>
  <c r="BI5" i="3"/>
  <c r="BE5" i="3"/>
  <c r="G17" i="3"/>
  <c r="BA17" i="3"/>
  <c r="BA15" i="3"/>
  <c r="BR5" i="3"/>
  <c r="AZ392" i="3"/>
  <c r="AZ509" i="3"/>
  <c r="G509" i="3"/>
  <c r="F83" i="43"/>
  <c r="H85" i="43" s="1"/>
  <c r="F50" i="43"/>
  <c r="H54" i="43" s="1"/>
  <c r="F72" i="43"/>
  <c r="H75" i="43" s="1"/>
  <c r="U43" i="21"/>
  <c r="U35" i="21"/>
  <c r="AC35" i="21"/>
  <c r="AZ501" i="3"/>
  <c r="W37" i="37"/>
  <c r="S15"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F96" i="37"/>
  <c r="G96" i="37" s="1"/>
  <c r="H96" i="37" s="1"/>
  <c r="I96" i="37" s="1"/>
  <c r="J96" i="37" s="1"/>
  <c r="K96" i="37" s="1"/>
  <c r="L96" i="37" s="1"/>
  <c r="M96" i="37" s="1"/>
  <c r="H27" i="40"/>
  <c r="AB27" i="40" s="1"/>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133" i="3"/>
  <c r="F23" i="39"/>
  <c r="H27" i="36"/>
  <c r="U27" i="36" s="1"/>
  <c r="F27" i="36"/>
  <c r="AA27" i="36" s="1"/>
  <c r="F32" i="37"/>
  <c r="AA32" i="37"/>
  <c r="F20" i="36"/>
  <c r="AA20" i="36" s="1"/>
  <c r="H23" i="39"/>
  <c r="U23" i="39" s="1"/>
  <c r="D48" i="9"/>
  <c r="M52" i="9" s="1"/>
  <c r="K9" i="1"/>
  <c r="M9" i="1" s="1"/>
  <c r="D93" i="9"/>
  <c r="AC26" i="33"/>
  <c r="W26" i="33"/>
  <c r="AB34" i="36"/>
  <c r="U34" i="36"/>
  <c r="AB33" i="36"/>
  <c r="U33" i="36"/>
  <c r="AC12" i="39"/>
  <c r="W12" i="39"/>
  <c r="AZ412" i="3"/>
  <c r="AZ433" i="3"/>
  <c r="W12" i="33"/>
  <c r="AC12" i="33"/>
  <c r="AZ437" i="3"/>
  <c r="BL14" i="3"/>
  <c r="U30" i="33"/>
  <c r="AC13" i="34"/>
  <c r="AA47" i="34"/>
  <c r="W28" i="37"/>
  <c r="S19" i="39"/>
  <c r="F12" i="33"/>
  <c r="H12" i="39"/>
  <c r="F39" i="40"/>
  <c r="S39" i="40" s="1"/>
  <c r="BA14" i="3"/>
  <c r="B12" i="1"/>
  <c r="E12" i="1" s="1"/>
  <c r="B10" i="1"/>
  <c r="E10" i="1" s="1"/>
  <c r="K12" i="1"/>
  <c r="M12" i="1" s="1"/>
  <c r="S13" i="1"/>
  <c r="AR13" i="1" s="1"/>
  <c r="R13" i="1"/>
  <c r="J51" i="67"/>
  <c r="B41" i="1"/>
  <c r="AB37" i="40"/>
  <c r="S35" i="40"/>
  <c r="AC36" i="40"/>
  <c r="AA32" i="40"/>
  <c r="S23" i="40"/>
  <c r="AC17" i="40"/>
  <c r="AC15" i="40"/>
  <c r="S30" i="40"/>
  <c r="S28" i="40"/>
  <c r="U21" i="40"/>
  <c r="U37" i="39"/>
  <c r="U35" i="39"/>
  <c r="F32" i="39"/>
  <c r="F106" i="39"/>
  <c r="G106" i="39" s="1"/>
  <c r="H106" i="39" s="1"/>
  <c r="I106" i="39" s="1"/>
  <c r="J106" i="39" s="1"/>
  <c r="K106" i="39" s="1"/>
  <c r="L106" i="39" s="1"/>
  <c r="M106" i="39" s="1"/>
  <c r="AB27" i="39"/>
  <c r="U31" i="39"/>
  <c r="J21" i="39"/>
  <c r="W21" i="39" s="1"/>
  <c r="F21" i="39"/>
  <c r="S21" i="39" s="1"/>
  <c r="G94" i="39"/>
  <c r="H21" i="39"/>
  <c r="W19" i="39"/>
  <c r="U19" i="39"/>
  <c r="S17" i="39"/>
  <c r="AA12" i="39"/>
  <c r="S9" i="39"/>
  <c r="AC13" i="39"/>
  <c r="S23" i="36"/>
  <c r="U13" i="36"/>
  <c r="U26" i="36"/>
  <c r="S33" i="36"/>
  <c r="AA34" i="36"/>
  <c r="AC26" i="36"/>
  <c r="AA22" i="36"/>
  <c r="W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C9" i="35"/>
  <c r="W9" i="35"/>
  <c r="AC12" i="35"/>
  <c r="F9" i="35"/>
  <c r="S9" i="35" s="1"/>
  <c r="H9" i="35"/>
  <c r="U9" i="35" s="1"/>
  <c r="W27" i="37"/>
  <c r="AC29" i="37"/>
  <c r="U29" i="37"/>
  <c r="S32" i="37"/>
  <c r="AB31" i="37"/>
  <c r="W30" i="37"/>
  <c r="S36" i="37"/>
  <c r="AA38" i="37"/>
  <c r="W38" i="37"/>
  <c r="AC35" i="37"/>
  <c r="S30" i="37"/>
  <c r="S37" i="37"/>
  <c r="AC15" i="37"/>
  <c r="J17" i="37"/>
  <c r="W17" i="37" s="1"/>
  <c r="G73" i="37"/>
  <c r="F17" i="37"/>
  <c r="AA17" i="37" s="1"/>
  <c r="AB17" i="37"/>
  <c r="F75" i="37"/>
  <c r="G75" i="37" s="1"/>
  <c r="F19" i="37"/>
  <c r="F79" i="37"/>
  <c r="F23" i="37"/>
  <c r="S23" i="37" s="1"/>
  <c r="U15" i="37"/>
  <c r="AC13" i="37"/>
  <c r="AA13" i="37"/>
  <c r="H10" i="37"/>
  <c r="AB10" i="37" s="1"/>
  <c r="F63" i="37"/>
  <c r="F11" i="37"/>
  <c r="S11" i="37" s="1"/>
  <c r="W25" i="34"/>
  <c r="AC42" i="34"/>
  <c r="U39" i="34"/>
  <c r="AA45" i="34"/>
  <c r="AA25" i="34"/>
  <c r="AA29" i="34"/>
  <c r="S13" i="34"/>
  <c r="H10" i="34"/>
  <c r="AB10" i="34" s="1"/>
  <c r="F11" i="34"/>
  <c r="S11" i="34" s="1"/>
  <c r="W42" i="33"/>
  <c r="AA35" i="33"/>
  <c r="S27" i="33"/>
  <c r="S32" i="33"/>
  <c r="AA29" i="33"/>
  <c r="AB29" i="33"/>
  <c r="W38" i="33"/>
  <c r="H41" i="33"/>
  <c r="AB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F91" i="33"/>
  <c r="H27" i="33"/>
  <c r="AB27" i="33" s="1"/>
  <c r="F87" i="33"/>
  <c r="G87" i="33" s="1"/>
  <c r="H87" i="33" s="1"/>
  <c r="I87" i="33" s="1"/>
  <c r="J87" i="33" s="1"/>
  <c r="K87" i="33" s="1"/>
  <c r="L87" i="33" s="1"/>
  <c r="M87" i="33" s="1"/>
  <c r="H25" i="33"/>
  <c r="AB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K1" i="12"/>
  <c r="E19" i="69"/>
  <c r="E19" i="68"/>
  <c r="E19" i="11"/>
  <c r="E1" i="73"/>
  <c r="G22" i="69"/>
  <c r="G22" i="68"/>
  <c r="G26" i="12"/>
  <c r="G22" i="11"/>
  <c r="C6" i="43"/>
  <c r="B19" i="53"/>
  <c r="B37" i="72" s="1"/>
  <c r="C7" i="35"/>
  <c r="C48" i="35" s="1"/>
  <c r="D48" i="35" s="1"/>
  <c r="C7" i="33"/>
  <c r="C7" i="21"/>
  <c r="M47" i="9"/>
  <c r="G23" i="43"/>
  <c r="C23" i="43" s="1"/>
  <c r="L20" i="6"/>
  <c r="B6" i="1"/>
  <c r="E6" i="1" s="1"/>
  <c r="K11" i="1"/>
  <c r="M11" i="1" s="1"/>
  <c r="O11" i="1" s="1"/>
  <c r="B9" i="1"/>
  <c r="E9" i="1" s="1"/>
  <c r="K7" i="1"/>
  <c r="M7" i="1" s="1"/>
  <c r="O7" i="1" s="1"/>
  <c r="P7" i="1" s="1"/>
  <c r="G1" i="15"/>
  <c r="W23" i="40"/>
  <c r="U32" i="40"/>
  <c r="AB28" i="40"/>
  <c r="W28" i="40"/>
  <c r="W34" i="40"/>
  <c r="W19" i="40"/>
  <c r="W27" i="40"/>
  <c r="S36" i="40"/>
  <c r="W37" i="40"/>
  <c r="AC14" i="40"/>
  <c r="S13" i="40"/>
  <c r="S33" i="40"/>
  <c r="AA15" i="40"/>
  <c r="U11" i="40"/>
  <c r="S31" i="40"/>
  <c r="AB13" i="40"/>
  <c r="AB17" i="40"/>
  <c r="U8" i="40"/>
  <c r="S8" i="40"/>
  <c r="AA39" i="39"/>
  <c r="AC41" i="39"/>
  <c r="U42" i="39"/>
  <c r="U41" i="39"/>
  <c r="W25" i="39"/>
  <c r="AC25" i="39"/>
  <c r="U13" i="39"/>
  <c r="AB13" i="39"/>
  <c r="AA13" i="39"/>
  <c r="S13" i="39"/>
  <c r="AB11" i="39"/>
  <c r="U11" i="39"/>
  <c r="AA27" i="39"/>
  <c r="S27" i="39"/>
  <c r="W17" i="39"/>
  <c r="AC17" i="39"/>
  <c r="W31" i="39"/>
  <c r="AC31" i="39"/>
  <c r="AA45" i="39"/>
  <c r="AB39" i="39"/>
  <c r="W34" i="39"/>
  <c r="U38" i="39"/>
  <c r="S8" i="39"/>
  <c r="S20" i="36"/>
  <c r="AC25" i="36"/>
  <c r="W29" i="36"/>
  <c r="U25" i="36"/>
  <c r="AB28" i="36"/>
  <c r="AA13" i="36"/>
  <c r="W9" i="36"/>
  <c r="S24" i="35"/>
  <c r="U24" i="35"/>
  <c r="S35" i="35"/>
  <c r="W35" i="35"/>
  <c r="AA16" i="35"/>
  <c r="AA35" i="37"/>
  <c r="S27" i="37"/>
  <c r="S28" i="37"/>
  <c r="W32" i="37"/>
  <c r="U36" i="37"/>
  <c r="S40" i="37"/>
  <c r="U38" i="37"/>
  <c r="AB37" i="37"/>
  <c r="AC34" i="37"/>
  <c r="AB35" i="37"/>
  <c r="AA31" i="37"/>
  <c r="U19" i="37"/>
  <c r="AA29" i="37"/>
  <c r="U8" i="37"/>
  <c r="AC45" i="34"/>
  <c r="AA31" i="34"/>
  <c r="AB45" i="34"/>
  <c r="AB47" i="34"/>
  <c r="U25" i="34"/>
  <c r="AB36" i="34"/>
  <c r="AC14" i="34"/>
  <c r="AC32" i="34"/>
  <c r="AC29" i="34"/>
  <c r="W29" i="34"/>
  <c r="W46" i="34"/>
  <c r="AC46" i="34"/>
  <c r="AA32" i="34"/>
  <c r="S37" i="34"/>
  <c r="W40" i="34"/>
  <c r="AA36" i="34"/>
  <c r="S3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I101" i="21"/>
  <c r="J101" i="21" s="1"/>
  <c r="K101" i="21" s="1"/>
  <c r="L101" i="21" s="1"/>
  <c r="M101" i="21" s="1"/>
  <c r="F33" i="21"/>
  <c r="AA33" i="21" s="1"/>
  <c r="J33" i="21"/>
  <c r="AC33" i="21" s="1"/>
  <c r="H33" i="21"/>
  <c r="AB33" i="21" s="1"/>
  <c r="F37" i="21"/>
  <c r="AA26" i="21"/>
  <c r="AB14" i="21"/>
  <c r="AB46" i="21"/>
  <c r="U40" i="21"/>
  <c r="U13" i="21"/>
  <c r="AB13" i="21"/>
  <c r="S35" i="21"/>
  <c r="J37" i="21"/>
  <c r="W37" i="21" s="1"/>
  <c r="H15" i="21"/>
  <c r="J17" i="21"/>
  <c r="AC17" i="21" s="1"/>
  <c r="AC19" i="21"/>
  <c r="W39" i="21"/>
  <c r="AC14" i="21"/>
  <c r="W30" i="21"/>
  <c r="S46" i="21"/>
  <c r="H45" i="21"/>
  <c r="U45" i="21" s="1"/>
  <c r="F29" i="21"/>
  <c r="AA29" i="21" s="1"/>
  <c r="F13" i="21"/>
  <c r="AC38" i="21"/>
  <c r="H32" i="21"/>
  <c r="U32" i="21" s="1"/>
  <c r="H9" i="21"/>
  <c r="AB9" i="21" s="1"/>
  <c r="J9" i="21"/>
  <c r="W9" i="21" s="1"/>
  <c r="J32" i="21"/>
  <c r="W32" i="21" s="1"/>
  <c r="F32" i="21"/>
  <c r="S32" i="21" s="1"/>
  <c r="U17" i="21"/>
  <c r="S19" i="21"/>
  <c r="S9" i="21"/>
  <c r="AA9" i="21"/>
  <c r="K141" i="21"/>
  <c r="K144" i="21"/>
  <c r="K143" i="21"/>
  <c r="AB25" i="21"/>
  <c r="AB44" i="21"/>
  <c r="W13" i="21"/>
  <c r="W42"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9" i="43"/>
  <c r="D23" i="15"/>
  <c r="E4" i="4"/>
  <c r="B5" i="62" s="1"/>
  <c r="B73" i="72" s="1"/>
  <c r="C4" i="4"/>
  <c r="F28" i="67"/>
  <c r="AA39" i="40"/>
  <c r="S12" i="33"/>
  <c r="AA12" i="33"/>
  <c r="J32" i="39"/>
  <c r="W32" i="39" s="1"/>
  <c r="H32" i="39"/>
  <c r="AB32" i="39" s="1"/>
  <c r="AA32" i="39"/>
  <c r="S32" i="39"/>
  <c r="AB21" i="39"/>
  <c r="U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U41" i="33"/>
  <c r="AC35" i="33"/>
  <c r="H111" i="33"/>
  <c r="I111" i="33" s="1"/>
  <c r="J111" i="33" s="1"/>
  <c r="K111" i="33" s="1"/>
  <c r="L111" i="33" s="1"/>
  <c r="M111" i="33" s="1"/>
  <c r="J36" i="33"/>
  <c r="W36" i="33" s="1"/>
  <c r="H36" i="33"/>
  <c r="AC32" i="33"/>
  <c r="U27" i="33"/>
  <c r="G91" i="33"/>
  <c r="H91" i="33" s="1"/>
  <c r="I91" i="33" s="1"/>
  <c r="J91" i="33" s="1"/>
  <c r="K91" i="33" s="1"/>
  <c r="L91" i="33" s="1"/>
  <c r="M91" i="33" s="1"/>
  <c r="J27" i="33"/>
  <c r="W27" i="33" s="1"/>
  <c r="U25" i="33"/>
  <c r="S25" i="33"/>
  <c r="AA25" i="33"/>
  <c r="J25" i="33"/>
  <c r="U23" i="33"/>
  <c r="F23" i="33"/>
  <c r="AA19" i="33"/>
  <c r="H19" i="33"/>
  <c r="U19" i="33" s="1"/>
  <c r="G81" i="33"/>
  <c r="H17" i="33"/>
  <c r="U17" i="33" s="1"/>
  <c r="F17" i="33"/>
  <c r="S17" i="33" s="1"/>
  <c r="AC17" i="33"/>
  <c r="AA23" i="21"/>
  <c r="J23" i="21"/>
  <c r="AC23" i="21" s="1"/>
  <c r="F85" i="21"/>
  <c r="G85" i="21" s="1"/>
  <c r="H23" i="21"/>
  <c r="D6" i="52"/>
  <c r="AP7" i="1"/>
  <c r="U9" i="21"/>
  <c r="AC9" i="21"/>
  <c r="U32" i="39"/>
  <c r="AC32" i="39"/>
  <c r="AC23" i="37"/>
  <c r="J11" i="37"/>
  <c r="AC11" i="37" s="1"/>
  <c r="J11" i="34"/>
  <c r="W11" i="34" s="1"/>
  <c r="AC27" i="33"/>
  <c r="AB19" i="33"/>
  <c r="H109" i="9"/>
  <c r="M49" i="9" s="1"/>
  <c r="H112" i="9"/>
  <c r="D21" i="53"/>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2" i="15"/>
  <c r="F4" i="73"/>
  <c r="F7" i="73"/>
  <c r="F6" i="73"/>
  <c r="F3" i="73"/>
  <c r="B9" i="76"/>
  <c r="F16" i="15"/>
  <c r="B8" i="76"/>
  <c r="B12" i="76"/>
  <c r="E2" i="68"/>
  <c r="F7" i="15"/>
  <c r="F20" i="31"/>
  <c r="E11" i="76"/>
  <c r="F43" i="15"/>
  <c r="E10" i="76"/>
  <c r="E12" i="76"/>
  <c r="F5" i="73"/>
  <c r="E2" i="69"/>
  <c r="F13" i="15"/>
  <c r="E7" i="76"/>
  <c r="AO13" i="1"/>
  <c r="B10" i="76"/>
  <c r="B13" i="76"/>
  <c r="E9" i="76"/>
  <c r="E8" i="76"/>
  <c r="B11" i="76"/>
  <c r="B7" i="76"/>
  <c r="E13" i="76"/>
  <c r="M6" i="15"/>
  <c r="J51" i="15" l="1"/>
  <c r="D55" i="43"/>
  <c r="D51" i="43"/>
  <c r="D52" i="43"/>
  <c r="D56" i="43"/>
  <c r="D50" i="43"/>
  <c r="D22" i="15"/>
  <c r="U34" i="34"/>
  <c r="C7" i="40"/>
  <c r="C63" i="40" s="1"/>
  <c r="C7" i="39"/>
  <c r="C67" i="39" s="1"/>
  <c r="C42" i="1"/>
  <c r="C24" i="12" s="1"/>
  <c r="F6" i="1"/>
  <c r="G6" i="1" s="1"/>
  <c r="J1" i="73"/>
  <c r="AB23" i="21"/>
  <c r="U23" i="21"/>
  <c r="U36" i="33"/>
  <c r="AB36" i="33"/>
  <c r="AA13" i="21"/>
  <c r="S13" i="21"/>
  <c r="AC20" i="36"/>
  <c r="S19" i="37"/>
  <c r="AA19" i="37"/>
  <c r="F48" i="9"/>
  <c r="O52" i="9" s="1"/>
  <c r="F32" i="67"/>
  <c r="F60" i="67" s="1"/>
  <c r="AB32" i="37"/>
  <c r="U32" i="37"/>
  <c r="AA37" i="21"/>
  <c r="S37" i="21"/>
  <c r="AB15" i="21"/>
  <c r="U15" i="21"/>
  <c r="AA23" i="39"/>
  <c r="S23" i="39"/>
  <c r="AC25" i="33"/>
  <c r="W25" i="33"/>
  <c r="AB12" i="39"/>
  <c r="U12" i="39"/>
  <c r="AA17" i="33"/>
  <c r="W15" i="21"/>
  <c r="AC15" i="21"/>
  <c r="AA36" i="33"/>
  <c r="S36" i="33"/>
  <c r="AZ584" i="3"/>
  <c r="S44" i="33"/>
  <c r="AA44" i="33"/>
  <c r="J44" i="34"/>
  <c r="W44" i="34" s="1"/>
  <c r="E126" i="34"/>
  <c r="F126" i="34" s="1"/>
  <c r="G126" i="34" s="1"/>
  <c r="W31" i="35"/>
  <c r="AC31" i="35"/>
  <c r="BA583" i="3"/>
  <c r="BL582" i="3"/>
  <c r="BA582" i="3"/>
  <c r="AZ582" i="3" s="1"/>
  <c r="BA581" i="3"/>
  <c r="BA580" i="3"/>
  <c r="BA579" i="3"/>
  <c r="AZ579" i="3" s="1"/>
  <c r="BL578" i="3"/>
  <c r="BA578" i="3"/>
  <c r="BL575" i="3"/>
  <c r="BA575" i="3"/>
  <c r="BA574" i="3"/>
  <c r="AZ574" i="3" s="1"/>
  <c r="BL572" i="3"/>
  <c r="AZ572" i="3" s="1"/>
  <c r="BA571" i="3"/>
  <c r="BA570" i="3"/>
  <c r="AZ570" i="3" s="1"/>
  <c r="BA569" i="3"/>
  <c r="BA568" i="3"/>
  <c r="BA567" i="3"/>
  <c r="BL566" i="3"/>
  <c r="BA566" i="3"/>
  <c r="AZ566" i="3" s="1"/>
  <c r="BL562" i="3"/>
  <c r="AZ561" i="3"/>
  <c r="BA561" i="3"/>
  <c r="BA560" i="3"/>
  <c r="AZ560" i="3" s="1"/>
  <c r="BA559" i="3"/>
  <c r="BL558" i="3"/>
  <c r="BA558" i="3"/>
  <c r="BA557" i="3"/>
  <c r="BL556" i="3"/>
  <c r="BA556" i="3"/>
  <c r="AZ556" i="3" s="1"/>
  <c r="BK5" i="3"/>
  <c r="BG5" i="3"/>
  <c r="BT5" i="3"/>
  <c r="BA553" i="3"/>
  <c r="BS5" i="3"/>
  <c r="BO5" i="3"/>
  <c r="BB5" i="3"/>
  <c r="BA549" i="3"/>
  <c r="BA544" i="3"/>
  <c r="AZ544" i="3" s="1"/>
  <c r="BL542" i="3"/>
  <c r="BA542" i="3"/>
  <c r="AZ542" i="3" s="1"/>
  <c r="BA541" i="3"/>
  <c r="AZ541" i="3" s="1"/>
  <c r="BL540" i="3"/>
  <c r="BA539" i="3"/>
  <c r="BL536" i="3"/>
  <c r="BA536" i="3"/>
  <c r="AZ536" i="3" s="1"/>
  <c r="BL534" i="3"/>
  <c r="BL533" i="3"/>
  <c r="AZ533" i="3" s="1"/>
  <c r="BA531" i="3"/>
  <c r="BA529" i="3"/>
  <c r="BA528" i="3"/>
  <c r="AZ528" i="3" s="1"/>
  <c r="BL524" i="3"/>
  <c r="BA520" i="3"/>
  <c r="AZ520" i="3" s="1"/>
  <c r="BA519" i="3"/>
  <c r="BL518" i="3"/>
  <c r="BA518" i="3"/>
  <c r="BL516" i="3"/>
  <c r="BA515" i="3"/>
  <c r="BA514" i="3"/>
  <c r="AZ514" i="3" s="1"/>
  <c r="BL512" i="3"/>
  <c r="BA510" i="3"/>
  <c r="AZ510" i="3" s="1"/>
  <c r="BL508" i="3"/>
  <c r="BA508" i="3"/>
  <c r="BA505" i="3"/>
  <c r="AZ505" i="3" s="1"/>
  <c r="BL504" i="3"/>
  <c r="AZ504" i="3" s="1"/>
  <c r="BA503" i="3"/>
  <c r="BA500" i="3"/>
  <c r="BL496" i="3"/>
  <c r="BA496" i="3"/>
  <c r="AZ496" i="3" s="1"/>
  <c r="BA495" i="3"/>
  <c r="BL494" i="3"/>
  <c r="AZ494" i="3" s="1"/>
  <c r="BA493" i="3"/>
  <c r="AZ493" i="3" s="1"/>
  <c r="AB20" i="35"/>
  <c r="U23" i="37"/>
  <c r="W13" i="35"/>
  <c r="AA26" i="36"/>
  <c r="AB19" i="40"/>
  <c r="AA19" i="40"/>
  <c r="U35" i="40"/>
  <c r="S27" i="40"/>
  <c r="U27" i="40"/>
  <c r="U13" i="37"/>
  <c r="AC11" i="39"/>
  <c r="S14" i="35"/>
  <c r="AZ379" i="3"/>
  <c r="AZ311" i="3"/>
  <c r="AZ364" i="3"/>
  <c r="AZ344" i="3"/>
  <c r="AZ337" i="3"/>
  <c r="AZ376" i="3"/>
  <c r="AZ309" i="3"/>
  <c r="AC13" i="40"/>
  <c r="W12" i="37"/>
  <c r="AC12" i="37"/>
  <c r="BL519" i="3"/>
  <c r="BL527" i="3"/>
  <c r="W11" i="35"/>
  <c r="AC11" i="35"/>
  <c r="AA12" i="36"/>
  <c r="W33" i="33"/>
  <c r="E82" i="34"/>
  <c r="F82" i="34" s="1"/>
  <c r="G82" i="34" s="1"/>
  <c r="F19" i="34"/>
  <c r="H19" i="34"/>
  <c r="AB19" i="34" s="1"/>
  <c r="AC28" i="36"/>
  <c r="W28" i="36"/>
  <c r="J39" i="40"/>
  <c r="H39" i="40"/>
  <c r="U41" i="21"/>
  <c r="AB41" i="21"/>
  <c r="AZ320" i="3"/>
  <c r="AZ549" i="3"/>
  <c r="AZ516" i="3"/>
  <c r="W28" i="21"/>
  <c r="AC28" i="21"/>
  <c r="AB11" i="33"/>
  <c r="U11" i="33"/>
  <c r="AA41" i="33"/>
  <c r="S41" i="33"/>
  <c r="U36" i="39"/>
  <c r="AB36" i="39"/>
  <c r="E86" i="34"/>
  <c r="F86" i="34" s="1"/>
  <c r="G86" i="34" s="1"/>
  <c r="F23" i="34"/>
  <c r="AA23" i="34" s="1"/>
  <c r="H23" i="34"/>
  <c r="U23" i="34" s="1"/>
  <c r="F28" i="34"/>
  <c r="AA28" i="34" s="1"/>
  <c r="H28" i="34"/>
  <c r="H36" i="35"/>
  <c r="J36" i="35"/>
  <c r="AC36" i="35" s="1"/>
  <c r="W27" i="35"/>
  <c r="AC27" i="35"/>
  <c r="H25" i="37"/>
  <c r="F25" i="37"/>
  <c r="U8" i="39"/>
  <c r="AB8" i="39"/>
  <c r="J43" i="39"/>
  <c r="H43" i="39"/>
  <c r="J37" i="39"/>
  <c r="F37" i="39"/>
  <c r="AC8" i="40"/>
  <c r="W8" i="40"/>
  <c r="J31" i="40"/>
  <c r="H31" i="40"/>
  <c r="U25" i="39"/>
  <c r="AZ345" i="3"/>
  <c r="AZ389" i="3"/>
  <c r="AZ377" i="3"/>
  <c r="AZ372" i="3"/>
  <c r="AZ361" i="3"/>
  <c r="AZ356" i="3"/>
  <c r="AZ329" i="3"/>
  <c r="AZ306" i="3"/>
  <c r="AA11" i="39"/>
  <c r="W44" i="21"/>
  <c r="AZ515" i="3"/>
  <c r="BL573" i="3"/>
  <c r="AZ573" i="3" s="1"/>
  <c r="AZ524" i="3"/>
  <c r="J13" i="36"/>
  <c r="U26" i="33"/>
  <c r="AB26" i="33"/>
  <c r="W11" i="40"/>
  <c r="S36" i="39"/>
  <c r="AA36" i="39"/>
  <c r="F27" i="21"/>
  <c r="J27" i="21"/>
  <c r="W27" i="21" s="1"/>
  <c r="H27" i="21"/>
  <c r="H31" i="21"/>
  <c r="F31" i="21"/>
  <c r="AB33" i="33"/>
  <c r="U33" i="33"/>
  <c r="F13" i="33"/>
  <c r="H13" i="33"/>
  <c r="U13" i="33" s="1"/>
  <c r="J31" i="33"/>
  <c r="W31" i="33" s="1"/>
  <c r="H31" i="33"/>
  <c r="W12" i="34"/>
  <c r="AC12" i="34"/>
  <c r="F30" i="34"/>
  <c r="H30" i="34"/>
  <c r="J30" i="34"/>
  <c r="H46" i="34"/>
  <c r="F46" i="34"/>
  <c r="H11" i="35"/>
  <c r="AB11" i="35" s="1"/>
  <c r="F11" i="35"/>
  <c r="H25" i="35"/>
  <c r="J25" i="35"/>
  <c r="AC31" i="37"/>
  <c r="W31" i="37"/>
  <c r="J12" i="40"/>
  <c r="H12" i="40"/>
  <c r="AA40" i="33"/>
  <c r="S40" i="33"/>
  <c r="BL568" i="3"/>
  <c r="AZ568" i="3" s="1"/>
  <c r="BL531" i="3"/>
  <c r="BL537" i="3"/>
  <c r="BL547" i="3"/>
  <c r="AZ547" i="3" s="1"/>
  <c r="BL559" i="3"/>
  <c r="BL581" i="3"/>
  <c r="J45" i="21"/>
  <c r="F45" i="21"/>
  <c r="E78" i="34"/>
  <c r="F78" i="34" s="1"/>
  <c r="G78" i="34" s="1"/>
  <c r="H15" i="34"/>
  <c r="AB15" i="34" s="1"/>
  <c r="BL580" i="3"/>
  <c r="BL564" i="3"/>
  <c r="AZ564" i="3" s="1"/>
  <c r="G551" i="3"/>
  <c r="BA546" i="3"/>
  <c r="BA543" i="3"/>
  <c r="G542" i="3"/>
  <c r="BL538" i="3"/>
  <c r="BA538" i="3"/>
  <c r="BA535" i="3"/>
  <c r="BA534" i="3"/>
  <c r="AZ534" i="3" s="1"/>
  <c r="BA530" i="3"/>
  <c r="AZ530" i="3" s="1"/>
  <c r="BA527" i="3"/>
  <c r="BL522" i="3"/>
  <c r="BA522" i="3"/>
  <c r="BA517" i="3"/>
  <c r="BA507" i="3"/>
  <c r="BA506" i="3"/>
  <c r="AZ506" i="3" s="1"/>
  <c r="BL502" i="3"/>
  <c r="BL500" i="3"/>
  <c r="AZ500" i="3" s="1"/>
  <c r="BA499" i="3"/>
  <c r="BA498" i="3"/>
  <c r="AZ498" i="3" s="1"/>
  <c r="BL499" i="3"/>
  <c r="BL511" i="3"/>
  <c r="AZ511" i="3" s="1"/>
  <c r="BL517" i="3"/>
  <c r="BL521" i="3"/>
  <c r="AZ521" i="3" s="1"/>
  <c r="BL525" i="3"/>
  <c r="AZ525" i="3" s="1"/>
  <c r="BL539" i="3"/>
  <c r="AZ539" i="3" s="1"/>
  <c r="BL543" i="3"/>
  <c r="BL569" i="3"/>
  <c r="AZ569" i="3" s="1"/>
  <c r="BL583" i="3"/>
  <c r="B101" i="43"/>
  <c r="C25" i="39"/>
  <c r="J12" i="36"/>
  <c r="H12" i="36"/>
  <c r="J39" i="37"/>
  <c r="H39" i="37"/>
  <c r="H38" i="40"/>
  <c r="F38" i="40"/>
  <c r="BL401" i="3"/>
  <c r="BL405" i="3"/>
  <c r="BA407" i="3"/>
  <c r="AZ407" i="3" s="1"/>
  <c r="BL407" i="3"/>
  <c r="BA414" i="3"/>
  <c r="AZ414" i="3" s="1"/>
  <c r="BA415" i="3"/>
  <c r="BA416" i="3"/>
  <c r="AZ416" i="3" s="1"/>
  <c r="G431" i="3"/>
  <c r="G445" i="3"/>
  <c r="A15" i="62"/>
  <c r="B61" i="72" s="1"/>
  <c r="BA400" i="3"/>
  <c r="BA413" i="3"/>
  <c r="G421" i="3"/>
  <c r="BA421" i="3"/>
  <c r="BA423" i="3"/>
  <c r="AZ423" i="3" s="1"/>
  <c r="G435" i="3"/>
  <c r="G452" i="3"/>
  <c r="BL529" i="3"/>
  <c r="BL535" i="3"/>
  <c r="BL565" i="3"/>
  <c r="AZ565" i="3" s="1"/>
  <c r="BL571" i="3"/>
  <c r="BL577" i="3"/>
  <c r="AZ577" i="3" s="1"/>
  <c r="BL557" i="3"/>
  <c r="G586" i="3"/>
  <c r="G13" i="3"/>
  <c r="BA398" i="3"/>
  <c r="BA399" i="3"/>
  <c r="AZ399" i="3" s="1"/>
  <c r="BL402" i="3"/>
  <c r="BL406" i="3"/>
  <c r="BA410" i="3"/>
  <c r="BL447" i="3"/>
  <c r="BA458" i="3"/>
  <c r="BL458" i="3"/>
  <c r="BA462" i="3"/>
  <c r="AZ462" i="3" s="1"/>
  <c r="BL462" i="3"/>
  <c r="BL472" i="3"/>
  <c r="G492" i="3"/>
  <c r="BA402" i="3"/>
  <c r="AZ402" i="3" s="1"/>
  <c r="BA406" i="3"/>
  <c r="BL409" i="3"/>
  <c r="G412" i="3"/>
  <c r="BA419" i="3"/>
  <c r="AZ419" i="3" s="1"/>
  <c r="BA424" i="3"/>
  <c r="G432" i="3"/>
  <c r="BA435" i="3"/>
  <c r="BA443" i="3"/>
  <c r="AZ443" i="3" s="1"/>
  <c r="BA451" i="3"/>
  <c r="BA452" i="3"/>
  <c r="G471" i="3"/>
  <c r="BL490" i="3"/>
  <c r="BA473" i="3"/>
  <c r="BA476" i="3"/>
  <c r="BL476" i="3"/>
  <c r="BL477" i="3"/>
  <c r="BL478" i="3"/>
  <c r="G479" i="3"/>
  <c r="BA486" i="3"/>
  <c r="BL488" i="3"/>
  <c r="G489" i="3"/>
  <c r="G491" i="3"/>
  <c r="BA319" i="3"/>
  <c r="AZ319" i="3" s="1"/>
  <c r="G364" i="3"/>
  <c r="G380" i="3"/>
  <c r="BL381" i="3"/>
  <c r="AZ381" i="3" s="1"/>
  <c r="G384" i="3"/>
  <c r="BA385" i="3"/>
  <c r="G392" i="3"/>
  <c r="BA395" i="3"/>
  <c r="AZ395" i="3" s="1"/>
  <c r="G210" i="3"/>
  <c r="BL213" i="3"/>
  <c r="BA220" i="3"/>
  <c r="BA222" i="3"/>
  <c r="AZ222" i="3" s="1"/>
  <c r="BA224" i="3"/>
  <c r="AZ224" i="3" s="1"/>
  <c r="G227" i="3"/>
  <c r="BA231" i="3"/>
  <c r="G235" i="3"/>
  <c r="BA242" i="3"/>
  <c r="AZ242" i="3" s="1"/>
  <c r="BA255" i="3"/>
  <c r="BL255" i="3"/>
  <c r="G257" i="3"/>
  <c r="BA260" i="3"/>
  <c r="BA265" i="3"/>
  <c r="AZ265" i="3" s="1"/>
  <c r="BL265" i="3"/>
  <c r="G267" i="3"/>
  <c r="BA278" i="3"/>
  <c r="AZ278" i="3" s="1"/>
  <c r="BA280" i="3"/>
  <c r="AZ280" i="3" s="1"/>
  <c r="BA177" i="3"/>
  <c r="N67" i="71"/>
  <c r="B66" i="71"/>
  <c r="N66" i="71" s="1"/>
  <c r="BA420" i="3"/>
  <c r="BL430" i="3"/>
  <c r="G433" i="3"/>
  <c r="G441" i="3"/>
  <c r="BL441" i="3"/>
  <c r="BL442" i="3"/>
  <c r="BA444" i="3"/>
  <c r="BL444" i="3"/>
  <c r="G446" i="3"/>
  <c r="G447" i="3"/>
  <c r="BL451" i="3"/>
  <c r="G460" i="3"/>
  <c r="BL465" i="3"/>
  <c r="BA470" i="3"/>
  <c r="BA480" i="3"/>
  <c r="BL480" i="3"/>
  <c r="BA483" i="3"/>
  <c r="BL483" i="3"/>
  <c r="BA315" i="3"/>
  <c r="AZ315" i="3" s="1"/>
  <c r="BA331" i="3"/>
  <c r="AZ331" i="3" s="1"/>
  <c r="BA333" i="3"/>
  <c r="BL367" i="3"/>
  <c r="BL383" i="3"/>
  <c r="AZ383" i="3" s="1"/>
  <c r="BA211" i="3"/>
  <c r="AZ211" i="3" s="1"/>
  <c r="BL215" i="3"/>
  <c r="BA226" i="3"/>
  <c r="BA235" i="3"/>
  <c r="BA237" i="3"/>
  <c r="AZ237" i="3" s="1"/>
  <c r="BL254" i="3"/>
  <c r="BL259" i="3"/>
  <c r="BL269" i="3"/>
  <c r="BL270" i="3"/>
  <c r="BL272" i="3"/>
  <c r="BA283" i="3"/>
  <c r="BL283" i="3"/>
  <c r="BL284" i="3"/>
  <c r="G126" i="3"/>
  <c r="G422" i="3"/>
  <c r="BA425" i="3"/>
  <c r="BA426" i="3"/>
  <c r="BA427" i="3"/>
  <c r="AZ427" i="3" s="1"/>
  <c r="BL440" i="3"/>
  <c r="G444" i="3"/>
  <c r="BA448" i="3"/>
  <c r="AZ448" i="3" s="1"/>
  <c r="BL448" i="3"/>
  <c r="G450" i="3"/>
  <c r="BA456" i="3"/>
  <c r="BA457" i="3"/>
  <c r="G459" i="3"/>
  <c r="BA460" i="3"/>
  <c r="BA461" i="3"/>
  <c r="G463" i="3"/>
  <c r="G464" i="3"/>
  <c r="BL464" i="3"/>
  <c r="BL469" i="3"/>
  <c r="G472" i="3"/>
  <c r="G473" i="3"/>
  <c r="BL479" i="3"/>
  <c r="G480" i="3"/>
  <c r="G485" i="3"/>
  <c r="BA487" i="3"/>
  <c r="BA489" i="3"/>
  <c r="BL489" i="3"/>
  <c r="BL491" i="3"/>
  <c r="BL492" i="3"/>
  <c r="G307" i="3"/>
  <c r="G311" i="3"/>
  <c r="G315" i="3"/>
  <c r="G323" i="3"/>
  <c r="G339" i="3"/>
  <c r="BL350" i="3"/>
  <c r="G351" i="3"/>
  <c r="BL386" i="3"/>
  <c r="BA208" i="3"/>
  <c r="AZ208" i="3" s="1"/>
  <c r="G213" i="3"/>
  <c r="BA214" i="3"/>
  <c r="G217" i="3"/>
  <c r="G218" i="3"/>
  <c r="BA225" i="3"/>
  <c r="G229" i="3"/>
  <c r="BA233" i="3"/>
  <c r="G237" i="3"/>
  <c r="G239" i="3"/>
  <c r="BA245" i="3"/>
  <c r="AZ245" i="3" s="1"/>
  <c r="BL245" i="3"/>
  <c r="G247" i="3"/>
  <c r="BL252" i="3"/>
  <c r="G253" i="3"/>
  <c r="BA257" i="3"/>
  <c r="AZ257" i="3" s="1"/>
  <c r="BL257" i="3"/>
  <c r="BL258" i="3"/>
  <c r="G259" i="3"/>
  <c r="BL267" i="3"/>
  <c r="G269" i="3"/>
  <c r="G291" i="3"/>
  <c r="BA298" i="3"/>
  <c r="AZ298" i="3" s="1"/>
  <c r="G116" i="3"/>
  <c r="BA116" i="3"/>
  <c r="AZ116" i="3" s="1"/>
  <c r="BA121" i="3"/>
  <c r="BL121" i="3"/>
  <c r="BA125" i="3"/>
  <c r="BA129" i="3"/>
  <c r="BA92" i="3"/>
  <c r="BA132" i="3"/>
  <c r="AZ132" i="3" s="1"/>
  <c r="G152" i="3"/>
  <c r="G158" i="3"/>
  <c r="BA168" i="3"/>
  <c r="AZ168" i="3" s="1"/>
  <c r="G172" i="3"/>
  <c r="BL175" i="3"/>
  <c r="AZ175" i="3" s="1"/>
  <c r="G176" i="3"/>
  <c r="G182" i="3"/>
  <c r="G198" i="3"/>
  <c r="G206" i="3"/>
  <c r="G19" i="3"/>
  <c r="BL24" i="3"/>
  <c r="BA25" i="3"/>
  <c r="BA26" i="3"/>
  <c r="G28" i="3"/>
  <c r="BL28" i="3"/>
  <c r="BA29" i="3"/>
  <c r="G33" i="3"/>
  <c r="BA33" i="3"/>
  <c r="BA47" i="3"/>
  <c r="BL47" i="3"/>
  <c r="G49" i="3"/>
  <c r="G50" i="3"/>
  <c r="G54" i="3"/>
  <c r="BA62" i="3"/>
  <c r="AZ62" i="3" s="1"/>
  <c r="BL62" i="3"/>
  <c r="BL63" i="3"/>
  <c r="BA78" i="3"/>
  <c r="G79" i="3"/>
  <c r="G88" i="3"/>
  <c r="G92" i="3"/>
  <c r="BL96" i="3"/>
  <c r="G102" i="3"/>
  <c r="G103" i="3"/>
  <c r="BA103" i="3"/>
  <c r="G111" i="3"/>
  <c r="BA111" i="3"/>
  <c r="K6" i="1"/>
  <c r="AP6" i="1" s="1"/>
  <c r="C36" i="69" s="1"/>
  <c r="AC18" i="35"/>
  <c r="E30" i="71"/>
  <c r="E31" i="71" s="1"/>
  <c r="E32" i="71" s="1"/>
  <c r="U32" i="71" s="1"/>
  <c r="AB27" i="71"/>
  <c r="BL139" i="3"/>
  <c r="AZ139" i="3" s="1"/>
  <c r="BA146" i="3"/>
  <c r="AZ146" i="3" s="1"/>
  <c r="BA162" i="3"/>
  <c r="BL167" i="3"/>
  <c r="AZ167" i="3" s="1"/>
  <c r="BA194" i="3"/>
  <c r="BL23" i="3"/>
  <c r="BA40" i="3"/>
  <c r="BL44" i="3"/>
  <c r="BA55" i="3"/>
  <c r="BL57" i="3"/>
  <c r="BA70" i="3"/>
  <c r="BA95" i="3"/>
  <c r="BL100" i="3"/>
  <c r="BA106" i="3"/>
  <c r="BL108" i="3"/>
  <c r="C40" i="68"/>
  <c r="C21" i="68"/>
  <c r="AC21" i="33"/>
  <c r="W29" i="39"/>
  <c r="T44" i="71"/>
  <c r="D80" i="71"/>
  <c r="Q68" i="71"/>
  <c r="E40" i="71"/>
  <c r="U40" i="71" s="1"/>
  <c r="E63" i="71"/>
  <c r="E64" i="71" s="1"/>
  <c r="U64" i="71" s="1"/>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G203" i="3"/>
  <c r="BA205" i="3"/>
  <c r="AZ205" i="3" s="1"/>
  <c r="G18" i="3"/>
  <c r="BA22" i="3"/>
  <c r="BL35" i="3"/>
  <c r="BA36" i="3"/>
  <c r="BL38" i="3"/>
  <c r="BA39" i="3"/>
  <c r="G42" i="3"/>
  <c r="G43" i="3"/>
  <c r="BA43" i="3"/>
  <c r="G46" i="3"/>
  <c r="BL52" i="3"/>
  <c r="BA53" i="3"/>
  <c r="BA54" i="3"/>
  <c r="G57" i="3"/>
  <c r="G61" i="3"/>
  <c r="G68" i="3"/>
  <c r="BL68" i="3"/>
  <c r="BA69" i="3"/>
  <c r="BA73" i="3"/>
  <c r="BL76" i="3"/>
  <c r="BL82" i="3"/>
  <c r="G85" i="3"/>
  <c r="BL85" i="3"/>
  <c r="BA86" i="3"/>
  <c r="G89" i="3"/>
  <c r="BA90" i="3"/>
  <c r="G95" i="3"/>
  <c r="BL99" i="3"/>
  <c r="BL103" i="3"/>
  <c r="AZ103" i="3" s="1"/>
  <c r="BA105" i="3"/>
  <c r="BA109" i="3"/>
  <c r="AA18" i="35"/>
  <c r="C31" i="71"/>
  <c r="AB34" i="71"/>
  <c r="AA37" i="71"/>
  <c r="AA38" i="71"/>
  <c r="C63" i="71"/>
  <c r="D63" i="71" s="1"/>
  <c r="F79" i="71"/>
  <c r="F78" i="71" s="1"/>
  <c r="H33" i="34"/>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W19" i="34"/>
  <c r="AC15" i="34"/>
  <c r="AC17" i="34"/>
  <c r="U15" i="34"/>
  <c r="B65" i="43"/>
  <c r="C29" i="39"/>
  <c r="B57" i="43"/>
  <c r="S8" i="34"/>
  <c r="AB8" i="34"/>
  <c r="F28" i="15"/>
  <c r="G1" i="68"/>
  <c r="G1" i="67"/>
  <c r="G1" i="69"/>
  <c r="AZ17" i="3"/>
  <c r="BL15" i="3"/>
  <c r="AZ15" i="3" s="1"/>
  <c r="F32" i="36"/>
  <c r="J32" i="36"/>
  <c r="W32" i="36" s="1"/>
  <c r="H32" i="36"/>
  <c r="BA555" i="3"/>
  <c r="BL554" i="3"/>
  <c r="BP5" i="3"/>
  <c r="G29" i="6" s="1"/>
  <c r="BA554" i="3"/>
  <c r="BC5" i="3"/>
  <c r="BF5" i="3"/>
  <c r="W23" i="21"/>
  <c r="AB32" i="21"/>
  <c r="AA32" i="21"/>
  <c r="AA21" i="39"/>
  <c r="D68" i="9"/>
  <c r="F30" i="69"/>
  <c r="F48" i="69" s="1"/>
  <c r="F31" i="12"/>
  <c r="AC27" i="21"/>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115" i="3"/>
  <c r="AZ327" i="3"/>
  <c r="W16" i="35"/>
  <c r="S21" i="40"/>
  <c r="AZ499" i="3"/>
  <c r="AZ527" i="3"/>
  <c r="AZ512" i="3"/>
  <c r="S28" i="34"/>
  <c r="B72" i="43"/>
  <c r="C15" i="39"/>
  <c r="AB45" i="21"/>
  <c r="F54" i="9"/>
  <c r="F32" i="15"/>
  <c r="F60" i="15" s="1"/>
  <c r="F52" i="9"/>
  <c r="F30" i="68"/>
  <c r="F48" i="68" s="1"/>
  <c r="W36" i="37"/>
  <c r="U15" i="40"/>
  <c r="AB40" i="37"/>
  <c r="S15" i="39"/>
  <c r="AC34" i="33"/>
  <c r="AZ14" i="3"/>
  <c r="U29" i="36"/>
  <c r="F29" i="6"/>
  <c r="H5" i="3"/>
  <c r="H14" i="39"/>
  <c r="S14" i="34"/>
  <c r="AA14" i="34"/>
  <c r="BA586" i="3"/>
  <c r="BA585" i="3"/>
  <c r="AA42" i="21"/>
  <c r="S42" i="21"/>
  <c r="AC5" i="3"/>
  <c r="AZ357" i="3"/>
  <c r="AZ313" i="3"/>
  <c r="AZ160" i="3"/>
  <c r="AZ394" i="3"/>
  <c r="AC36" i="34"/>
  <c r="AZ519" i="3"/>
  <c r="AZ531" i="3"/>
  <c r="AZ583" i="3"/>
  <c r="AZ576" i="3"/>
  <c r="S44" i="34"/>
  <c r="AA14" i="37"/>
  <c r="AA12" i="40"/>
  <c r="AZ387" i="3"/>
  <c r="AZ370" i="3"/>
  <c r="AZ362" i="3"/>
  <c r="AZ338" i="3"/>
  <c r="AZ307" i="3"/>
  <c r="AZ390" i="3"/>
  <c r="AZ371" i="3"/>
  <c r="AZ351" i="3"/>
  <c r="AZ336" i="3"/>
  <c r="AZ305" i="3"/>
  <c r="AZ360" i="3"/>
  <c r="AB33" i="40"/>
  <c r="AC31" i="33"/>
  <c r="BL553" i="3"/>
  <c r="AZ553" i="3" s="1"/>
  <c r="AZ529" i="3"/>
  <c r="AZ537" i="3"/>
  <c r="AZ518" i="3"/>
  <c r="AZ546" i="3"/>
  <c r="AB45" i="33"/>
  <c r="AA29" i="35"/>
  <c r="AB17" i="34"/>
  <c r="BL585" i="3"/>
  <c r="H23" i="36"/>
  <c r="J23" i="36"/>
  <c r="AZ535" i="3"/>
  <c r="AZ557" i="3"/>
  <c r="AZ513" i="3"/>
  <c r="AZ575" i="3"/>
  <c r="AZ540" i="3"/>
  <c r="AZ502" i="3"/>
  <c r="G585" i="3"/>
  <c r="BL587" i="3"/>
  <c r="AZ587" i="3" s="1"/>
  <c r="BL586" i="3"/>
  <c r="J9" i="34"/>
  <c r="H12" i="34"/>
  <c r="F44" i="39"/>
  <c r="J38" i="40"/>
  <c r="G582" i="3"/>
  <c r="G574" i="3"/>
  <c r="BA551" i="3"/>
  <c r="AZ551" i="3" s="1"/>
  <c r="BA550" i="3"/>
  <c r="BL548" i="3"/>
  <c r="AZ548" i="3" s="1"/>
  <c r="BL550" i="3"/>
  <c r="AZ487" i="3"/>
  <c r="B79" i="43"/>
  <c r="H9" i="34"/>
  <c r="F12" i="34"/>
  <c r="S12" i="34" s="1"/>
  <c r="H23" i="35"/>
  <c r="G552" i="3"/>
  <c r="AZ451" i="3"/>
  <c r="AZ469" i="3"/>
  <c r="AZ483" i="3"/>
  <c r="AZ38" i="3"/>
  <c r="D60" i="71"/>
  <c r="T60" i="71"/>
  <c r="U72" i="71"/>
  <c r="E71" i="71"/>
  <c r="E70" i="71" s="1"/>
  <c r="S80" i="71"/>
  <c r="B79" i="71"/>
  <c r="B78" i="71" s="1"/>
  <c r="V24" i="71"/>
  <c r="E23" i="71"/>
  <c r="E22" i="71" s="1"/>
  <c r="E21" i="71" s="1"/>
  <c r="E20" i="71" s="1"/>
  <c r="E19" i="71" s="1"/>
  <c r="E18" i="71" s="1"/>
  <c r="E17" i="71" s="1"/>
  <c r="E16" i="71" s="1"/>
  <c r="AA3" i="71"/>
  <c r="BL16" i="3"/>
  <c r="AZ16" i="3" s="1"/>
  <c r="BA401" i="3"/>
  <c r="BA403" i="3"/>
  <c r="AZ403" i="3" s="1"/>
  <c r="BA404" i="3"/>
  <c r="AZ404" i="3" s="1"/>
  <c r="BA405" i="3"/>
  <c r="AZ405" i="3" s="1"/>
  <c r="G409" i="3"/>
  <c r="BL410" i="3"/>
  <c r="AZ410" i="3" s="1"/>
  <c r="G419" i="3"/>
  <c r="BA422" i="3"/>
  <c r="G430" i="3"/>
  <c r="BL431" i="3"/>
  <c r="AZ431" i="3" s="1"/>
  <c r="BL434" i="3"/>
  <c r="G437" i="3"/>
  <c r="BL438" i="3"/>
  <c r="BL439" i="3"/>
  <c r="AZ439" i="3" s="1"/>
  <c r="BA441" i="3"/>
  <c r="AZ441" i="3" s="1"/>
  <c r="BL445" i="3"/>
  <c r="BL446" i="3"/>
  <c r="BL449" i="3"/>
  <c r="BL450" i="3"/>
  <c r="BL452" i="3"/>
  <c r="G455" i="3"/>
  <c r="BL456" i="3"/>
  <c r="AZ456" i="3" s="1"/>
  <c r="BA464" i="3"/>
  <c r="AZ464" i="3" s="1"/>
  <c r="BL467" i="3"/>
  <c r="BL468" i="3"/>
  <c r="BL470" i="3"/>
  <c r="AZ470" i="3" s="1"/>
  <c r="BL473" i="3"/>
  <c r="AZ473" i="3" s="1"/>
  <c r="BL474" i="3"/>
  <c r="BA482" i="3"/>
  <c r="BA484" i="3"/>
  <c r="AZ484" i="3" s="1"/>
  <c r="BA303" i="3"/>
  <c r="AZ303" i="3" s="1"/>
  <c r="BA307" i="3"/>
  <c r="BL314" i="3"/>
  <c r="AZ314" i="3" s="1"/>
  <c r="BA332" i="3"/>
  <c r="AZ332" i="3" s="1"/>
  <c r="BL332" i="3"/>
  <c r="BA367" i="3"/>
  <c r="AZ367" i="3" s="1"/>
  <c r="BA370" i="3"/>
  <c r="BA386" i="3"/>
  <c r="AZ386" i="3" s="1"/>
  <c r="BA216" i="3"/>
  <c r="AZ216" i="3" s="1"/>
  <c r="BA218" i="3"/>
  <c r="BL218" i="3"/>
  <c r="BL220" i="3"/>
  <c r="AZ220" i="3" s="1"/>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N65" i="71"/>
  <c r="C34" i="71"/>
  <c r="Y29" i="71"/>
  <c r="Z29" i="71" s="1"/>
  <c r="C55" i="71"/>
  <c r="D54" i="71"/>
  <c r="G399" i="3"/>
  <c r="BL400" i="3"/>
  <c r="AZ400" i="3" s="1"/>
  <c r="BL408" i="3"/>
  <c r="BL411" i="3"/>
  <c r="BL413" i="3"/>
  <c r="AZ413" i="3" s="1"/>
  <c r="G416" i="3"/>
  <c r="BL417" i="3"/>
  <c r="BL418" i="3"/>
  <c r="AZ418" i="3" s="1"/>
  <c r="BL420" i="3"/>
  <c r="AZ420" i="3" s="1"/>
  <c r="G423" i="3"/>
  <c r="BL424" i="3"/>
  <c r="AZ424" i="3" s="1"/>
  <c r="G427" i="3"/>
  <c r="BL428" i="3"/>
  <c r="BL429" i="3"/>
  <c r="BL432" i="3"/>
  <c r="BL435" i="3"/>
  <c r="BL436" i="3"/>
  <c r="BA439" i="3"/>
  <c r="BA440" i="3"/>
  <c r="AZ440" i="3" s="1"/>
  <c r="BA442" i="3"/>
  <c r="BA445" i="3"/>
  <c r="AZ445" i="3" s="1"/>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G214" i="3"/>
  <c r="BL214" i="3"/>
  <c r="AZ214" i="3" s="1"/>
  <c r="G216" i="3"/>
  <c r="BL225" i="3"/>
  <c r="AZ225" i="3" s="1"/>
  <c r="BL226" i="3"/>
  <c r="BA239" i="3"/>
  <c r="BL239" i="3"/>
  <c r="BA241" i="3"/>
  <c r="AZ241" i="3" s="1"/>
  <c r="BL241" i="3"/>
  <c r="BA244" i="3"/>
  <c r="BL244" i="3"/>
  <c r="BA246" i="3"/>
  <c r="BA252" i="3"/>
  <c r="AZ252" i="3" s="1"/>
  <c r="BA254" i="3"/>
  <c r="AZ254" i="3" s="1"/>
  <c r="BA256" i="3"/>
  <c r="BL256" i="3"/>
  <c r="BA258" i="3"/>
  <c r="BL264" i="3"/>
  <c r="BA270" i="3"/>
  <c r="BA271" i="3"/>
  <c r="AZ271" i="3" s="1"/>
  <c r="BL271" i="3"/>
  <c r="BL289" i="3"/>
  <c r="BL292" i="3"/>
  <c r="BL301" i="3"/>
  <c r="AZ301" i="3" s="1"/>
  <c r="BL302" i="3"/>
  <c r="BA114" i="3"/>
  <c r="BL141" i="3"/>
  <c r="BL143" i="3"/>
  <c r="AZ143" i="3" s="1"/>
  <c r="G146" i="3"/>
  <c r="BL161" i="3"/>
  <c r="G167" i="3"/>
  <c r="BL186" i="3"/>
  <c r="G32" i="3"/>
  <c r="BA88" i="3"/>
  <c r="G106" i="3"/>
  <c r="G558" i="3"/>
  <c r="BL398" i="3"/>
  <c r="AZ398" i="3" s="1"/>
  <c r="G402" i="3"/>
  <c r="BL403" i="3"/>
  <c r="G405" i="3"/>
  <c r="G406" i="3"/>
  <c r="BA408" i="3"/>
  <c r="BA409" i="3"/>
  <c r="AZ409" i="3" s="1"/>
  <c r="BA411" i="3"/>
  <c r="BL414" i="3"/>
  <c r="BL415" i="3"/>
  <c r="AZ415" i="3" s="1"/>
  <c r="BA417" i="3"/>
  <c r="BL421" i="3"/>
  <c r="AZ421" i="3" s="1"/>
  <c r="BL422" i="3"/>
  <c r="BL425" i="3"/>
  <c r="AZ425" i="3" s="1"/>
  <c r="BL426" i="3"/>
  <c r="BA428" i="3"/>
  <c r="BA429" i="3"/>
  <c r="AZ429" i="3" s="1"/>
  <c r="BA430" i="3"/>
  <c r="AZ430" i="3" s="1"/>
  <c r="BA432" i="3"/>
  <c r="BA434" i="3"/>
  <c r="BA436" i="3"/>
  <c r="BA438" i="3"/>
  <c r="G442" i="3"/>
  <c r="G443"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BA118" i="3"/>
  <c r="AZ118" i="3" s="1"/>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BL27" i="3"/>
  <c r="BA28" i="3"/>
  <c r="AZ28" i="3" s="1"/>
  <c r="BA31" i="3"/>
  <c r="BA32" i="3"/>
  <c r="G38" i="3"/>
  <c r="BA38" i="3"/>
  <c r="BA41" i="3"/>
  <c r="BA42" i="3"/>
  <c r="G47" i="3"/>
  <c r="BL48" i="3"/>
  <c r="BL54" i="3"/>
  <c r="AZ54" i="3" s="1"/>
  <c r="BL55" i="3"/>
  <c r="AZ55" i="3" s="1"/>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BA160" i="3"/>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BA266" i="3"/>
  <c r="G272" i="3"/>
  <c r="G275" i="3"/>
  <c r="BL276" i="3"/>
  <c r="AZ276" i="3" s="1"/>
  <c r="BL279" i="3"/>
  <c r="BL281" i="3"/>
  <c r="BA285" i="3"/>
  <c r="AZ285" i="3" s="1"/>
  <c r="BA287" i="3"/>
  <c r="AZ134" i="3"/>
  <c r="BA289" i="3"/>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BL288" i="3"/>
  <c r="AZ288" i="3" s="1"/>
  <c r="BA292" i="3"/>
  <c r="BA295" i="3"/>
  <c r="AZ295" i="3" s="1"/>
  <c r="G298" i="3"/>
  <c r="BA299" i="3"/>
  <c r="AZ299" i="3" s="1"/>
  <c r="BA300" i="3"/>
  <c r="BA113" i="3"/>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AZ87" i="3"/>
  <c r="BL202" i="3"/>
  <c r="BL36" i="3"/>
  <c r="AZ36" i="3" s="1"/>
  <c r="AZ48" i="3"/>
  <c r="AZ68" i="3"/>
  <c r="AZ104"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0"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71" i="15"/>
  <c r="B13" i="70"/>
  <c r="C36" i="68"/>
  <c r="D9" i="69"/>
  <c r="D9" i="68"/>
  <c r="M29" i="67"/>
  <c r="M23" i="67"/>
  <c r="L48" i="67"/>
  <c r="F6" i="67"/>
  <c r="M6" i="67"/>
  <c r="D3" i="73"/>
  <c r="M24" i="15"/>
  <c r="M26" i="67"/>
  <c r="F42" i="67"/>
  <c r="M28" i="15"/>
  <c r="M29" i="15"/>
  <c r="F43" i="67"/>
  <c r="F37" i="67"/>
  <c r="M9" i="15"/>
  <c r="F26" i="15"/>
  <c r="F38" i="15"/>
  <c r="C16" i="15"/>
  <c r="D6" i="73"/>
  <c r="M9" i="67"/>
  <c r="F40" i="67"/>
  <c r="M22" i="67"/>
  <c r="M8" i="67"/>
  <c r="C76" i="15"/>
  <c r="L47" i="15"/>
  <c r="F38" i="67"/>
  <c r="M26" i="15"/>
  <c r="F42" i="15"/>
  <c r="D4" i="73"/>
  <c r="L48" i="15"/>
  <c r="F9" i="67"/>
  <c r="J15" i="15"/>
  <c r="C76" i="67"/>
  <c r="F9" i="15"/>
  <c r="M8" i="15"/>
  <c r="F36" i="67"/>
  <c r="J15" i="67"/>
  <c r="F8" i="67"/>
  <c r="F40" i="15"/>
  <c r="F6" i="15"/>
  <c r="F13" i="67"/>
  <c r="F26" i="67"/>
  <c r="F37" i="15"/>
  <c r="F8" i="15"/>
  <c r="M24" i="67"/>
  <c r="D5" i="73"/>
  <c r="F36" i="15"/>
  <c r="F16" i="67"/>
  <c r="M23" i="15"/>
  <c r="L47" i="67"/>
  <c r="F7" i="67"/>
  <c r="D7" i="73"/>
  <c r="M28" i="67"/>
  <c r="I24" i="43" l="1"/>
  <c r="C24" i="43" s="1"/>
  <c r="E50" i="43"/>
  <c r="B48" i="43" s="1"/>
  <c r="H16" i="1"/>
  <c r="E13" i="6"/>
  <c r="Q16" i="1"/>
  <c r="F27" i="69" s="1"/>
  <c r="C47" i="69" s="1"/>
  <c r="D45" i="69" s="1"/>
  <c r="E12" i="6"/>
  <c r="E57" i="40" s="1"/>
  <c r="E14" i="6"/>
  <c r="E63" i="39" s="1"/>
  <c r="E8" i="6"/>
  <c r="F27" i="6" s="1"/>
  <c r="F31" i="6" s="1"/>
  <c r="F66" i="15"/>
  <c r="C27" i="15"/>
  <c r="F51" i="15"/>
  <c r="C49" i="15" s="1"/>
  <c r="F31" i="15"/>
  <c r="C6" i="15"/>
  <c r="C32" i="15" s="1"/>
  <c r="I54" i="15"/>
  <c r="J53" i="15"/>
  <c r="L56" i="15" s="1"/>
  <c r="J57" i="15"/>
  <c r="J55" i="15" s="1"/>
  <c r="J58" i="15" s="1"/>
  <c r="Q50" i="15" s="1"/>
  <c r="F64" i="15"/>
  <c r="F65" i="15"/>
  <c r="L59" i="15"/>
  <c r="Q61" i="15" s="1"/>
  <c r="N59" i="15"/>
  <c r="M59" i="15"/>
  <c r="L58" i="15"/>
  <c r="Q60" i="15" s="1"/>
  <c r="Q71" i="15"/>
  <c r="F68" i="15"/>
  <c r="J6" i="15"/>
  <c r="J18" i="15" s="1"/>
  <c r="AZ202" i="3"/>
  <c r="AZ153" i="3"/>
  <c r="AZ114" i="3"/>
  <c r="AZ264" i="3"/>
  <c r="AZ56" i="3"/>
  <c r="AZ46" i="3"/>
  <c r="AZ284" i="3"/>
  <c r="AZ25" i="3"/>
  <c r="AZ408" i="3"/>
  <c r="AZ270" i="3"/>
  <c r="AZ435" i="3"/>
  <c r="AZ207" i="3"/>
  <c r="G30" i="6"/>
  <c r="G31" i="6" s="1"/>
  <c r="AB39" i="37"/>
  <c r="U39" i="37"/>
  <c r="AZ538" i="3"/>
  <c r="AB12" i="40"/>
  <c r="U12" i="40"/>
  <c r="W25" i="35"/>
  <c r="AC25" i="35"/>
  <c r="AA46" i="34"/>
  <c r="S46" i="34"/>
  <c r="S30" i="34"/>
  <c r="AA30" i="34"/>
  <c r="U31" i="40"/>
  <c r="AB31" i="40"/>
  <c r="AA37" i="39"/>
  <c r="S37" i="39"/>
  <c r="AB28" i="34"/>
  <c r="U28" i="34"/>
  <c r="AZ571" i="3"/>
  <c r="AZ580" i="3"/>
  <c r="AZ449" i="3"/>
  <c r="D31" i="71"/>
  <c r="C32" i="71"/>
  <c r="AC39" i="37"/>
  <c r="W39" i="37"/>
  <c r="W12" i="40"/>
  <c r="AC12" i="40"/>
  <c r="AB25" i="35"/>
  <c r="U25" i="35"/>
  <c r="U46" i="34"/>
  <c r="AB46" i="34"/>
  <c r="S31" i="21"/>
  <c r="AA31" i="21"/>
  <c r="AA27" i="21"/>
  <c r="S27" i="21"/>
  <c r="AC31" i="40"/>
  <c r="W31" i="40"/>
  <c r="W37" i="39"/>
  <c r="AC37" i="39"/>
  <c r="U39" i="40"/>
  <c r="AB39" i="40"/>
  <c r="AZ559" i="3"/>
  <c r="AZ113" i="3"/>
  <c r="AZ161" i="3"/>
  <c r="AZ289" i="3"/>
  <c r="AZ281" i="3"/>
  <c r="AZ79" i="3"/>
  <c r="AZ282" i="3"/>
  <c r="AZ166" i="3"/>
  <c r="AZ236" i="3"/>
  <c r="AZ353" i="3"/>
  <c r="AZ434" i="3"/>
  <c r="AZ428" i="3"/>
  <c r="AZ411" i="3"/>
  <c r="AZ260" i="3"/>
  <c r="AZ468" i="3"/>
  <c r="AZ401" i="3"/>
  <c r="U27" i="34"/>
  <c r="U19" i="34"/>
  <c r="AZ47" i="3"/>
  <c r="AZ121" i="3"/>
  <c r="AZ480" i="3"/>
  <c r="AZ444" i="3"/>
  <c r="AZ476" i="3"/>
  <c r="AZ458" i="3"/>
  <c r="AA38" i="40"/>
  <c r="S38" i="40"/>
  <c r="U12" i="36"/>
  <c r="AB12" i="36"/>
  <c r="AA45" i="21"/>
  <c r="S45" i="21"/>
  <c r="S11" i="35"/>
  <c r="AA11" i="35"/>
  <c r="S13" i="33"/>
  <c r="AA13" i="33"/>
  <c r="AB31" i="21"/>
  <c r="U31" i="21"/>
  <c r="U43" i="39"/>
  <c r="AB43" i="39"/>
  <c r="AA25" i="37"/>
  <c r="S25" i="37"/>
  <c r="AC39" i="40"/>
  <c r="W39" i="40"/>
  <c r="S19" i="34"/>
  <c r="AA19" i="34"/>
  <c r="AZ80" i="3"/>
  <c r="AZ300" i="3"/>
  <c r="AZ348" i="3"/>
  <c r="AZ317" i="3"/>
  <c r="AZ154" i="3"/>
  <c r="AZ64" i="3"/>
  <c r="AZ27" i="3"/>
  <c r="AZ189" i="3"/>
  <c r="AZ453" i="3"/>
  <c r="AZ432" i="3"/>
  <c r="AZ417" i="3"/>
  <c r="AZ436" i="3"/>
  <c r="AZ150" i="3"/>
  <c r="AZ554" i="3"/>
  <c r="AZ283" i="3"/>
  <c r="AZ406" i="3"/>
  <c r="AB38" i="40"/>
  <c r="U38" i="40"/>
  <c r="W12" i="36"/>
  <c r="AC12" i="36"/>
  <c r="AZ522" i="3"/>
  <c r="AZ543" i="3"/>
  <c r="W45" i="21"/>
  <c r="AC45" i="21"/>
  <c r="U30" i="34"/>
  <c r="AB30" i="34"/>
  <c r="AB27" i="21"/>
  <c r="U27" i="21"/>
  <c r="AC43" i="39"/>
  <c r="W43" i="39"/>
  <c r="U25" i="37"/>
  <c r="AB25" i="37"/>
  <c r="AB36" i="35"/>
  <c r="U36" i="35"/>
  <c r="AZ558" i="3"/>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K16" i="1" s="1"/>
  <c r="B29" i="1" s="1"/>
  <c r="C8" i="68"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421" i="3"/>
  <c r="E402" i="3"/>
  <c r="V6" i="3"/>
  <c r="E578" i="3"/>
  <c r="E193" i="3"/>
  <c r="E433" i="3"/>
  <c r="E271" i="3"/>
  <c r="E162" i="3"/>
  <c r="E343" i="3"/>
  <c r="E270" i="3"/>
  <c r="E216" i="3"/>
  <c r="E91" i="3"/>
  <c r="E347" i="3"/>
  <c r="E133" i="3"/>
  <c r="E468" i="3"/>
  <c r="E74" i="3"/>
  <c r="E485" i="3"/>
  <c r="E182" i="3"/>
  <c r="E268" i="3"/>
  <c r="E311" i="3"/>
  <c r="E189" i="3"/>
  <c r="E135" i="3"/>
  <c r="E100" i="3"/>
  <c r="E483" i="3"/>
  <c r="AA26" i="37"/>
  <c r="S26" i="37"/>
  <c r="BA5" i="3"/>
  <c r="E27" i="6" s="1"/>
  <c r="K26" i="6" s="1"/>
  <c r="M26" i="6" s="1"/>
  <c r="I26" i="6" s="1"/>
  <c r="S26" i="6" s="1"/>
  <c r="E240" i="3"/>
  <c r="W40" i="40"/>
  <c r="AC40" i="40"/>
  <c r="AC12" i="21"/>
  <c r="W12" i="21"/>
  <c r="AB12" i="21"/>
  <c r="U12" i="21"/>
  <c r="AA27" i="34"/>
  <c r="S27" i="34"/>
  <c r="AC26" i="37"/>
  <c r="W26" i="37"/>
  <c r="BL5" i="3"/>
  <c r="B15" i="71"/>
  <c r="B14" i="71" s="1"/>
  <c r="B13" i="71" s="1"/>
  <c r="B12" i="71" s="1"/>
  <c r="F7" i="36"/>
  <c r="S7" i="36" s="1"/>
  <c r="H7" i="36"/>
  <c r="U7" i="36" s="1"/>
  <c r="E131" i="3"/>
  <c r="AA9" i="36"/>
  <c r="S9" i="36"/>
  <c r="AA34" i="35"/>
  <c r="S34" i="35"/>
  <c r="E15" i="71"/>
  <c r="E14" i="71" s="1"/>
  <c r="E13" i="71" s="1"/>
  <c r="E12" i="71" s="1"/>
  <c r="V16" i="71"/>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F28" i="12"/>
  <c r="C29" i="12" s="1"/>
  <c r="D28" i="12" s="1"/>
  <c r="E58" i="40"/>
  <c r="E62" i="39"/>
  <c r="M14" i="1"/>
  <c r="D5" i="43"/>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P28" i="43"/>
  <c r="B66" i="40" s="1"/>
  <c r="P25" i="43"/>
  <c r="P29" i="43"/>
  <c r="P27" i="43"/>
  <c r="B70" i="39" s="1"/>
  <c r="M11" i="67"/>
  <c r="J10" i="67" s="1"/>
  <c r="F11" i="15"/>
  <c r="M11" i="15"/>
  <c r="J10" i="15" s="1"/>
  <c r="F11" i="67"/>
  <c r="AE11" i="1"/>
  <c r="AE9" i="1"/>
  <c r="F27" i="68"/>
  <c r="AE7" i="1"/>
  <c r="AE8" i="1"/>
  <c r="AE12" i="1"/>
  <c r="AE10" i="1"/>
  <c r="C16" i="67"/>
  <c r="G1" i="73"/>
  <c r="F45" i="69" l="1"/>
  <c r="Q73" i="15"/>
  <c r="C29" i="69"/>
  <c r="D27" i="69" s="1"/>
  <c r="X6" i="3"/>
  <c r="E201" i="3"/>
  <c r="AO6" i="3"/>
  <c r="E450" i="3"/>
  <c r="E248" i="3"/>
  <c r="E242" i="3"/>
  <c r="E161" i="3"/>
  <c r="E215" i="3"/>
  <c r="E526" i="3"/>
  <c r="E70" i="3"/>
  <c r="E362" i="3"/>
  <c r="E577" i="3"/>
  <c r="E277" i="3"/>
  <c r="E399" i="3"/>
  <c r="E180" i="3"/>
  <c r="E231" i="3"/>
  <c r="E143" i="3"/>
  <c r="E530" i="3"/>
  <c r="AS6" i="3"/>
  <c r="E567" i="3"/>
  <c r="E314" i="3"/>
  <c r="E61" i="3"/>
  <c r="E516" i="3"/>
  <c r="E169" i="3"/>
  <c r="E524" i="3"/>
  <c r="E378" i="3"/>
  <c r="E118" i="3"/>
  <c r="E132" i="3"/>
  <c r="AI6" i="3"/>
  <c r="E172" i="3"/>
  <c r="AB6" i="3"/>
  <c r="E579" i="3"/>
  <c r="E572" i="3"/>
  <c r="E531" i="3"/>
  <c r="E204" i="3"/>
  <c r="E171" i="3"/>
  <c r="E406" i="3"/>
  <c r="E545" i="3"/>
  <c r="E586" i="3"/>
  <c r="E183" i="3"/>
  <c r="E538" i="3"/>
  <c r="E555" i="3"/>
  <c r="E384" i="3"/>
  <c r="E414" i="3"/>
  <c r="E31" i="3"/>
  <c r="E527" i="3"/>
  <c r="E253" i="3"/>
  <c r="E395" i="3"/>
  <c r="E164" i="3"/>
  <c r="E548" i="3"/>
  <c r="E329" i="3"/>
  <c r="E56" i="40"/>
  <c r="E142" i="3"/>
  <c r="E219" i="3"/>
  <c r="E119" i="3"/>
  <c r="E423" i="3"/>
  <c r="E563" i="3"/>
  <c r="M6" i="3"/>
  <c r="E509" i="3"/>
  <c r="E377" i="3"/>
  <c r="E557" i="3"/>
  <c r="E89" i="3"/>
  <c r="E146" i="3"/>
  <c r="E472" i="3"/>
  <c r="E181" i="3"/>
  <c r="E350" i="3"/>
  <c r="E528" i="3"/>
  <c r="E561" i="3"/>
  <c r="E388" i="3"/>
  <c r="E186" i="3"/>
  <c r="E478" i="3"/>
  <c r="E150" i="3"/>
  <c r="E519" i="3"/>
  <c r="E583" i="3"/>
  <c r="E130" i="3"/>
  <c r="E256" i="3"/>
  <c r="E475" i="3"/>
  <c r="E512" i="3"/>
  <c r="E51" i="40"/>
  <c r="E290" i="3"/>
  <c r="E230" i="3"/>
  <c r="E30" i="3"/>
  <c r="E424" i="3"/>
  <c r="E359" i="3"/>
  <c r="E504" i="3"/>
  <c r="E194" i="3"/>
  <c r="E391" i="3"/>
  <c r="E56" i="39"/>
  <c r="E44" i="3"/>
  <c r="E476" i="3"/>
  <c r="E107" i="3"/>
  <c r="E279" i="3"/>
  <c r="E457" i="3"/>
  <c r="E511" i="3"/>
  <c r="E518" i="3"/>
  <c r="E260" i="3"/>
  <c r="E407" i="3"/>
  <c r="E444" i="3"/>
  <c r="E128" i="3"/>
  <c r="AM6" i="3"/>
  <c r="E266" i="3"/>
  <c r="E40" i="3"/>
  <c r="E425" i="3"/>
  <c r="J5" i="15"/>
  <c r="J24" i="15" s="1"/>
  <c r="E151" i="3"/>
  <c r="E553" i="3"/>
  <c r="E166" i="3"/>
  <c r="P6" i="3"/>
  <c r="E32" i="3"/>
  <c r="E496" i="3"/>
  <c r="E330" i="3"/>
  <c r="AA6" i="3"/>
  <c r="E17" i="3"/>
  <c r="E506" i="3"/>
  <c r="E153" i="3"/>
  <c r="E71" i="3"/>
  <c r="E93" i="3"/>
  <c r="E157" i="3"/>
  <c r="Y6" i="3"/>
  <c r="E284" i="3"/>
  <c r="E348" i="3"/>
  <c r="E147" i="3"/>
  <c r="E60" i="3"/>
  <c r="E507" i="3"/>
  <c r="E356" i="3"/>
  <c r="AF6" i="3"/>
  <c r="E184" i="3"/>
  <c r="E449" i="3"/>
  <c r="E569" i="3"/>
  <c r="E480" i="3"/>
  <c r="E404" i="3"/>
  <c r="E576" i="3"/>
  <c r="E274" i="3"/>
  <c r="E344" i="3"/>
  <c r="E262" i="3"/>
  <c r="AN6" i="3"/>
  <c r="E237" i="3"/>
  <c r="E97" i="3"/>
  <c r="E29" i="3"/>
  <c r="E432" i="3"/>
  <c r="E54" i="3"/>
  <c r="E82" i="3"/>
  <c r="E542" i="3"/>
  <c r="E57" i="3"/>
  <c r="E552" i="3"/>
  <c r="E325" i="3"/>
  <c r="E202" i="3"/>
  <c r="E393" i="3"/>
  <c r="E452" i="3"/>
  <c r="E129" i="3"/>
  <c r="E467" i="3"/>
  <c r="E358" i="3"/>
  <c r="E282" i="3"/>
  <c r="E295" i="3"/>
  <c r="E443" i="3"/>
  <c r="I6" i="3"/>
  <c r="E55" i="3"/>
  <c r="Q6" i="3"/>
  <c r="E156" i="3"/>
  <c r="E221" i="3"/>
  <c r="E418" i="3"/>
  <c r="E426" i="3"/>
  <c r="E126" i="3"/>
  <c r="E196" i="3"/>
  <c r="E529" i="3"/>
  <c r="E488" i="3"/>
  <c r="E464" i="3"/>
  <c r="E386" i="3"/>
  <c r="E50" i="3"/>
  <c r="E15" i="3"/>
  <c r="E376" i="3"/>
  <c r="E342" i="3"/>
  <c r="E140" i="3"/>
  <c r="E264" i="3"/>
  <c r="E479" i="3"/>
  <c r="F1" i="15"/>
  <c r="Q74" i="15"/>
  <c r="Q52" i="15"/>
  <c r="F59" i="15"/>
  <c r="D26" i="43"/>
  <c r="C25" i="43" s="1"/>
  <c r="AB7" i="36"/>
  <c r="T36" i="36" s="1"/>
  <c r="G36" i="36" s="1"/>
  <c r="G40" i="36" s="1"/>
  <c r="H40" i="36" s="1"/>
  <c r="E30" i="6"/>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159" i="3"/>
  <c r="E213" i="3"/>
  <c r="E298" i="3"/>
  <c r="S6" i="3"/>
  <c r="E574" i="3"/>
  <c r="E501" i="3"/>
  <c r="E291" i="3"/>
  <c r="E546" i="3"/>
  <c r="E379" i="3"/>
  <c r="E357" i="3"/>
  <c r="E471" i="3"/>
  <c r="E306" i="3"/>
  <c r="E413" i="3"/>
  <c r="E66" i="3"/>
  <c r="E47" i="3"/>
  <c r="E354" i="3"/>
  <c r="E312" i="3"/>
  <c r="E155" i="3"/>
  <c r="E265" i="3"/>
  <c r="E123" i="3"/>
  <c r="E137" i="3"/>
  <c r="E372" i="3"/>
  <c r="E463" i="3"/>
  <c r="E486" i="3"/>
  <c r="E83" i="3"/>
  <c r="E243" i="3"/>
  <c r="E469" i="3"/>
  <c r="E251" i="3"/>
  <c r="E332" i="3"/>
  <c r="E144" i="3"/>
  <c r="E349" i="3"/>
  <c r="E212" i="3"/>
  <c r="D32" i="71"/>
  <c r="T32" i="71"/>
  <c r="AA7" i="36"/>
  <c r="R36" i="36" s="1"/>
  <c r="E139" i="3"/>
  <c r="E369" i="3"/>
  <c r="E94"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254" i="3"/>
  <c r="E565" i="3"/>
  <c r="E338" i="3"/>
  <c r="E390" i="3"/>
  <c r="O6" i="3"/>
  <c r="E53" i="3"/>
  <c r="E272" i="3"/>
  <c r="E367" i="3"/>
  <c r="E145" i="3"/>
  <c r="E257" i="3"/>
  <c r="E438" i="3"/>
  <c r="E122" i="3"/>
  <c r="E195" i="3"/>
  <c r="E39" i="3"/>
  <c r="E582" i="3"/>
  <c r="E110" i="3"/>
  <c r="E250" i="3"/>
  <c r="E398" i="3"/>
  <c r="E20" i="3"/>
  <c r="AQ6" i="3"/>
  <c r="E455" i="3"/>
  <c r="E226" i="3"/>
  <c r="J6" i="3"/>
  <c r="E493" i="3"/>
  <c r="E35" i="3"/>
  <c r="E470" i="3"/>
  <c r="E197" i="3"/>
  <c r="E174" i="3"/>
  <c r="E283" i="3"/>
  <c r="E371" i="3"/>
  <c r="E56" i="3"/>
  <c r="E510" i="3"/>
  <c r="AZ5" i="3"/>
  <c r="AY6" i="3"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AA10" i="39"/>
  <c r="H10" i="40"/>
  <c r="AB10" i="40" s="1"/>
  <c r="F10" i="40"/>
  <c r="S10" i="40"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09"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M18" i="9"/>
  <c r="B118" i="9" s="1"/>
  <c r="B1" i="74" s="1"/>
  <c r="D3" i="34"/>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6" i="37"/>
  <c r="H46" i="37" s="1"/>
  <c r="G48" i="35"/>
  <c r="U7" i="33"/>
  <c r="AB7" i="33"/>
  <c r="T48" i="33" s="1"/>
  <c r="G48" i="33" s="1"/>
  <c r="C53" i="67"/>
  <c r="C10" i="67"/>
  <c r="C5" i="67" s="1"/>
  <c r="C38" i="67" s="1"/>
  <c r="C53" i="15"/>
  <c r="C48" i="15" s="1"/>
  <c r="C66" i="15" s="1"/>
  <c r="C10" i="15"/>
  <c r="C5" i="15" s="1"/>
  <c r="C38" i="15" s="1"/>
  <c r="F41" i="67"/>
  <c r="AE6" i="1"/>
  <c r="M27" i="67"/>
  <c r="M27" i="15"/>
  <c r="G41" i="36" l="1"/>
  <c r="H41" i="36" s="1"/>
  <c r="I46" i="37"/>
  <c r="J46" i="37" s="1"/>
  <c r="I53" i="34"/>
  <c r="J53" i="34" s="1"/>
  <c r="C48" i="67"/>
  <c r="C60" i="67" s="1"/>
  <c r="F69" i="67"/>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15" i="3"/>
  <c r="AY188" i="3"/>
  <c r="AY297" i="3"/>
  <c r="AY225" i="3"/>
  <c r="AY50" i="3"/>
  <c r="AY289" i="3"/>
  <c r="AY209" i="3"/>
  <c r="AY473" i="3"/>
  <c r="AY26" i="3"/>
  <c r="AY260" i="3"/>
  <c r="AY310" i="3"/>
  <c r="AY420" i="3"/>
  <c r="AY533" i="3"/>
  <c r="AY97" i="3"/>
  <c r="AY44" i="3"/>
  <c r="AY154" i="3"/>
  <c r="AY283" i="3"/>
  <c r="AY247" i="3"/>
  <c r="AY3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276" i="3"/>
  <c r="AY335" i="3"/>
  <c r="AY261" i="3"/>
  <c r="AY441" i="3"/>
  <c r="AY372" i="3"/>
  <c r="AY549" i="3"/>
  <c r="AY61" i="3"/>
  <c r="AY190" i="3"/>
  <c r="AY133" i="3"/>
  <c r="AY230" i="3"/>
  <c r="AY360" i="3"/>
  <c r="AY5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E3" i="6"/>
  <c r="D19" i="11" s="1"/>
  <c r="C19" i="11" s="1"/>
  <c r="C20" i="11" s="1"/>
  <c r="C28" i="11" s="1"/>
  <c r="C27" i="11" s="1"/>
  <c r="H6" i="3"/>
  <c r="R50" i="34"/>
  <c r="C49" i="34" s="1"/>
  <c r="W10" i="40"/>
  <c r="AB10" i="39"/>
  <c r="AC6" i="3"/>
  <c r="E6" i="3" s="1"/>
  <c r="F22" i="68"/>
  <c r="C44" i="68" s="1"/>
  <c r="D41" i="68"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6" i="6"/>
  <c r="D10" i="6"/>
  <c r="C18" i="4"/>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4" i="67"/>
  <c r="C17" i="67"/>
  <c r="F41" i="15"/>
  <c r="C17" i="15"/>
  <c r="F69" i="15" l="1"/>
  <c r="C66" i="67"/>
  <c r="I54" i="34"/>
  <c r="J54" i="34" s="1"/>
  <c r="D11" i="6"/>
  <c r="D22" i="6"/>
  <c r="D3" i="37"/>
  <c r="D12" i="6"/>
  <c r="D19" i="6"/>
  <c r="D9" i="6"/>
  <c r="D20" i="6"/>
  <c r="D15" i="6"/>
  <c r="D14" i="12"/>
  <c r="D17" i="12" s="1"/>
  <c r="C17" i="12" s="1"/>
  <c r="D28" i="6"/>
  <c r="D24" i="6"/>
  <c r="D5" i="6"/>
  <c r="H21" i="6"/>
  <c r="D14" i="6"/>
  <c r="D25" i="6"/>
  <c r="D13" i="6"/>
  <c r="D23" i="6"/>
  <c r="D29" i="6"/>
  <c r="D8" i="6"/>
  <c r="D21" i="6"/>
  <c r="M19" i="9"/>
  <c r="C118" i="9" s="1"/>
  <c r="B2" i="74" s="1"/>
  <c r="D30" i="6"/>
  <c r="D37" i="11"/>
  <c r="D3" i="21"/>
  <c r="C17" i="4"/>
  <c r="B4" i="52" s="1"/>
  <c r="B43" i="72" s="1"/>
  <c r="E6" i="6"/>
  <c r="D3" i="33"/>
  <c r="C50" i="34"/>
  <c r="E53" i="34"/>
  <c r="F53" i="34" s="1"/>
  <c r="C26" i="68"/>
  <c r="D22" i="68" s="1"/>
  <c r="F41" i="68"/>
  <c r="H22" i="6"/>
  <c r="H25" i="6"/>
  <c r="H24" i="6"/>
  <c r="R24" i="6" s="1"/>
  <c r="R11" i="1" s="1"/>
  <c r="C26" i="11"/>
  <c r="D22" i="11" s="1"/>
  <c r="C44" i="11"/>
  <c r="D41" i="11" s="1"/>
  <c r="C19" i="71"/>
  <c r="T20" i="71"/>
  <c r="D20" i="71"/>
  <c r="U20" i="71" s="1"/>
  <c r="C25" i="11"/>
  <c r="C24" i="11"/>
  <c r="C44" i="69"/>
  <c r="D41" i="69" s="1"/>
  <c r="C26" i="69"/>
  <c r="D22" i="69" s="1"/>
  <c r="C18" i="67"/>
  <c r="C15" i="67"/>
  <c r="H23" i="6"/>
  <c r="R23" i="6" s="1"/>
  <c r="R10" i="1" s="1"/>
  <c r="C30" i="43"/>
  <c r="B2"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8" i="74"/>
  <c r="D7" i="74"/>
  <c r="R21" i="6"/>
  <c r="R8" i="1" s="1"/>
  <c r="F50" i="69"/>
  <c r="F50" i="11"/>
  <c r="F50" i="68"/>
  <c r="C4" i="52"/>
  <c r="B45"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6" i="68"/>
  <c r="C7" i="68" s="1"/>
  <c r="C5" i="68" s="1"/>
  <c r="C23" i="68" s="1"/>
  <c r="R25" i="6"/>
  <c r="R12" i="1" s="1"/>
  <c r="R20" i="6"/>
  <c r="R7" i="1" s="1"/>
  <c r="D27" i="6"/>
  <c r="D31" i="6" s="1"/>
  <c r="A10" i="51"/>
  <c r="B9" i="72" s="1"/>
  <c r="D20" i="12"/>
  <c r="C20" i="12" s="1"/>
  <c r="C18" i="12" s="1"/>
  <c r="D10" i="68"/>
  <c r="D10" i="11"/>
  <c r="C10" i="11" s="1"/>
  <c r="D6" i="6"/>
  <c r="D10" i="69"/>
  <c r="C18" i="71"/>
  <c r="D19" i="71"/>
  <c r="C22" i="11"/>
  <c r="C31" i="1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D19" i="68"/>
  <c r="C10" i="68"/>
  <c r="C10" i="69"/>
  <c r="C8" i="69" s="1"/>
  <c r="C5" i="69" s="1"/>
  <c r="C23" i="69" s="1"/>
  <c r="D19" i="69"/>
  <c r="C17" i="71"/>
  <c r="D18" i="71"/>
  <c r="F7" i="21"/>
  <c r="S7" i="21" s="1"/>
  <c r="J7" i="21"/>
  <c r="AC7" i="21" s="1"/>
  <c r="V48" i="21" s="1"/>
  <c r="I48" i="21" s="1"/>
  <c r="C23" i="67"/>
  <c r="C29" i="67" s="1"/>
  <c r="J59" i="67" s="1"/>
  <c r="J60" i="67" s="1"/>
  <c r="Q48" i="67" s="1"/>
  <c r="C19" i="15"/>
  <c r="C20" i="15" s="1"/>
  <c r="C26" i="15" s="1"/>
  <c r="C38" i="11"/>
  <c r="C35" i="11"/>
  <c r="H27" i="6"/>
  <c r="R19" i="6"/>
  <c r="C27" i="12"/>
  <c r="C25" i="12" s="1"/>
  <c r="B3" i="76"/>
  <c r="J69" i="39"/>
  <c r="K67" i="39"/>
  <c r="U7" i="21"/>
  <c r="AB7" i="21"/>
  <c r="T48" i="21" s="1"/>
  <c r="G48" i="21" s="1"/>
  <c r="J63" i="40"/>
  <c r="I65" i="40"/>
  <c r="K48" i="35"/>
  <c r="L48" i="35" s="1"/>
  <c r="M48" i="35" s="1"/>
  <c r="N48" i="35" s="1"/>
  <c r="O48" i="35" s="1"/>
  <c r="H7" i="35" s="1"/>
  <c r="C30" i="12" l="1"/>
  <c r="C28" i="12" s="1"/>
  <c r="C32" i="12" s="1"/>
  <c r="B2" i="12" s="1"/>
  <c r="B3" i="12" s="1"/>
  <c r="C19" i="69"/>
  <c r="C24" i="69" s="1"/>
  <c r="D37" i="69"/>
  <c r="C37" i="69" s="1"/>
  <c r="C33" i="69" s="1"/>
  <c r="C19" i="68"/>
  <c r="D37" i="68"/>
  <c r="C37" i="68" s="1"/>
  <c r="C33" i="68" s="1"/>
  <c r="C39" i="68" s="1"/>
  <c r="C43" i="68" s="1"/>
  <c r="D17" i="71"/>
  <c r="C16"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E48" i="21"/>
  <c r="G52" i="21"/>
  <c r="H52" i="21" s="1"/>
  <c r="G53" i="21"/>
  <c r="H53" i="21" s="1"/>
  <c r="F7" i="35"/>
  <c r="F35" i="67"/>
  <c r="M21" i="15"/>
  <c r="F35" i="15"/>
  <c r="M21" i="67"/>
  <c r="C20" i="69" l="1"/>
  <c r="C28" i="69" s="1"/>
  <c r="C27" i="69" s="1"/>
  <c r="C46" i="68"/>
  <c r="C45" i="68" s="1"/>
  <c r="C42" i="68"/>
  <c r="C41" i="68" s="1"/>
  <c r="C24" i="68"/>
  <c r="C20" i="68"/>
  <c r="C39" i="69"/>
  <c r="C42" i="69"/>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49" i="68" l="1"/>
  <c r="C51" i="68" s="1"/>
  <c r="C25" i="69"/>
  <c r="C22" i="69" s="1"/>
  <c r="C31" i="69" s="1"/>
  <c r="C43" i="69"/>
  <c r="C41" i="69" s="1"/>
  <c r="C46" i="69"/>
  <c r="C45" i="69" s="1"/>
  <c r="C28" i="68"/>
  <c r="C27" i="68" s="1"/>
  <c r="C25" i="68"/>
  <c r="C2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C49" i="69"/>
  <c r="C51" i="69" s="1"/>
  <c r="C52" i="69" s="1"/>
  <c r="B2" i="69" s="1"/>
  <c r="B3" i="69"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68" l="1"/>
  <c r="C57" i="68"/>
  <c r="C56" i="68" s="1"/>
  <c r="C57" i="69"/>
  <c r="C56"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D35" i="9"/>
  <c r="D34" i="9"/>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1" i="1"/>
  <c r="C19" i="9"/>
  <c r="AO8" i="1"/>
  <c r="AO12" i="1"/>
  <c r="AO7" i="1"/>
  <c r="AO9"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102" i="9" l="1"/>
  <c r="D21" i="9"/>
  <c r="D22" i="9"/>
  <c r="G19" i="9"/>
  <c r="G21" i="9" s="1"/>
  <c r="B6" i="70"/>
  <c r="B3" i="15"/>
  <c r="C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E14" i="74" s="1"/>
  <c r="C32" i="9"/>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D7" i="71"/>
  <c r="C6" i="71"/>
  <c r="B5" i="74" l="1"/>
  <c r="D5" i="74" s="1"/>
  <c r="G14" i="74"/>
  <c r="B6" i="74" s="1"/>
  <c r="F14" i="74"/>
  <c r="R22" i="31"/>
  <c r="B20" i="31"/>
  <c r="B21" i="31" s="1"/>
  <c r="C5" i="71"/>
  <c r="D5" i="71" s="1"/>
  <c r="M24" i="43" s="1"/>
  <c r="D6" i="71"/>
  <c r="D6" i="74" l="1"/>
  <c r="H118" i="9" l="1"/>
  <c r="I118" i="9" s="1"/>
  <c r="C105" i="9" s="1"/>
  <c r="F118" i="9"/>
  <c r="G118" i="9" s="1"/>
  <c r="G4" i="52" s="1"/>
  <c r="B52" i="72" s="1"/>
  <c r="I4" i="52" l="1"/>
  <c r="E118" i="9"/>
  <c r="H102" i="9"/>
  <c r="C5" i="74" s="1"/>
  <c r="F4" i="52"/>
  <c r="B51" i="72" s="1"/>
  <c r="F119" i="9"/>
  <c r="F5" i="52" s="1"/>
  <c r="B53" i="72" s="1"/>
  <c r="E4" i="52"/>
  <c r="B48" i="72" s="1"/>
  <c r="D118" i="9"/>
  <c r="C104" i="9"/>
  <c r="H101" i="9"/>
  <c r="H4" i="52"/>
  <c r="H119" i="9"/>
  <c r="H5" i="52" s="1"/>
  <c r="D7" i="53" l="1"/>
  <c r="B21" i="72" s="1"/>
  <c r="M48" i="9"/>
  <c r="D45" i="9"/>
  <c r="H107" i="9"/>
  <c r="D5" i="53"/>
  <c r="D4" i="52"/>
  <c r="B47" i="72" s="1"/>
  <c r="D119" i="9"/>
  <c r="D5" i="52" s="1"/>
  <c r="B49" i="72" s="1"/>
  <c r="D13" i="53" l="1"/>
  <c r="H108" i="9"/>
  <c r="D122" i="9"/>
  <c r="D6" i="53"/>
  <c r="B22" i="72" s="1"/>
  <c r="B20" i="72"/>
  <c r="C72" i="9"/>
  <c r="D53" i="9"/>
  <c r="C93" i="9"/>
  <c r="C86" i="9" s="1"/>
  <c r="C85" i="9"/>
  <c r="D52" i="9"/>
  <c r="D55" i="9"/>
  <c r="M53" i="9" s="1"/>
  <c r="C78" i="9"/>
  <c r="C73" i="9" s="1"/>
  <c r="C64" i="9"/>
  <c r="C63" i="9" s="1"/>
  <c r="C67" i="9" s="1"/>
  <c r="D8" i="52" l="1"/>
  <c r="D123" i="9"/>
  <c r="D9" i="52" s="1"/>
  <c r="C79" i="9"/>
  <c r="D15" i="53"/>
  <c r="B31" i="72" s="1"/>
  <c r="C6" i="74"/>
  <c r="C68" i="9"/>
  <c r="D54" i="9" s="1"/>
  <c r="D59" i="9"/>
  <c r="M55" i="9" s="1"/>
  <c r="C95" i="9"/>
  <c r="B30" i="72"/>
  <c r="D14" i="53"/>
  <c r="B32" i="72" s="1"/>
  <c r="C80" i="9" l="1"/>
  <c r="E80" i="9" s="1"/>
  <c r="E81" i="9" s="1"/>
  <c r="C96" i="9"/>
  <c r="E96" i="9" s="1"/>
  <c r="E97" i="9" s="1"/>
  <c r="C97" i="9" l="1"/>
  <c r="D58" i="9" s="1"/>
  <c r="D56" i="9" s="1"/>
  <c r="M54" i="9" s="1"/>
  <c r="N57" i="9" s="1"/>
  <c r="N5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<sst xmlns="http://schemas.openxmlformats.org/spreadsheetml/2006/main" count="8121" uniqueCount="3551">
  <si>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</si>
  <si>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</si>
  <si>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</si>
  <si>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</si>
  <si>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</si>
  <si>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</si>
  <si>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</si>
  <si>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</si>
  <si>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</si>
  <si>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</si>
  <si>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</si>
  <si>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</si>
  <si>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</si>
  <si>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</si>
  <si>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</si>
  <si>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</si>
  <si>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</si>
  <si>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</si>
  <si>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</si>
  <si>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</si>
  <si>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</si>
  <si>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</si>
  <si>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</si>
  <si>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</si>
  <si>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</si>
  <si>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</si>
  <si>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</si>
  <si>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</si>
  <si>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</si>
  <si>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</si>
  <si>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</si>
  <si>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</si>
  <si>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</si>
  <si>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</si>
  <si>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</si>
  <si>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</si>
  <si>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</si>
  <si>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</si>
  <si>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</si>
  <si>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</si>
  <si>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</si>
  <si>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</si>
  <si>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</si>
  <si>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</si>
  <si>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</si>
  <si>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</si>
  <si>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</si>
  <si>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</si>
  <si>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</si>
  <si>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</si>
  <si>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</si>
  <si>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</si>
  <si>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</si>
  <si>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</si>
  <si>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</si>
  <si>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</si>
  <si>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</si>
  <si>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</si>
  <si>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</si>
  <si>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</si>
  <si>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</si>
  <si>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</si>
  <si>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</si>
  <si>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</si>
  <si>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</si>
  <si>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</si>
  <si>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</si>
  <si>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</si>
  <si>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</si>
  <si>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</si>
  <si>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</si>
  <si>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</si>
  <si>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</si>
  <si>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</si>
  <si>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</si>
  <si>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</si>
  <si>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</si>
  <si>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</si>
  <si>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</si>
  <si>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</si>
  <si>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</si>
  <si>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</si>
  <si>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</si>
  <si>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</si>
  <si>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</si>
  <si>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</si>
  <si>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</si>
  <si>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</si>
  <si>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</si>
  <si>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</si>
  <si>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</si>
  <si>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</si>
  <si>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</si>
  <si>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</si>
  <si>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</si>
  <si>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</si>
  <si>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</si>
  <si>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</si>
  <si>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</si>
  <si>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</si>
  <si>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</si>
  <si>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</si>
  <si>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</si>
  <si>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</si>
  <si>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</si>
  <si>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</si>
  <si>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</si>
  <si>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</si>
  <si>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</si>
  <si>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</si>
  <si>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</si>
  <si>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</si>
  <si>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</si>
  <si>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</si>
  <si>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</si>
  <si>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</si>
  <si>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</si>
  <si>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</si>
  <si>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</si>
  <si>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</si>
  <si>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</si>
  <si>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</si>
  <si>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</si>
  <si>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</si>
  <si>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</si>
  <si>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</si>
  <si>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</si>
  <si>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</si>
  <si>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</si>
  <si>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</si>
  <si>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</si>
  <si>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</si>
  <si>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</si>
  <si>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</si>
  <si>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</si>
  <si>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</si>
  <si>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</si>
  <si>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</si>
  <si>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</si>
  <si>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</si>
  <si>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</si>
  <si>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</si>
  <si>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</si>
  <si>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</si>
  <si>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</si>
  <si>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</si>
  <si>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</si>
  <si>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</si>
  <si>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</si>
  <si>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</si>
  <si>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</si>
  <si>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</si>
  <si>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</si>
  <si>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</si>
  <si>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</si>
  <si>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</si>
  <si>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</si>
  <si>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</si>
  <si>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</si>
  <si>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</si>
  <si>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</si>
  <si>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</si>
  <si>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</si>
  <si>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</si>
  <si>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</si>
  <si>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</si>
  <si>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</si>
  <si>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</si>
  <si>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</si>
  <si>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</si>
  <si>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</si>
  <si>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</si>
  <si>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</si>
  <si>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</si>
  <si>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</si>
  <si>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</si>
  <si>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</si>
  <si>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</si>
  <si>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</si>
  <si>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</si>
  <si>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</si>
  <si>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</si>
  <si>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</si>
  <si>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</si>
  <si>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</si>
  <si>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</si>
  <si>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</si>
  <si>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</si>
  <si>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</si>
  <si>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</si>
  <si>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</si>
  <si>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</si>
  <si>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</si>
  <si>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</si>
  <si>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</si>
  <si>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</si>
  <si>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</si>
  <si>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</si>
  <si>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</si>
  <si>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</si>
  <si>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</si>
  <si>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</si>
  <si>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</si>
  <si>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</si>
  <si>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</si>
  <si>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</si>
  <si>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</si>
  <si>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</si>
  <si>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</si>
  <si>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</si>
  <si>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</si>
  <si>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</si>
  <si>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</si>
  <si>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</si>
  <si>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</si>
  <si>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</si>
  <si>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</si>
  <si>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</si>
  <si>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</si>
  <si>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</si>
  <si>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</si>
  <si>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</si>
  <si>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</si>
  <si>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</si>
  <si>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</si>
  <si>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</si>
  <si>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</si>
  <si>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</si>
  <si>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</si>
  <si>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</si>
  <si>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</si>
  <si>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</si>
  <si>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</si>
  <si>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</si>
  <si>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</si>
  <si>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</si>
  <si>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</si>
  <si>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</si>
  <si>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</si>
  <si>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</si>
  <si>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</si>
  <si>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</si>
  <si>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</si>
  <si>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</si>
  <si>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</si>
  <si>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</si>
  <si>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</si>
  <si>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</si>
  <si>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</si>
  <si>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</si>
  <si>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</si>
  <si>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</si>
  <si>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</si>
  <si>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</si>
  <si>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</si>
  <si>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</si>
  <si>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</si>
  <si>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</si>
  <si>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</si>
  <si>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</si>
  <si>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</si>
  <si>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</si>
  <si>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</si>
  <si>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</si>
  <si>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</si>
  <si>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</si>
  <si>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</si>
  <si>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</si>
  <si>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</si>
  <si>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</si>
  <si>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</si>
  <si>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</si>
  <si>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</si>
  <si>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</si>
  <si>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</si>
  <si>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</si>
  <si>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</si>
  <si>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</si>
  <si>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</si>
  <si>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</si>
  <si>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</si>
  <si>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</si>
  <si>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</si>
  <si>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</si>
  <si>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</si>
  <si>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</si>
  <si>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</si>
  <si>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</si>
  <si>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</si>
  <si>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</si>
  <si>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</si>
  <si>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</si>
  <si>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</si>
  <si>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</si>
  <si>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</si>
  <si>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</si>
  <si>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</si>
  <si>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</si>
  <si>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</si>
  <si>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</si>
  <si>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</si>
  <si>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</si>
  <si>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</si>
  <si>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</si>
  <si>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</si>
  <si>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</si>
  <si>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</si>
  <si>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</si>
  <si>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</si>
  <si>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</si>
  <si>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</si>
  <si>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</si>
  <si>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</si>
  <si>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</si>
  <si>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</si>
  <si>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</si>
  <si>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</si>
  <si>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</si>
  <si>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</si>
  <si>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</si>
  <si>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</si>
  <si>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</si>
  <si>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</si>
  <si>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</si>
  <si>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</si>
  <si>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</si>
  <si>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</si>
  <si>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</si>
  <si>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</si>
  <si>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</si>
  <si>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</si>
  <si>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</si>
  <si>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</si>
  <si>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</si>
  <si>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</si>
  <si>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</si>
  <si>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</si>
  <si>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</si>
  <si>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</si>
  <si>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</si>
  <si>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</si>
  <si>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</si>
  <si>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</si>
  <si>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</si>
  <si>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</si>
  <si>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</si>
  <si>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</si>
  <si>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</si>
  <si>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</si>
  <si>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</si>
  <si>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</si>
  <si>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</si>
  <si>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</si>
  <si>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</si>
  <si>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</si>
  <si>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</si>
  <si>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</si>
  <si>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</si>
  <si>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</si>
  <si>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</si>
  <si>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</si>
  <si>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</si>
  <si>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</si>
  <si>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</si>
  <si>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</si>
  <si>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</si>
  <si>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</si>
  <si>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</si>
  <si>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</si>
  <si>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</si>
  <si>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</si>
  <si>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</si>
  <si>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</si>
  <si>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</si>
  <si>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</si>
  <si>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</si>
  <si>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</si>
  <si>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</si>
  <si>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</si>
  <si>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</si>
  <si>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</si>
  <si>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</si>
  <si>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</si>
  <si>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</si>
  <si>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</si>
  <si>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</si>
  <si>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</si>
  <si>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</si>
  <si>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</si>
  <si>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</si>
  <si>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</si>
  <si>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</si>
  <si>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</si>
  <si>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</si>
  <si>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</si>
  <si>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</si>
  <si>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</si>
  <si>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</si>
  <si>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</si>
  <si>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</si>
  <si>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</si>
  <si>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</si>
  <si>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</si>
  <si>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</si>
  <si>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</si>
  <si>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</si>
  <si>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</si>
  <si>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</si>
  <si>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</si>
  <si>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</si>
  <si>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</si>
  <si>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</si>
  <si>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</si>
  <si>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</si>
  <si>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</si>
  <si>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</si>
  <si>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</si>
  <si>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</si>
  <si>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</si>
  <si>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</si>
  <si>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</si>
  <si>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</si>
  <si>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</si>
  <si>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</si>
  <si>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</si>
  <si>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</si>
  <si>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</si>
  <si>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</si>
  <si>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</si>
  <si>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</si>
  <si>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</si>
  <si>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</si>
  <si>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</si>
  <si>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</si>
  <si>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</si>
  <si>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</si>
  <si>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</si>
  <si>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</si>
  <si>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</si>
  <si>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</si>
  <si>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</si>
  <si>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</si>
  <si>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</si>
  <si>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</si>
  <si>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</si>
  <si>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</si>
  <si>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</si>
  <si>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</si>
  <si>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</si>
  <si>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</si>
  <si>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</si>
  <si>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</si>
  <si>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</si>
  <si>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</si>
  <si>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</si>
  <si>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</si>
  <si>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</si>
  <si>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</si>
  <si>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</si>
  <si>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</si>
  <si>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</si>
  <si>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</si>
  <si>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</si>
  <si>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</si>
  <si>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</si>
  <si>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</si>
  <si>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</si>
  <si>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</si>
  <si>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</si>
  <si>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</si>
  <si>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</si>
  <si>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</si>
  <si>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</si>
  <si>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</si>
  <si>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</si>
  <si>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</si>
  <si>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</si>
  <si>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</si>
  <si>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</si>
  <si>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</si>
  <si>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</si>
  <si>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</si>
  <si>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</si>
  <si>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</si>
  <si>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</si>
  <si>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</si>
  <si>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</si>
  <si>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</si>
  <si>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</si>
  <si>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</si>
  <si>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</si>
  <si>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</si>
  <si>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</si>
  <si>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</si>
  <si>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</si>
  <si>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</si>
  <si>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</si>
  <si>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</si>
  <si>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</si>
  <si>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</si>
  <si>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</si>
  <si>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</si>
  <si>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</si>
  <si>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</si>
  <si>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</si>
  <si>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</si>
  <si>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</si>
  <si>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</si>
  <si>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</si>
  <si>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</si>
  <si>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</si>
  <si>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</si>
  <si>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</si>
  <si>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</si>
  <si>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</si>
  <si>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</si>
  <si>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</si>
  <si>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</si>
  <si>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</si>
  <si>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</si>
  <si>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</si>
  <si>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</si>
  <si>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</si>
  <si>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</si>
  <si>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</si>
  <si>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</si>
  <si>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</si>
  <si>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</si>
  <si>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</si>
  <si>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</si>
  <si>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</si>
  <si>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</si>
  <si>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</si>
  <si>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</si>
  <si>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</si>
  <si>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</si>
  <si>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</si>
  <si>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</si>
  <si>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</si>
  <si>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</si>
  <si>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</si>
  <si>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</si>
  <si>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</si>
  <si>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</si>
  <si>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</si>
  <si>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</si>
  <si>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</si>
  <si>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</si>
  <si>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</si>
  <si>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</si>
  <si>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</si>
  <si>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</si>
  <si>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</si>
  <si>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</si>
  <si>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</si>
  <si>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</si>
  <si>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</si>
  <si>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</si>
  <si>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</si>
  <si>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</si>
  <si>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</si>
  <si>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</si>
  <si>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</si>
  <si>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</si>
  <si>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</si>
  <si>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</si>
  <si>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</si>
  <si>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</si>
  <si>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</si>
  <si>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</si>
  <si>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</si>
  <si>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</si>
  <si>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</si>
  <si>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</si>
  <si>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</si>
  <si>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</si>
  <si>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</si>
  <si>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</si>
  <si>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</si>
  <si>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</si>
  <si>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</si>
  <si>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</si>
  <si>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</si>
  <si>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</si>
  <si>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</si>
  <si>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</si>
  <si>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</si>
  <si>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</si>
  <si>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</si>
  <si>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</si>
  <si>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</si>
  <si>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</si>
  <si>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</si>
  <si>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</si>
  <si>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</si>
  <si>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</si>
  <si>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</si>
  <si>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</si>
  <si>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</si>
  <si>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</si>
  <si>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</si>
  <si>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</si>
  <si>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</si>
  <si>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</si>
  <si>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</si>
  <si>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</si>
  <si>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</si>
  <si>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</si>
  <si>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</si>
  <si>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</si>
  <si>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</si>
  <si>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</si>
  <si>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</si>
  <si>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</si>
  <si>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</si>
  <si>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</si>
  <si>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</si>
  <si>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</si>
  <si>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</si>
  <si>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</si>
  <si>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</si>
  <si>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</si>
  <si>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</si>
  <si>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</si>
  <si>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</si>
  <si>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</si>
  <si>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</si>
  <si>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</si>
  <si>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</si>
  <si>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</si>
  <si>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</si>
  <si>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</si>
  <si>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</si>
  <si>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</si>
  <si>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</si>
  <si>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</si>
  <si>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</si>
  <si>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</si>
  <si>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</si>
  <si>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</si>
  <si>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</si>
  <si>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</si>
  <si>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</si>
  <si>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</si>
  <si>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</si>
  <si>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</si>
  <si>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</si>
  <si>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</si>
  <si>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</si>
  <si>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</si>
  <si>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</si>
  <si>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</si>
  <si>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</si>
  <si>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</si>
  <si>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</si>
  <si>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</si>
  <si>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</si>
  <si>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</si>
  <si>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</si>
  <si>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</si>
  <si>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</si>
  <si>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</si>
  <si>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</si>
  <si>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</si>
  <si>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</si>
  <si>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</si>
  <si>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</si>
  <si>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</si>
  <si>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</si>
  <si>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</si>
  <si>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</si>
  <si>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</si>
  <si>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</si>
  <si>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</si>
  <si>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</si>
  <si>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</si>
  <si>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</si>
  <si>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</si>
  <si>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</si>
  <si>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</si>
  <si>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</si>
  <si>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</si>
  <si>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</si>
  <si>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</si>
  <si>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</si>
  <si>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</si>
  <si>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</si>
  <si>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</si>
  <si>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</si>
  <si>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</si>
  <si>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</si>
  <si>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</si>
  <si>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</si>
  <si>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</si>
  <si>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</si>
  <si>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</si>
  <si>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</si>
  <si>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</si>
  <si>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</si>
  <si>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</si>
  <si>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</si>
  <si>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</si>
  <si>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</si>
  <si>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</si>
  <si>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</si>
  <si>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</si>
  <si>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</si>
  <si>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</si>
  <si>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</si>
  <si>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</si>
  <si>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</si>
  <si>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</si>
  <si>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</si>
  <si>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</si>
  <si>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</si>
  <si>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</si>
  <si>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</si>
  <si>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</si>
  <si>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</si>
  <si>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</si>
  <si>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</si>
  <si>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</si>
  <si>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</si>
  <si>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</si>
  <si>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</si>
  <si>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</si>
  <si>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</si>
  <si>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</si>
  <si>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</si>
  <si>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</si>
  <si>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</si>
  <si>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</si>
  <si>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</si>
  <si>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</si>
  <si>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</si>
  <si>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</si>
  <si>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</si>
  <si>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</si>
  <si>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</si>
  <si>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</si>
  <si>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</si>
  <si>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</si>
  <si>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</si>
  <si>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</si>
  <si>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</si>
  <si>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</si>
  <si>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</si>
  <si>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</si>
  <si>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</si>
  <si>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</si>
  <si>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</si>
  <si>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</si>
  <si>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</si>
  <si>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</si>
  <si>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</si>
  <si>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</si>
  <si>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</si>
  <si>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</si>
  <si>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</si>
  <si>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</si>
  <si>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</si>
  <si>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</si>
  <si>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</si>
  <si>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</si>
  <si>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</si>
  <si>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</si>
  <si>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</si>
  <si>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</si>
  <si>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</si>
  <si>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</si>
  <si>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</si>
  <si>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</si>
  <si>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</si>
  <si>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</si>
  <si>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</si>
  <si>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</si>
  <si>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</si>
  <si>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</si>
  <si>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</si>
  <si>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</si>
  <si>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</si>
  <si>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</si>
  <si>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</si>
  <si>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</si>
  <si>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</si>
  <si>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</si>
  <si>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</si>
  <si>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</si>
  <si>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</si>
  <si>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</si>
  <si>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</si>
  <si>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</si>
  <si>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</si>
  <si>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</si>
  <si>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</si>
  <si>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</si>
  <si>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</si>
  <si>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</si>
  <si>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</si>
  <si>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</si>
  <si>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</si>
  <si>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</si>
  <si>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</si>
  <si>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</si>
  <si>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</si>
  <si>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</si>
  <si>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</si>
  <si>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</si>
  <si>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</si>
  <si>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</si>
  <si>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</si>
  <si>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</si>
  <si>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</si>
  <si>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</si>
  <si>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</si>
  <si>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</si>
  <si>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</si>
  <si>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</si>
  <si>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</si>
  <si>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</si>
  <si>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</si>
  <si>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</si>
  <si>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</si>
  <si>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</si>
  <si>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</si>
  <si>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</si>
  <si>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</si>
  <si>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</si>
  <si>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</si>
  <si>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</si>
  <si>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</si>
  <si>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</si>
  <si>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</si>
  <si>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</si>
  <si>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</si>
  <si>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</si>
  <si>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</si>
  <si>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</si>
  <si>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</si>
  <si>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</si>
  <si>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</si>
  <si>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</si>
  <si>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</si>
  <si>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</si>
  <si>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</si>
  <si>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</si>
  <si>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</si>
  <si>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</si>
  <si>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</si>
  <si>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</si>
  <si>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</si>
  <si>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</si>
  <si>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</si>
  <si>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</si>
  <si>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</si>
  <si>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</si>
  <si>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</si>
  <si>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</si>
  <si>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</si>
  <si>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</si>
  <si>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</si>
  <si>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</si>
  <si>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</si>
  <si>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</si>
  <si>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</si>
  <si>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</si>
  <si>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</si>
  <si>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</si>
  <si>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</si>
  <si>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</si>
  <si>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</si>
  <si>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</si>
  <si>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</si>
  <si>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</si>
  <si>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</si>
  <si>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</si>
  <si>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</si>
  <si>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</si>
  <si>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</si>
  <si>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</si>
  <si>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</si>
  <si>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</si>
  <si>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</si>
  <si>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</si>
  <si>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</si>
  <si>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</si>
  <si>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</si>
  <si>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</si>
  <si>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</si>
  <si>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</si>
  <si>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</si>
  <si>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</si>
  <si>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</si>
  <si>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</si>
  <si>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</si>
  <si>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</si>
  <si>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</si>
  <si>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</si>
  <si>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</si>
  <si>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</si>
  <si>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</si>
  <si>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</si>
  <si>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</si>
  <si>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</si>
  <si>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</si>
  <si>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</si>
  <si>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</si>
  <si>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</si>
  <si>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</si>
  <si>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</si>
  <si>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</si>
  <si>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</si>
  <si>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</si>
  <si>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</si>
  <si>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</si>
  <si>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</si>
  <si>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</si>
  <si>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</si>
  <si>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</si>
  <si>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</si>
  <si>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</si>
  <si>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</si>
  <si>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</si>
  <si>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</si>
  <si>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</si>
  <si>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</si>
  <si>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</si>
  <si>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</si>
  <si>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</si>
  <si>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</si>
  <si>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</si>
  <si>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</si>
  <si>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</si>
  <si>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</si>
  <si>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</si>
  <si>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</si>
  <si>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</si>
  <si>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</si>
  <si>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</si>
  <si>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</si>
  <si>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</si>
  <si>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</si>
  <si>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</si>
  <si>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</si>
  <si>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</si>
  <si>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</si>
  <si>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</si>
  <si>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</si>
  <si>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</si>
  <si>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</si>
  <si>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</si>
  <si>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</si>
  <si>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</si>
  <si>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</si>
  <si>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</si>
  <si>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</si>
  <si>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</si>
  <si>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</si>
  <si>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</si>
  <si>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</si>
  <si>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</si>
  <si>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</si>
  <si>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</si>
  <si>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</si>
  <si>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</si>
  <si>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</si>
  <si>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</si>
  <si>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</si>
  <si>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</si>
  <si>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</si>
  <si>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</si>
  <si>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</si>
  <si>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</si>
  <si>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</si>
  <si>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</si>
  <si>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</si>
  <si>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</si>
  <si>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</si>
  <si>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</si>
  <si>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</si>
  <si>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</si>
  <si>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</si>
  <si>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</si>
  <si>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</si>
  <si>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</si>
  <si>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</si>
  <si>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</si>
  <si>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</si>
  <si>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</si>
  <si>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</si>
  <si>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</si>
  <si>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</si>
  <si>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</si>
  <si>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</si>
  <si>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</si>
  <si>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</si>
  <si>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</si>
  <si>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</si>
  <si>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</si>
  <si>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</si>
  <si>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</si>
  <si>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</si>
  <si>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</si>
  <si>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</si>
  <si>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</si>
  <si>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</si>
  <si>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</si>
  <si>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</si>
  <si>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</si>
  <si>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</si>
  <si>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</si>
  <si>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</si>
  <si>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</si>
  <si>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</si>
  <si>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</si>
  <si>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</si>
  <si>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</si>
  <si>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</si>
  <si>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</si>
  <si>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</si>
  <si>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</si>
  <si>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</si>
  <si>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</si>
  <si>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</si>
  <si>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</si>
  <si>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</si>
  <si>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</si>
  <si>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</si>
  <si>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</si>
  <si>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</si>
  <si>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</si>
  <si>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</si>
  <si>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</si>
  <si>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</si>
  <si>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</si>
  <si>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</si>
  <si>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</si>
  <si>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</si>
  <si>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</si>
  <si>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</si>
  <si>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</si>
  <si>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</si>
  <si>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</si>
  <si>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</si>
  <si>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</si>
  <si>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</si>
  <si>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</si>
  <si>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</si>
  <si>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</si>
  <si>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</si>
  <si>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</si>
  <si>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</si>
  <si>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</si>
  <si>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</si>
  <si>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</si>
  <si>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</si>
  <si>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</si>
  <si>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</si>
  <si>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</si>
  <si>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</si>
  <si>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</si>
  <si>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</si>
  <si>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</si>
  <si>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</si>
  <si>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</si>
  <si>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</si>
  <si>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</si>
  <si>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</si>
  <si>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</si>
  <si>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</si>
  <si>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</si>
  <si>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</si>
  <si>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</si>
  <si>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</si>
  <si>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</si>
  <si>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</si>
  <si>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</si>
  <si>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</si>
  <si>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</si>
  <si>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</si>
  <si>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</si>
  <si>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</si>
  <si>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</si>
  <si>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</si>
  <si>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</si>
  <si>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</si>
  <si>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</si>
  <si>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</si>
  <si>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</si>
  <si>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</si>
  <si>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</si>
  <si>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</si>
  <si>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</si>
  <si>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</si>
  <si>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</si>
  <si>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</si>
  <si>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</si>
  <si>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</si>
  <si>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</si>
  <si>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</si>
  <si>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</si>
  <si>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</si>
  <si>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</si>
  <si>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</si>
  <si>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</si>
  <si>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</si>
  <si>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</si>
  <si>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</si>
  <si>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</si>
  <si>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</si>
  <si>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</si>
  <si>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</si>
  <si>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</si>
  <si>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</si>
  <si>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</si>
  <si>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</si>
  <si>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</si>
  <si>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</si>
  <si>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</si>
  <si>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</si>
  <si>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</si>
  <si>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</si>
  <si>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</si>
  <si>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</si>
  <si>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</si>
  <si>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</si>
  <si>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</si>
  <si>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</si>
  <si>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</si>
  <si>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</si>
  <si>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</si>
  <si>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</si>
  <si>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</si>
  <si>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</si>
  <si>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</si>
  <si>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</si>
  <si>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</si>
  <si>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</si>
  <si>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</si>
  <si>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</si>
  <si>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</si>
  <si>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</si>
  <si>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</si>
  <si>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</si>
  <si>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</si>
  <si>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</si>
  <si>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</si>
  <si>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</si>
  <si>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</si>
  <si>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</si>
  <si>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</si>
  <si>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</si>
  <si>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</si>
  <si>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</si>
  <si>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</si>
  <si>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</si>
  <si>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</si>
  <si>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</si>
  <si>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</si>
  <si>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</si>
  <si>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</si>
  <si>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</si>
  <si>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</si>
  <si>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</si>
  <si>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</si>
  <si>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</si>
  <si>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</si>
  <si>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</si>
  <si>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</si>
  <si>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</si>
  <si>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</si>
  <si>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</si>
  <si>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</si>
  <si>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</si>
  <si>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</si>
  <si>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</si>
  <si>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</si>
  <si>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</si>
  <si>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</si>
  <si>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</si>
  <si>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</si>
  <si>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</si>
  <si>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</si>
  <si>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</si>
  <si>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</si>
  <si>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</si>
  <si>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</si>
  <si>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</si>
  <si>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</si>
  <si>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</si>
  <si>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</si>
  <si>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</si>
  <si>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</si>
  <si>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</si>
  <si>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</si>
  <si>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</si>
  <si>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</si>
  <si>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</si>
  <si>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</si>
  <si>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</si>
  <si>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</si>
  <si>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</si>
  <si>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</si>
  <si>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</si>
  <si>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</si>
  <si>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</si>
  <si>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</si>
  <si>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</si>
  <si>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</si>
  <si>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</si>
  <si>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</si>
  <si>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</si>
  <si>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</si>
  <si>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</si>
  <si>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</si>
  <si>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</si>
  <si>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</si>
  <si>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</si>
  <si>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</si>
  <si>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</si>
  <si>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</si>
  <si>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</si>
  <si>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</si>
  <si>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</si>
  <si>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</si>
  <si>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</si>
  <si>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</si>
  <si>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</si>
  <si>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</si>
  <si>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</si>
  <si>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</si>
  <si>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</si>
  <si>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</si>
  <si>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</si>
  <si>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</si>
  <si>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</si>
  <si>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</si>
  <si>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</si>
  <si>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</si>
  <si>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</si>
  <si>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</si>
  <si>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</si>
  <si>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</si>
  <si>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</si>
  <si>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</si>
  <si>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</si>
  <si>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</si>
  <si>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</si>
  <si>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</si>
  <si>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</si>
  <si>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</si>
  <si>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</si>
  <si>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</si>
  <si>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</si>
  <si>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</si>
  <si>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</si>
  <si>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</si>
  <si>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</si>
  <si>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</si>
  <si>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</si>
  <si>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</si>
  <si>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</si>
  <si>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</si>
  <si>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</si>
  <si>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</si>
  <si>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</si>
  <si>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</si>
  <si>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</si>
  <si>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</si>
  <si>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</si>
  <si>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</si>
  <si>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</si>
  <si>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</si>
  <si>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</si>
  <si>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</si>
  <si>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</si>
  <si>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</si>
  <si>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</si>
  <si>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</si>
  <si>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</si>
  <si>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</si>
  <si>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</si>
  <si>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</si>
  <si>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</si>
  <si>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</si>
  <si>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</si>
  <si>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</si>
  <si>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</si>
  <si>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</si>
  <si>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</si>
  <si>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</si>
  <si>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</si>
  <si>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</si>
  <si>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</si>
  <si>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</si>
  <si>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</si>
  <si>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</si>
  <si>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</si>
  <si>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</si>
  <si>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</si>
  <si>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</si>
  <si>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</si>
  <si>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</si>
  <si>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</si>
  <si>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</si>
  <si>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</si>
  <si>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</si>
  <si>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</si>
  <si>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</si>
  <si>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</si>
  <si>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</si>
  <si>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</si>
  <si>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</si>
  <si>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</si>
  <si>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</si>
  <si>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</si>
  <si>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</si>
  <si>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</si>
  <si>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</si>
  <si>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</si>
  <si>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</si>
  <si>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</si>
  <si>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</si>
  <si>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</si>
  <si>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</si>
  <si>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</si>
  <si>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</si>
  <si>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</si>
  <si>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</si>
  <si>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</si>
  <si>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</si>
  <si>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</si>
  <si>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</si>
  <si>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</si>
  <si>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</si>
  <si>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</si>
  <si>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</si>
  <si>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</si>
  <si>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</si>
  <si>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</si>
  <si>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</si>
  <si>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</si>
  <si>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</si>
  <si>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</si>
  <si>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</si>
  <si>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</si>
  <si>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</si>
  <si>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</si>
  <si>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</si>
  <si>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</si>
  <si>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</si>
  <si>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</si>
  <si>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</si>
  <si>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</si>
  <si>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</si>
  <si>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</si>
  <si>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</si>
  <si>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</si>
  <si>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</si>
  <si>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</si>
  <si>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</si>
  <si>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</si>
  <si>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</si>
  <si>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</si>
  <si>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</si>
  <si>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</si>
  <si>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</si>
  <si>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</si>
  <si>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</si>
  <si>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</si>
  <si>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</si>
  <si>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</si>
  <si>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</si>
  <si>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</si>
  <si>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</si>
  <si>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</si>
  <si>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</si>
  <si>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</si>
  <si>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</si>
  <si>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</si>
  <si>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</si>
  <si>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</si>
  <si>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</si>
  <si>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</si>
  <si>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</si>
  <si>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</si>
  <si>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</si>
  <si>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</si>
  <si>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</si>
  <si>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</si>
  <si>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</si>
  <si>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</si>
  <si>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</si>
  <si>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</si>
  <si>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</si>
  <si>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</si>
  <si>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</si>
  <si>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</si>
  <si>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</si>
  <si>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</si>
  <si>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</si>
  <si>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</si>
  <si>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</si>
  <si>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</si>
  <si>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</si>
  <si>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</si>
  <si>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</si>
  <si>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</si>
  <si>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</si>
  <si>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</si>
  <si>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</si>
  <si>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</si>
  <si>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</si>
  <si>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</si>
  <si>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</si>
  <si>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</si>
  <si>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</si>
  <si>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</si>
  <si>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</si>
  <si>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</si>
  <si>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</si>
  <si>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</si>
  <si>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</si>
  <si>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</si>
  <si>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</si>
  <si>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</si>
  <si>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</si>
  <si>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</si>
  <si>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</si>
  <si>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</si>
  <si>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</si>
  <si>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</si>
  <si>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</si>
  <si>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</si>
  <si>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</si>
  <si>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</si>
  <si>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</si>
  <si>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</si>
  <si>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</si>
  <si>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</si>
  <si>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</si>
  <si>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</si>
  <si>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</si>
  <si>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</si>
  <si>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</si>
  <si>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</si>
  <si>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</si>
  <si>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</si>
  <si>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</si>
  <si>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</si>
  <si>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</si>
  <si>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</si>
  <si>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</si>
  <si>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</si>
  <si>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</si>
  <si>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</si>
  <si>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</si>
  <si>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</si>
  <si>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</si>
  <si>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</si>
  <si>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</si>
  <si>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</si>
  <si>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</si>
  <si>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</si>
  <si>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</si>
  <si>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</si>
  <si>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</si>
  <si>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</si>
  <si>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</si>
  <si>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</si>
  <si>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</si>
  <si>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</si>
  <si>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</si>
  <si>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</si>
  <si>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</si>
  <si>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</si>
  <si>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</si>
  <si>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</si>
  <si>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</si>
  <si>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</si>
  <si>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</si>
  <si>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</si>
  <si>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</si>
  <si>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</si>
  <si>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</si>
  <si>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</si>
  <si>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</si>
  <si>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</si>
  <si>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</si>
  <si>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</si>
  <si>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</si>
  <si>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</si>
  <si>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</si>
  <si>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</si>
  <si>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</si>
  <si>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</si>
  <si>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</si>
  <si>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</si>
  <si>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</si>
  <si>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</si>
  <si>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</si>
  <si>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</si>
  <si>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</si>
  <si>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</si>
  <si>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</si>
  <si>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</si>
  <si>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</si>
  <si>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</si>
  <si>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</si>
  <si>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</si>
  <si>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</si>
  <si>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</si>
  <si>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</si>
  <si>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</si>
  <si>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</si>
  <si>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</si>
  <si>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</si>
  <si>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</si>
  <si>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</si>
  <si>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</si>
  <si>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</si>
  <si>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</si>
  <si>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</si>
  <si>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</si>
  <si>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</si>
  <si>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</si>
  <si>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</si>
  <si>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</si>
  <si>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</si>
  <si>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</si>
  <si>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</si>
  <si>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</si>
  <si>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</si>
  <si>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</si>
  <si>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</si>
  <si>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</si>
  <si>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</si>
  <si>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</si>
  <si>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</si>
  <si>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</si>
  <si>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</si>
  <si>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</si>
  <si>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</si>
  <si>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</si>
  <si>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</si>
  <si>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</si>
  <si>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</si>
  <si>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</si>
  <si>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</si>
  <si>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</si>
  <si>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</si>
  <si>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</si>
  <si>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</si>
  <si>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</si>
  <si>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</si>
  <si>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</si>
  <si>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</si>
  <si>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</si>
  <si>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</si>
  <si>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</si>
  <si>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</si>
  <si>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</si>
  <si>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</si>
  <si>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</si>
  <si>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</si>
  <si>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</si>
  <si>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</si>
  <si>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</si>
  <si>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</si>
  <si>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</si>
  <si>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</si>
  <si>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</si>
  <si>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</si>
  <si>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</si>
  <si>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</si>
  <si>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</si>
  <si>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</si>
  <si>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</si>
  <si>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</si>
  <si>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</si>
  <si>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</si>
  <si>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</si>
  <si>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</si>
  <si>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</si>
  <si>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</si>
  <si>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</si>
  <si>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</si>
  <si>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</si>
  <si>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</si>
  <si>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</si>
  <si>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</si>
  <si>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</si>
  <si>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</si>
  <si>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</si>
  <si>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</si>
  <si>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</si>
  <si>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</si>
  <si>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</si>
  <si>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</si>
  <si>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</si>
  <si>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</si>
  <si>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</si>
  <si>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</si>
  <si>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</si>
  <si>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</si>
  <si>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</si>
  <si>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</si>
  <si>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</si>
  <si>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</si>
  <si>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</si>
  <si>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</si>
  <si>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</si>
  <si>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</si>
  <si>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</si>
  <si>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</si>
  <si>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</si>
  <si>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</si>
  <si>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</si>
  <si>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</si>
  <si>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</si>
  <si>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</si>
  <si>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</si>
  <si>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</si>
  <si>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</si>
  <si>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</si>
  <si>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</si>
  <si>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</si>
  <si>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</si>
  <si>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</si>
  <si>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</si>
  <si>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</si>
  <si>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</si>
  <si>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</si>
  <si>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</si>
  <si>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</si>
  <si>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</si>
  <si>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</si>
  <si>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</si>
  <si>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</si>
  <si>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</si>
  <si>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</si>
  <si>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</si>
  <si>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</si>
  <si>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</si>
  <si>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</si>
  <si>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</si>
  <si>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</si>
  <si>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</si>
  <si>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</si>
  <si>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</si>
  <si>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</si>
  <si>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</si>
  <si>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</si>
  <si>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</si>
  <si>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</si>
  <si>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</si>
  <si>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</si>
  <si>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</si>
  <si>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</si>
  <si>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</si>
  <si>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</si>
  <si>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</si>
  <si>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</si>
  <si>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</si>
  <si>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</si>
  <si>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</si>
  <si>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</si>
  <si>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</si>
  <si>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</si>
  <si>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</si>
  <si>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</si>
  <si>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</si>
  <si>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</si>
  <si>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</si>
  <si>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</si>
  <si>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</si>
  <si>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</si>
  <si>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</si>
  <si>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</si>
  <si>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</si>
  <si>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</si>
  <si>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</si>
  <si>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</si>
  <si>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</si>
  <si>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</si>
  <si>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</si>
  <si>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</si>
  <si>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</si>
  <si>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</si>
  <si>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</si>
  <si>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</si>
  <si>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</si>
  <si>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</si>
  <si>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</si>
  <si>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</si>
  <si>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</si>
  <si>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</si>
  <si>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</si>
  <si>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</si>
  <si>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</si>
  <si>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</si>
  <si>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</si>
  <si>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</si>
  <si>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</si>
  <si>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</si>
  <si>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</si>
  <si>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</si>
  <si>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</si>
  <si>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</si>
  <si>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</si>
  <si>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</si>
  <si>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</si>
  <si>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</si>
  <si>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</si>
  <si>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</si>
  <si>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</si>
  <si>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</si>
  <si>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</si>
  <si>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</si>
  <si>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</si>
  <si>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</si>
  <si>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</si>
  <si>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</si>
  <si>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</si>
  <si>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</si>
  <si>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</si>
  <si>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</si>
  <si>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</si>
  <si>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</si>
  <si>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</si>
  <si>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</si>
  <si>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</si>
  <si>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</si>
  <si>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</si>
  <si>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</si>
  <si>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</si>
  <si>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</si>
  <si>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</si>
  <si>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</si>
  <si>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</si>
  <si>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</si>
  <si>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</si>
  <si>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</si>
  <si>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</si>
  <si>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</si>
  <si>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</si>
  <si>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</si>
  <si>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</si>
  <si>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</si>
  <si>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</si>
  <si>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</si>
  <si>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</si>
  <si>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</si>
  <si>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</si>
  <si>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</si>
  <si>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</si>
  <si>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</si>
  <si>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</si>
  <si>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</si>
  <si>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</si>
  <si>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</si>
  <si>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</si>
  <si>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</si>
  <si>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</si>
  <si>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</si>
  <si>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</si>
  <si>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</si>
  <si>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</si>
  <si>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</si>
  <si>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</si>
  <si>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</si>
  <si>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</si>
  <si>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</si>
  <si>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</si>
  <si>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</si>
  <si>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</si>
  <si>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</si>
  <si>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</si>
  <si>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</si>
  <si>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</si>
  <si>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</si>
  <si>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</si>
  <si>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</si>
  <si>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</si>
  <si>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</si>
  <si>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</si>
  <si>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</si>
  <si>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</si>
  <si>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</si>
  <si>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</si>
  <si>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</si>
  <si>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</si>
  <si>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</si>
  <si>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</si>
  <si>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</si>
  <si>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</si>
  <si>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</si>
  <si>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</si>
  <si>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</si>
  <si>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</si>
  <si>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</si>
  <si>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</si>
  <si>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</si>
  <si>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</si>
  <si>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</si>
  <si>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</si>
  <si>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</si>
  <si>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</si>
  <si>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</si>
  <si>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</si>
  <si>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</si>
  <si>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</si>
  <si>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</si>
  <si>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</si>
  <si>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</si>
  <si>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</si>
  <si>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</si>
  <si>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</si>
  <si>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</si>
  <si>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</si>
  <si>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</si>
  <si>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</si>
  <si>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</si>
  <si>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</si>
  <si>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</si>
  <si>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</si>
  <si>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</si>
  <si>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</si>
  <si>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</si>
  <si>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</si>
  <si>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</si>
  <si>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</si>
  <si>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</si>
  <si>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</si>
  <si>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</si>
  <si>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</si>
  <si>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</si>
  <si>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</si>
  <si>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</si>
  <si>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</si>
  <si>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</si>
  <si>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</si>
  <si>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</si>
  <si>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</si>
  <si>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</si>
  <si>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</si>
  <si>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</si>
  <si>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</si>
  <si>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</si>
  <si>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</si>
  <si>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</si>
  <si>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</si>
  <si>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</si>
  <si>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</si>
  <si>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</si>
  <si>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</si>
  <si>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</si>
  <si>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</si>
  <si>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</si>
  <si>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</si>
  <si>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</si>
  <si>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</si>
  <si>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</si>
  <si>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</si>
  <si>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</si>
  <si>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</si>
  <si>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</si>
  <si>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</si>
  <si>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</si>
  <si>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</si>
  <si>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</si>
  <si>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</si>
  <si>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</si>
  <si>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</si>
  <si>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</si>
  <si>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</si>
  <si>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</si>
  <si>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</si>
  <si>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</si>
  <si>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</si>
  <si>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</si>
  <si>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</si>
  <si>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</si>
  <si>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</si>
  <si>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</si>
  <si>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</si>
  <si>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</si>
  <si>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</si>
  <si>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</si>
  <si>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</si>
  <si>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</si>
  <si>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</si>
  <si>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</si>
  <si>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</si>
  <si>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</si>
  <si>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</si>
  <si>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</si>
  <si>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</si>
  <si>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</si>
  <si>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</si>
  <si>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</si>
  <si>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</si>
  <si>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</si>
  <si>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</si>
  <si>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</si>
  <si>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</si>
  <si>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</si>
  <si>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</si>
  <si>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</si>
  <si>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</si>
  <si>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</si>
  <si>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</si>
  <si>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</si>
  <si>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</si>
  <si>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</si>
  <si>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</si>
  <si>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</si>
  <si>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</si>
  <si>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</si>
  <si>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</si>
  <si>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</si>
  <si>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</si>
  <si>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</si>
  <si>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</si>
  <si>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</si>
  <si>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</si>
  <si>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</si>
  <si>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</si>
  <si>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</si>
  <si>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</si>
  <si>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</si>
  <si>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</si>
  <si>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</si>
  <si>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</si>
  <si>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</si>
  <si>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</si>
  <si>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</si>
  <si>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</si>
  <si>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</si>
  <si>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</si>
  <si>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</si>
  <si>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</si>
  <si>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</si>
  <si>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</si>
  <si>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</si>
  <si>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</si>
  <si>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</si>
  <si>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</si>
  <si>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</si>
  <si>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</si>
  <si>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</si>
  <si>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</si>
  <si>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</si>
  <si>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</si>
  <si>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</si>
  <si>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</si>
  <si>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</si>
  <si>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</si>
  <si>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</si>
  <si>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</si>
  <si>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</si>
  <si>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</si>
  <si>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</si>
  <si>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</si>
  <si>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</si>
  <si>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</si>
  <si>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</si>
  <si>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</si>
  <si>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</si>
  <si>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</si>
  <si>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</si>
  <si>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</si>
  <si>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</si>
  <si>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</si>
  <si>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</si>
  <si>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</si>
  <si>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</si>
  <si>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</si>
  <si>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</si>
  <si>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</si>
  <si>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</si>
  <si>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</si>
  <si>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</si>
  <si>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</si>
  <si>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</si>
  <si>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</si>
  <si>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</si>
  <si>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</si>
  <si>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</si>
  <si>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</si>
  <si>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</si>
  <si>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</si>
  <si>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</si>
  <si>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</si>
  <si>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</si>
  <si>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</si>
  <si>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</si>
  <si>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</si>
  <si>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</si>
  <si>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</si>
  <si>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</si>
  <si>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</si>
  <si>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</si>
  <si>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</si>
  <si>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</si>
  <si>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</si>
  <si>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</si>
  <si>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</si>
  <si>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</si>
  <si>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</si>
  <si>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</si>
  <si>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</si>
  <si>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</si>
  <si>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</si>
  <si>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</si>
  <si>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</si>
  <si>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</si>
  <si>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</si>
  <si>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</si>
  <si>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</si>
  <si>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</si>
  <si>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</si>
  <si>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</si>
  <si>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</si>
  <si>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</si>
  <si>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</si>
  <si>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</si>
  <si>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</si>
  <si>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</si>
  <si>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</si>
  <si>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</si>
  <si>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</si>
  <si>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</si>
  <si>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</si>
  <si>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</si>
  <si>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</si>
  <si>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</si>
  <si>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</si>
  <si>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</si>
  <si>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</si>
  <si>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</si>
  <si>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</si>
  <si>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</si>
  <si>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</si>
  <si>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</si>
  <si>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</si>
  <si>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</si>
  <si>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</si>
  <si>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</si>
  <si>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</si>
  <si>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</si>
  <si>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</si>
  <si>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</si>
  <si>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</si>
  <si>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</si>
  <si>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</si>
  <si>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</si>
  <si>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</si>
  <si>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</si>
  <si>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</si>
  <si>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</si>
  <si>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</si>
  <si>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</si>
  <si>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</si>
  <si>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</si>
  <si>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</si>
  <si>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</si>
  <si>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</si>
  <si>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</si>
  <si>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</si>
  <si>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</si>
  <si>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</si>
  <si>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</si>
  <si>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</si>
  <si>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</si>
  <si>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</si>
  <si>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</si>
  <si>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</si>
  <si>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</si>
  <si>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</si>
  <si>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</si>
  <si>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</si>
  <si>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</si>
  <si>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</si>
  <si>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</si>
  <si>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</si>
  <si>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</si>
  <si>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</si>
  <si>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</si>
  <si>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</si>
  <si>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</si>
  <si>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</si>
  <si>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</si>
  <si>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</si>
  <si>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</si>
  <si>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</si>
  <si>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</si>
  <si>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</si>
  <si>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</si>
  <si>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</si>
  <si>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</si>
  <si>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</si>
  <si>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</si>
  <si>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</si>
  <si>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</si>
  <si>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</si>
  <si>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</si>
  <si>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</si>
  <si>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</si>
  <si>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</si>
  <si>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</si>
  <si>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</si>
  <si>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</si>
  <si>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</si>
  <si>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</si>
  <si>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</si>
  <si>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</si>
  <si>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</si>
  <si>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</si>
  <si>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</si>
  <si>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</si>
  <si>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</si>
  <si>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</si>
  <si>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</si>
  <si>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</si>
  <si>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</si>
  <si>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</si>
  <si>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</si>
  <si>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</si>
  <si>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</si>
  <si>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</si>
  <si>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</si>
  <si>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</si>
  <si>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</si>
  <si>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</si>
  <si>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</si>
  <si>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</si>
  <si>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</si>
  <si>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</si>
  <si>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</si>
  <si>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</si>
  <si>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</si>
  <si>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</si>
  <si>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</si>
  <si>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</si>
  <si>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</si>
  <si>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</si>
  <si>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</si>
  <si>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</si>
  <si>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</si>
  <si>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</si>
  <si>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</si>
  <si>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</si>
  <si>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</si>
  <si>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</si>
  <si>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</si>
  <si>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</si>
  <si>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</si>
  <si>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</si>
  <si>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</si>
  <si>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</si>
  <si>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</si>
  <si>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</si>
  <si>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</si>
  <si>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</si>
  <si>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</si>
  <si>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</si>
  <si>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</si>
  <si>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</si>
  <si>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</si>
  <si>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</si>
  <si>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</si>
  <si>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</si>
  <si>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</si>
  <si>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</si>
  <si>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</si>
  <si>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</si>
  <si>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</si>
  <si>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</si>
  <si>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</si>
  <si>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</si>
  <si>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</si>
  <si>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</si>
  <si>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</si>
  <si>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</si>
  <si>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</si>
  <si>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</si>
  <si>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</si>
  <si>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</si>
  <si>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</si>
  <si>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</si>
  <si>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</si>
  <si>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</si>
  <si>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</si>
  <si>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</si>
  <si>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</si>
  <si>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</si>
  <si>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</si>
  <si>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</si>
  <si>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</si>
  <si>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</si>
  <si>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</si>
  <si>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</si>
  <si>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</si>
  <si>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</si>
  <si>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</si>
  <si>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</si>
  <si>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</si>
  <si>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</si>
  <si>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</si>
  <si>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</si>
  <si>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</si>
  <si>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</si>
  <si>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</si>
  <si>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</si>
  <si>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</si>
  <si>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</si>
  <si>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</si>
  <si>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</si>
  <si>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</si>
  <si>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</si>
  <si>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</si>
  <si>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</si>
  <si>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</si>
  <si>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</si>
  <si>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</si>
  <si>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</si>
  <si>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</si>
  <si>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</si>
  <si>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</si>
  <si>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</si>
  <si>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</si>
  <si>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</si>
  <si>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</si>
  <si>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</si>
  <si>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</si>
  <si>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</si>
  <si>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</si>
  <si>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</si>
  <si>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</si>
  <si>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</si>
  <si>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</si>
  <si>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</si>
  <si>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</si>
  <si>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</si>
  <si>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</si>
  <si>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</si>
  <si>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</si>
  <si>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</si>
  <si>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</si>
  <si>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</si>
  <si>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</si>
  <si>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</si>
  <si>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</si>
  <si>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</si>
  <si>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</si>
  <si>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</si>
  <si>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</si>
  <si>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</si>
  <si>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</si>
  <si>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</si>
  <si>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</si>
  <si>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</si>
  <si>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</si>
  <si>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</si>
  <si>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</si>
  <si>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</si>
  <si>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</si>
  <si>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</si>
  <si>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</si>
  <si>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</si>
  <si>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</si>
  <si>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</si>
  <si>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</si>
  <si>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</si>
  <si>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</si>
  <si>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</si>
  <si>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</si>
  <si>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</si>
  <si>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</si>
  <si>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</si>
  <si>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</si>
  <si>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</si>
  <si>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</si>
  <si>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</si>
  <si>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</si>
  <si>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</si>
  <si>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</si>
  <si>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</si>
  <si>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</si>
  <si>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</si>
  <si>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</si>
  <si>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</si>
  <si>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</si>
  <si>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</si>
  <si>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</si>
  <si>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</si>
  <si>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</si>
  <si>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</si>
  <si>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</si>
  <si>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</si>
  <si>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</si>
  <si>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</si>
  <si>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</si>
  <si>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</si>
  <si>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</si>
  <si>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</si>
  <si>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</si>
  <si>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</si>
  <si>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</si>
  <si>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</si>
  <si>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</si>
  <si>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</si>
  <si>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</si>
  <si>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</si>
  <si>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</si>
  <si>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</si>
  <si>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</si>
  <si>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</si>
  <si>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</si>
  <si>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</si>
  <si>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</si>
  <si>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</si>
  <si>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</si>
  <si>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</si>
  <si>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</si>
  <si>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</si>
  <si>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</si>
  <si>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</si>
  <si>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</si>
  <si>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</si>
  <si>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</si>
  <si>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</si>
  <si>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</si>
  <si>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</si>
  <si>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</si>
  <si>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</si>
  <si>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</si>
  <si>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</si>
  <si>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</si>
  <si>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</si>
  <si>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</si>
  <si>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</si>
  <si>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</si>
  <si>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</si>
  <si>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</si>
  <si>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</si>
  <si>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</si>
  <si>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</si>
  <si>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</si>
  <si>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</si>
  <si>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</si>
  <si>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</si>
  <si>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</si>
  <si>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</si>
  <si>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</si>
  <si>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</si>
  <si>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</si>
  <si>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</si>
  <si>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</si>
  <si>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</si>
  <si>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</si>
  <si>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</si>
  <si>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</si>
  <si>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</si>
  <si>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</si>
  <si>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</si>
  <si>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</si>
  <si>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</si>
  <si>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</si>
  <si>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</si>
  <si>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</si>
  <si>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</si>
  <si>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</si>
  <si>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</si>
  <si>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</si>
  <si>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</si>
  <si>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</si>
  <si>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</si>
  <si>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</si>
  <si>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</si>
  <si>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</si>
  <si>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</si>
  <si>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</si>
  <si>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</si>
  <si>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</si>
  <si>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</si>
  <si>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</si>
  <si>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</si>
  <si>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</si>
  <si>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</si>
  <si>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</si>
  <si>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</si>
  <si>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</si>
  <si>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</si>
  <si>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</si>
  <si>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</si>
  <si>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</si>
  <si>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</si>
  <si>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</si>
  <si>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</si>
  <si>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</si>
  <si>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</si>
  <si>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</si>
  <si>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</si>
  <si>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</si>
  <si>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</si>
  <si>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</si>
  <si>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</si>
  <si>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</si>
  <si>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</si>
  <si>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</si>
  <si>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</si>
  <si>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</si>
  <si>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</si>
  <si>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</si>
  <si>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</si>
  <si>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</si>
  <si>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</si>
  <si>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</si>
  <si>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</si>
  <si>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</si>
  <si>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</si>
  <si>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</si>
  <si>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</si>
  <si>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</si>
  <si>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</si>
  <si>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</si>
  <si>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</si>
  <si>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</si>
  <si>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</si>
  <si>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</si>
  <si>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</si>
  <si>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</si>
  <si>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</si>
  <si>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</si>
  <si>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</si>
  <si>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</si>
  <si>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</si>
  <si>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</si>
  <si>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</si>
  <si>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</si>
  <si>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</si>
  <si>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</si>
  <si>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</si>
  <si>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</si>
  <si>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</si>
  <si>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</si>
  <si>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</si>
  <si>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</si>
  <si>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</si>
  <si>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</si>
  <si>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</si>
  <si>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</si>
  <si>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</si>
  <si>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</si>
  <si>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</si>
  <si>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</si>
  <si>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</si>
  <si>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</si>
  <si>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</si>
  <si>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</si>
  <si>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</si>
  <si>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</si>
  <si>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</si>
  <si>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</si>
  <si>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</si>
  <si>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</si>
  <si>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</si>
  <si>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</si>
  <si>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</si>
  <si>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</si>
  <si>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</si>
  <si>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</si>
  <si>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</si>
  <si>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</si>
  <si>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</si>
  <si>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</si>
  <si>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</si>
  <si>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</si>
  <si>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</si>
  <si>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</si>
  <si>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</si>
  <si>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</si>
  <si>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</si>
  <si>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</si>
  <si>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</si>
  <si>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</si>
  <si>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</si>
  <si>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</si>
  <si>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</si>
  <si>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</si>
  <si>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</si>
  <si>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</si>
  <si>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</si>
  <si>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</si>
  <si>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</si>
  <si>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</si>
  <si>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</si>
  <si>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</si>
  <si>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</si>
  <si>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</si>
  <si>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</si>
  <si>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</si>
  <si>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</si>
  <si>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</si>
  <si>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</si>
  <si>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</si>
  <si>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</si>
  <si>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</si>
  <si>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</si>
  <si>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</si>
  <si>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</si>
  <si>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</si>
  <si>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</si>
  <si>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</si>
  <si>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</si>
  <si>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</si>
  <si>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</si>
  <si>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</si>
  <si>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</si>
  <si>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</si>
  <si>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</si>
  <si>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</si>
  <si>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</si>
  <si>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</si>
  <si>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</si>
  <si>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</si>
  <si>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</si>
  <si>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</si>
  <si>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</si>
  <si>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</si>
  <si>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</si>
  <si>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</si>
  <si>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</si>
  <si>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</si>
  <si>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</si>
  <si>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</si>
  <si>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</si>
  <si>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</si>
  <si>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</si>
  <si>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</si>
  <si>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</si>
  <si>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</si>
  <si>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</si>
  <si>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</si>
  <si>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</si>
  <si>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</si>
  <si>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</si>
  <si>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</si>
  <si>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</si>
  <si>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</si>
  <si>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</si>
  <si>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</si>
  <si>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</si>
  <si>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</si>
  <si>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</si>
  <si>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</si>
  <si>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</si>
  <si>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</si>
  <si>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</si>
  <si>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</si>
  <si>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</si>
  <si>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</si>
  <si>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</si>
  <si>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</si>
  <si>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</si>
  <si>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</si>
  <si>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</si>
  <si>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</si>
  <si>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</si>
  <si>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</si>
  <si>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</si>
  <si>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</si>
  <si>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</si>
  <si>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</si>
  <si>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</si>
  <si>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</si>
  <si>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</si>
  <si>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</si>
  <si>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</si>
  <si>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</si>
  <si>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</si>
  <si>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</si>
  <si>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</si>
  <si>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</si>
  <si>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</si>
  <si>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</si>
  <si>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</si>
  <si>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</si>
  <si>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</si>
  <si>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</si>
  <si>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</si>
  <si>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</si>
  <si>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</si>
  <si>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</si>
  <si>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</si>
  <si>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</si>
  <si>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</si>
  <si>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</si>
  <si>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</si>
  <si>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</si>
  <si>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</si>
  <si>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</si>
  <si>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</si>
  <si>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</si>
  <si>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</si>
  <si>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</si>
  <si>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</si>
  <si>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</si>
  <si>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</si>
  <si>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</si>
  <si>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</si>
  <si>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</si>
  <si>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</si>
  <si>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</si>
  <si>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</si>
  <si>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</si>
  <si>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</si>
  <si>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</si>
  <si>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</si>
  <si>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</si>
  <si>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</si>
  <si>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</si>
  <si>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</si>
  <si>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</si>
  <si>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</si>
  <si>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</si>
  <si>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</si>
  <si>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</si>
  <si>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</si>
  <si>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</si>
  <si>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</si>
  <si>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</si>
  <si>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</si>
  <si>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</si>
  <si>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</si>
  <si>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</si>
  <si>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</si>
  <si>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</si>
  <si>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</si>
  <si>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</si>
  <si>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</si>
  <si>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</si>
  <si>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</si>
  <si>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</si>
  <si>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</si>
  <si>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</si>
  <si>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</si>
  <si>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</si>
  <si>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</si>
  <si>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</si>
  <si>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</si>
  <si>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</si>
  <si>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</si>
  <si>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</si>
  <si>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</si>
  <si>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</si>
  <si>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</si>
  <si>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</si>
  <si>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</si>
  <si>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</si>
  <si>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</si>
  <si>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</si>
  <si>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</si>
  <si>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</si>
  <si>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</si>
  <si>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</si>
  <si>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</si>
  <si>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</si>
  <si>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</si>
  <si>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</si>
  <si>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</si>
  <si>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</si>
  <si>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</si>
  <si>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</si>
  <si>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</si>
  <si>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</si>
  <si>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</si>
  <si>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</si>
  <si>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</si>
  <si>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</si>
  <si>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</si>
  <si>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</si>
  <si>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</si>
  <si>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</si>
  <si>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</si>
  <si>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</si>
  <si>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</si>
  <si>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</si>
  <si>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</si>
  <si>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</si>
  <si>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</si>
  <si>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</si>
  <si>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</si>
  <si>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</si>
  <si>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</si>
  <si>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</si>
  <si>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</si>
  <si>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</si>
  <si>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</si>
  <si>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</si>
  <si>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</si>
  <si>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</si>
  <si>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</si>
  <si>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</si>
  <si>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</si>
  <si>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</si>
  <si>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</si>
  <si>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</si>
  <si>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</si>
  <si>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</si>
  <si>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</si>
  <si>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</si>
  <si>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</si>
  <si>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</si>
  <si>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</si>
  <si>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</si>
  <si>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</si>
  <si>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</si>
  <si>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</si>
  <si>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</si>
  <si>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</si>
  <si>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</si>
  <si>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</si>
  <si>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</si>
  <si>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</si>
  <si>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</si>
  <si>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</si>
  <si>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</si>
  <si>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</si>
  <si>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</si>
  <si>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</si>
  <si>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</si>
  <si>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</si>
  <si>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</si>
  <si>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</si>
  <si>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</si>
  <si>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</si>
  <si>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</si>
  <si>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</si>
  <si>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</si>
  <si>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</si>
  <si>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</si>
  <si>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</si>
  <si>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</si>
  <si>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</si>
  <si>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</si>
  <si>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</si>
  <si>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</si>
  <si>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</si>
  <si>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</si>
  <si>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</si>
  <si>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</si>
  <si>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</si>
  <si>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</si>
  <si>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</si>
  <si>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</si>
  <si>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</si>
  <si>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</si>
  <si>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</si>
  <si>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</si>
  <si>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</si>
  <si>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</si>
  <si>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</si>
  <si>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</si>
  <si>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</si>
  <si>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</si>
  <si>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</si>
  <si>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</si>
  <si>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</si>
  <si>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</si>
  <si>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</si>
  <si>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</si>
  <si>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</si>
  <si>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</si>
  <si>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</si>
  <si>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</si>
  <si>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</si>
  <si>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</si>
  <si>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</si>
  <si>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</si>
  <si>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</si>
  <si>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</si>
  <si>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</si>
  <si>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</si>
  <si>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</si>
  <si>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</si>
  <si>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</si>
  <si>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</si>
  <si>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</si>
  <si>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</si>
  <si>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</si>
  <si>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</si>
  <si>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</si>
  <si>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</si>
  <si>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</si>
  <si>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</si>
  <si>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</si>
  <si>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</si>
  <si>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</si>
  <si>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</si>
  <si>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</si>
  <si>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</si>
  <si>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</si>
  <si>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</si>
  <si>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</si>
  <si>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</si>
  <si>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</si>
  <si>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</si>
  <si>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</si>
  <si>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</si>
  <si>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</si>
  <si>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</si>
  <si>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</si>
  <si>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</si>
  <si>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</si>
  <si>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</si>
  <si>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</si>
  <si>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</si>
  <si>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</si>
  <si>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</si>
  <si>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</si>
  <si>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</si>
  <si>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</si>
  <si>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</si>
  <si>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</si>
  <si>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</si>
  <si>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</si>
  <si>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</si>
  <si>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</si>
  <si>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</si>
  <si>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</si>
  <si>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</si>
  <si>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</si>
  <si>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</si>
  <si>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</si>
  <si>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</si>
  <si>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</si>
  <si>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</si>
  <si>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</si>
  <si>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</si>
  <si>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</si>
  <si>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</si>
  <si>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</si>
  <si>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</si>
  <si>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</si>
  <si>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</si>
  <si>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</si>
  <si>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</si>
  <si>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</si>
  <si>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</si>
  <si>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</si>
  <si>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</si>
  <si>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</si>
  <si>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</si>
  <si>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</si>
  <si>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</si>
  <si>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</si>
  <si>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</si>
  <si>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</si>
  <si>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</si>
  <si>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</si>
  <si>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</si>
  <si>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</si>
  <si>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</si>
  <si>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</si>
  <si>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</si>
  <si>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</si>
  <si>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</si>
  <si>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</si>
  <si>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</si>
  <si>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</si>
  <si>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</si>
  <si>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</si>
  <si>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</si>
  <si>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</si>
  <si>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</si>
  <si>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</si>
  <si>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</si>
  <si>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</si>
  <si>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</si>
  <si>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</si>
  <si>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</si>
  <si>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</si>
  <si>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</si>
  <si>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</si>
  <si>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</si>
  <si>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</si>
  <si>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</si>
  <si>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</si>
  <si>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</si>
  <si>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</si>
  <si>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</si>
  <si>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</si>
  <si>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</si>
  <si>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</si>
  <si>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</si>
  <si>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</si>
  <si>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</si>
  <si>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</si>
  <si>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</si>
  <si>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</si>
  <si>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</si>
  <si>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</si>
  <si>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</si>
  <si>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</si>
  <si>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</si>
  <si>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</si>
  <si>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</si>
  <si>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</si>
  <si>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</si>
  <si>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</si>
  <si>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</si>
  <si>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</si>
  <si>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</si>
  <si>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</si>
  <si>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</si>
  <si>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</si>
  <si>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</si>
  <si>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</si>
  <si>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</si>
  <si>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</si>
  <si>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</si>
  <si>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</si>
  <si>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</si>
  <si>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</si>
  <si>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</si>
  <si>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</si>
  <si>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</si>
  <si>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</si>
  <si>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</si>
  <si>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</si>
  <si>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</si>
  <si>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</si>
  <si>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</si>
  <si>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</si>
  <si>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</si>
  <si>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</si>
  <si>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</si>
  <si>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</si>
  <si>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</si>
  <si>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</si>
  <si>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</si>
  <si>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</si>
  <si>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</si>
  <si>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</si>
  <si>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</si>
  <si>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</si>
  <si>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</si>
  <si>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</si>
  <si>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</si>
  <si>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</si>
  <si>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</si>
  <si>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</si>
  <si>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</si>
  <si>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</si>
  <si>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</si>
  <si>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</si>
  <si>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</si>
  <si>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</si>
  <si>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</si>
  <si>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</si>
  <si>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</si>
  <si>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</si>
  <si>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</si>
  <si>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</si>
  <si>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</si>
  <si>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</si>
  <si>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</si>
  <si>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</si>
  <si>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</si>
  <si>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</si>
  <si>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</si>
  <si>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</si>
  <si>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</si>
  <si>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</si>
  <si>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</si>
  <si>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</si>
  <si>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</si>
  <si>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</si>
  <si>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</si>
  <si>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</si>
  <si>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</si>
  <si>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</si>
  <si>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</si>
  <si>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</si>
  <si>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</si>
  <si>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</si>
  <si>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</si>
  <si>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</si>
  <si>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</si>
  <si>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</si>
  <si>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</si>
  <si>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</si>
  <si>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</si>
  <si>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</si>
  <si>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</si>
  <si>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</si>
  <si>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</si>
  <si>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</si>
  <si>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</si>
  <si>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</si>
  <si>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</si>
  <si>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</si>
  <si>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</si>
  <si>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</si>
  <si>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</si>
  <si>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</si>
  <si>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</si>
  <si>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</si>
  <si>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</si>
  <si>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</si>
  <si>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</si>
  <si>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</si>
  <si>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</si>
  <si>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</si>
  <si>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</si>
  <si>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</si>
  <si>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</si>
  <si>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</si>
  <si>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</si>
  <si>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</si>
  <si>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</si>
  <si>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</si>
  <si>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</si>
  <si>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</si>
  <si>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</si>
  <si>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</si>
  <si>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</si>
  <si>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</si>
  <si>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</si>
  <si>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</si>
  <si>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</si>
  <si>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</si>
  <si>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</si>
  <si>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</si>
  <si>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</si>
  <si>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</si>
  <si>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</si>
  <si>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</si>
  <si>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</si>
  <si>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</si>
  <si>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</si>
  <si>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</si>
  <si>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</si>
  <si>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</si>
  <si>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</si>
  <si>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</si>
  <si>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</si>
  <si>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</si>
  <si>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</si>
  <si>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</si>
  <si>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</si>
  <si>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</si>
  <si>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</si>
  <si>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</si>
  <si>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</si>
  <si>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</si>
  <si>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</si>
  <si>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</si>
  <si>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</si>
  <si>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</si>
  <si>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</si>
  <si>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</si>
  <si>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</si>
  <si>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</si>
  <si>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</si>
  <si>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</si>
  <si>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</si>
  <si>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</si>
  <si>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</si>
  <si>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</si>
  <si>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</si>
  <si>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</si>
  <si>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</si>
  <si>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</si>
  <si>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</si>
  <si>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</si>
  <si>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</si>
  <si>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</si>
  <si>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</si>
  <si>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</si>
  <si>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</si>
  <si>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</si>
  <si>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</si>
  <si>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</si>
  <si>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</si>
  <si>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</si>
  <si>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</si>
  <si>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</si>
  <si>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</si>
  <si>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</si>
  <si>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</si>
  <si>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</si>
  <si>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</si>
  <si>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</si>
  <si>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</si>
  <si>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</si>
  <si>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</si>
  <si>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</si>
  <si>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</si>
  <si>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</si>
  <si>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</si>
  <si>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</si>
  <si>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</si>
  <si>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</si>
  <si>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</si>
  <si>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</si>
  <si>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</si>
  <si>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</si>
  <si>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</si>
  <si>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</si>
  <si>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</si>
  <si>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</si>
  <si>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</si>
  <si>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</si>
  <si>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</si>
  <si>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</si>
  <si>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</si>
  <si>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</si>
  <si>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</si>
  <si>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</si>
  <si>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</si>
  <si>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</si>
  <si>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</si>
  <si>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</si>
  <si>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</si>
  <si>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</si>
  <si>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</si>
  <si>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</si>
  <si>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</si>
  <si>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</si>
  <si>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</si>
  <si>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</si>
  <si>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</si>
  <si>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</si>
  <si>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</si>
  <si>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</si>
  <si>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</si>
  <si>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</si>
  <si>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</si>
  <si>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</si>
  <si>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</si>
  <si>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</si>
  <si>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</si>
  <si>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</si>
  <si>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</si>
  <si>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</si>
  <si>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</si>
  <si>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</si>
  <si>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</si>
  <si>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</si>
  <si>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</si>
  <si>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</si>
  <si>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</si>
  <si>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</si>
  <si>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</si>
  <si>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</si>
  <si>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</si>
  <si>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</si>
  <si>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</si>
  <si>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</si>
  <si>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</si>
  <si>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</si>
  <si>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</si>
  <si>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</si>
  <si>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</si>
  <si>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</si>
  <si>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</si>
  <si>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</si>
  <si>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</si>
  <si>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</si>
  <si>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</si>
  <si>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</si>
  <si>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</si>
  <si>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</si>
  <si>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</si>
  <si>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</si>
  <si>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</si>
  <si>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</si>
  <si>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</si>
  <si>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</si>
  <si>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</si>
  <si>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</si>
  <si>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</si>
  <si>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</si>
  <si>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</si>
  <si>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</si>
  <si>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</si>
  <si>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</si>
  <si>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</si>
  <si>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</si>
  <si>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</si>
  <si>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</si>
  <si>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</si>
  <si>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</si>
  <si>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</si>
  <si>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</si>
  <si>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</si>
  <si>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</si>
  <si>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</si>
  <si>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</si>
  <si>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</si>
  <si>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</si>
  <si>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</si>
  <si>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</si>
  <si>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</si>
  <si>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</si>
  <si>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</si>
  <si>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</si>
  <si>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</si>
  <si>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</si>
  <si>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</si>
  <si>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</si>
  <si>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</si>
  <si>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</si>
  <si>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</si>
  <si>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</si>
  <si>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</si>
  <si>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</si>
  <si>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</si>
  <si>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</si>
  <si>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</si>
  <si>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</si>
  <si>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</si>
  <si>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</si>
  <si>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</si>
  <si>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</si>
  <si>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</si>
  <si>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</si>
  <si>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</si>
  <si>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</si>
  <si>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</si>
  <si>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</si>
  <si>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</si>
  <si>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</si>
  <si>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</si>
  <si>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</si>
  <si>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</si>
  <si>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</si>
  <si>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</si>
  <si>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</si>
  <si>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</si>
  <si>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</si>
  <si>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</si>
  <si>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</si>
  <si>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</si>
  <si>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</si>
  <si>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</si>
  <si>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</si>
  <si>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</si>
  <si>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</si>
  <si>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</si>
  <si>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</si>
  <si>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</si>
  <si>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</si>
  <si>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</si>
  <si>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</si>
  <si>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</si>
  <si>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</si>
  <si>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</si>
  <si>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</si>
  <si>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</si>
  <si>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</si>
  <si>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</si>
  <si>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</si>
  <si>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</si>
  <si>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</si>
  <si>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</si>
  <si>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</si>
  <si>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</si>
  <si>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</si>
  <si>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</si>
  <si>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</si>
  <si>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</si>
  <si>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</si>
  <si>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</si>
  <si>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</si>
  <si>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</si>
  <si>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</si>
  <si>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</si>
  <si>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</si>
  <si>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</si>
  <si>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</si>
  <si>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</si>
  <si>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</si>
  <si>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</si>
  <si>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</si>
  <si>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</si>
  <si>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</si>
  <si>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</si>
  <si>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</si>
  <si>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</si>
  <si>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</si>
  <si>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</si>
  <si>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</si>
  <si>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</si>
  <si>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</si>
  <si>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</si>
  <si>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</si>
  <si>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</si>
  <si>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</si>
  <si>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</si>
  <si>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</si>
  <si>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</si>
  <si>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</si>
  <si>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</si>
  <si>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</si>
  <si>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</si>
  <si>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</si>
  <si>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</si>
  <si>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</si>
  <si>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</si>
  <si>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</si>
  <si>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</si>
  <si>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</si>
  <si>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</si>
  <si>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</si>
  <si>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</si>
  <si>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</si>
  <si>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</si>
  <si>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</si>
  <si>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</si>
  <si>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</si>
  <si>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</si>
  <si>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</si>
  <si>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</si>
  <si>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</si>
  <si>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</si>
  <si>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</si>
  <si>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</si>
  <si>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</si>
  <si>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</si>
  <si>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</si>
  <si>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</si>
  <si>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</si>
  <si>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</si>
  <si>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</si>
  <si>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</si>
  <si>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</si>
  <si>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</si>
  <si>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</si>
  <si>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</si>
  <si>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</si>
  <si>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</si>
  <si>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</si>
  <si>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</si>
  <si>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</si>
  <si>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</si>
  <si>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</si>
  <si>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</si>
  <si>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</si>
  <si>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</si>
  <si>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</si>
  <si>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</si>
  <si>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</si>
  <si>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</si>
  <si>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</si>
  <si>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</si>
  <si>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</si>
  <si>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</si>
  <si>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</si>
  <si>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</si>
  <si>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</si>
  <si>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</si>
  <si>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</si>
  <si>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</si>
  <si>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</si>
  <si>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</si>
  <si>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</si>
  <si>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</si>
  <si>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</si>
  <si>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</si>
  <si>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</si>
  <si>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</si>
  <si>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</si>
  <si>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</si>
  <si>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</si>
  <si>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</si>
  <si>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</si>
  <si>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</si>
  <si>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</si>
  <si>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</si>
  <si>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</si>
  <si>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</si>
  <si>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</si>
  <si>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</si>
  <si>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</si>
  <si>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</si>
  <si>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</si>
  <si>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</si>
  <si>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</si>
  <si>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</si>
  <si>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</si>
  <si>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</si>
  <si>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</si>
  <si>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</si>
  <si>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</si>
  <si>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</si>
  <si>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</si>
  <si>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</si>
  <si>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</si>
  <si>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</si>
  <si>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</si>
  <si>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</si>
  <si>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</si>
  <si>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</si>
  <si>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</si>
  <si>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建筑面积</t>
  </si>
  <si>
    <t>是</t>
  </si>
  <si>
    <t>否</t>
  </si>
  <si>
    <t>地上</t>
  </si>
  <si>
    <t>成新度</t>
  </si>
  <si>
    <t>押一</t>
  </si>
  <si>
    <t>钢混</t>
  </si>
  <si>
    <t>非生产用房</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</si>
  <si>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</si>
  <si>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</si>
  <si>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</si>
  <si>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</si>
  <si>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</si>
  <si>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</si>
  <si>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</si>
  <si>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</si>
  <si>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</si>
  <si>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</si>
  <si>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</si>
  <si>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</si>
  <si>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中电信息大厦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</si>
  <si>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</si>
  <si>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</si>
  <si>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</si>
  <si>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</si>
  <si>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</si>
  <si>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</si>
  <si>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</si>
  <si>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</si>
  <si>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</si>
  <si>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</si>
  <si>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</si>
  <si>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</si>
  <si>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</si>
  <si>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</si>
  <si>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</si>
  <si>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</si>
  <si>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</si>
  <si>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</si>
  <si>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</si>
  <si>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</si>
  <si>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</si>
  <si>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</si>
  <si>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丹棱SOHO</t>
    <phoneticPr fontId="3" type="noConversion"/>
  </si>
  <si>
    <t>低区</t>
  </si>
  <si>
    <t>现房</t>
  </si>
  <si>
    <t>项目局部</t>
  </si>
  <si>
    <t>写字楼</t>
  </si>
  <si>
    <t>写字楼</t>
    <phoneticPr fontId="31" type="noConversion"/>
  </si>
  <si>
    <r>
      <rPr>
        <sz val="10"/>
        <color theme="9" tint="-0.249977111117893"/>
        <rFont val="宋体"/>
        <family val="3"/>
        <charset val="134"/>
      </rPr>
      <t>朝阳区日坛北路</t>
    </r>
    <r>
      <rPr>
        <sz val="10"/>
        <color theme="9" tint="-0.249977111117893"/>
        <rFont val="Arial"/>
        <family val="2"/>
      </rPr>
      <t>17</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phoneticPr fontId="6" type="noConversion"/>
  </si>
  <si>
    <t>企业</t>
  </si>
  <si>
    <t>北京市</t>
  </si>
  <si>
    <r>
      <rPr>
        <sz val="10"/>
        <rFont val="宋体"/>
        <family val="3"/>
        <charset val="134"/>
      </rPr>
      <t>房屋所有权人</t>
    </r>
  </si>
  <si>
    <r>
      <rPr>
        <sz val="10"/>
        <rFont val="宋体"/>
        <family val="3"/>
        <charset val="134"/>
      </rPr>
      <t>产权证号</t>
    </r>
  </si>
  <si>
    <r>
      <rPr>
        <sz val="10"/>
        <rFont val="宋体"/>
        <family val="3"/>
        <charset val="134"/>
      </rPr>
      <t>房屋坐落</t>
    </r>
  </si>
  <si>
    <r>
      <rPr>
        <sz val="10"/>
        <rFont val="宋体"/>
        <family val="3"/>
        <charset val="134"/>
      </rPr>
      <t>登记时间</t>
    </r>
  </si>
  <si>
    <r>
      <rPr>
        <sz val="10"/>
        <rFont val="宋体"/>
        <family val="3"/>
        <charset val="134"/>
      </rPr>
      <t>房屋性质</t>
    </r>
  </si>
  <si>
    <r>
      <rPr>
        <sz val="10"/>
        <rFont val="宋体"/>
        <family val="3"/>
        <charset val="134"/>
      </rPr>
      <t>规划用途</t>
    </r>
  </si>
  <si>
    <r>
      <rPr>
        <sz val="10"/>
        <rFont val="宋体"/>
        <family val="3"/>
        <charset val="134"/>
      </rPr>
      <t>建筑面积</t>
    </r>
  </si>
  <si>
    <r>
      <rPr>
        <sz val="10"/>
        <rFont val="宋体"/>
        <family val="3"/>
        <charset val="134"/>
      </rPr>
      <t>套内建筑面积</t>
    </r>
  </si>
  <si>
    <r>
      <rPr>
        <sz val="10"/>
        <rFont val="宋体"/>
        <family val="3"/>
        <charset val="134"/>
      </rPr>
      <t>抵押银行</t>
    </r>
  </si>
  <si>
    <r>
      <rPr>
        <sz val="10"/>
        <rFont val="宋体"/>
        <family val="3"/>
        <charset val="134"/>
      </rPr>
      <t>北京兆通置地集团股份有限公司</t>
    </r>
  </si>
  <si>
    <r>
      <t>X</t>
    </r>
    <r>
      <rPr>
        <sz val="10"/>
        <rFont val="宋体"/>
        <family val="3"/>
        <charset val="134"/>
      </rPr>
      <t>京房权证朝字第</t>
    </r>
    <r>
      <rPr>
        <sz val="10"/>
        <rFont val="Times New Roman"/>
        <family val="1"/>
      </rPr>
      <t>1372862</t>
    </r>
    <r>
      <rPr>
        <sz val="10"/>
        <rFont val="宋体"/>
        <family val="3"/>
        <charset val="134"/>
      </rPr>
      <t>号</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</si>
  <si>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2</t>
    </r>
    <r>
      <rPr>
        <sz val="10"/>
        <rFont val="宋体"/>
        <family val="3"/>
        <charset val="134"/>
      </rPr>
      <t>号楼</t>
    </r>
  </si>
  <si>
    <r>
      <rPr>
        <sz val="10"/>
        <rFont val="宋体"/>
        <family val="3"/>
        <charset val="134"/>
      </rPr>
      <t>商品房</t>
    </r>
  </si>
  <si>
    <r>
      <rPr>
        <sz val="10"/>
        <rFont val="宋体"/>
        <family val="3"/>
        <charset val="134"/>
      </rPr>
      <t>酒店配套</t>
    </r>
  </si>
  <si>
    <r>
      <rPr>
        <sz val="10"/>
        <rFont val="宋体"/>
        <family val="3"/>
        <charset val="134"/>
      </rPr>
      <t>盛京银行</t>
    </r>
  </si>
  <si>
    <r>
      <rPr>
        <sz val="10"/>
        <rFont val="宋体"/>
        <family val="3"/>
        <charset val="134"/>
      </rPr>
      <t>序号</t>
    </r>
  </si>
  <si>
    <r>
      <rPr>
        <sz val="10"/>
        <rFont val="宋体"/>
        <family val="3"/>
        <charset val="134"/>
      </rPr>
      <t>房号</t>
    </r>
  </si>
  <si>
    <r>
      <rPr>
        <sz val="11"/>
        <color indexed="8"/>
        <rFont val="宋体"/>
        <family val="3"/>
        <charset val="134"/>
      </rPr>
      <t>房屋性质</t>
    </r>
  </si>
  <si>
    <r>
      <rPr>
        <sz val="11"/>
        <color indexed="8"/>
        <rFont val="宋体"/>
        <family val="3"/>
        <charset val="134"/>
      </rPr>
      <t>层数</t>
    </r>
  </si>
  <si>
    <r>
      <rPr>
        <sz val="11"/>
        <color indexed="8"/>
        <rFont val="宋体"/>
        <family val="3"/>
        <charset val="134"/>
      </rPr>
      <t>面积</t>
    </r>
  </si>
  <si>
    <r>
      <rPr>
        <sz val="11"/>
        <color indexed="8"/>
        <rFont val="宋体"/>
        <family val="3"/>
        <charset val="134"/>
      </rPr>
      <t>抵押银行</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</si>
  <si>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2</t>
    </r>
    <r>
      <rPr>
        <sz val="10"/>
        <rFont val="宋体"/>
        <family val="3"/>
        <charset val="134"/>
      </rPr>
      <t>号楼</t>
    </r>
    <phoneticPr fontId="3" type="noConversion"/>
  </si>
  <si>
    <r>
      <rPr>
        <sz val="9"/>
        <color indexed="8"/>
        <rFont val="华文细黑"/>
        <family val="3"/>
        <charset val="134"/>
      </rPr>
      <t>酒店配套</t>
    </r>
  </si>
  <si>
    <t>实际楼层</t>
    <phoneticPr fontId="247" type="noConversion"/>
  </si>
  <si>
    <t>房产证楼层</t>
    <phoneticPr fontId="247" type="noConversion"/>
  </si>
  <si>
    <t>电梯楼层</t>
    <phoneticPr fontId="247" type="noConversion"/>
  </si>
  <si>
    <t>层高</t>
    <phoneticPr fontId="247" type="noConversion"/>
  </si>
  <si>
    <t>对应估价范围</t>
    <phoneticPr fontId="247" type="noConversion"/>
  </si>
  <si>
    <t>1层</t>
    <phoneticPr fontId="247" type="noConversion"/>
  </si>
  <si>
    <t>标准层高</t>
    <phoneticPr fontId="247" type="noConversion"/>
  </si>
  <si>
    <t>2层</t>
    <phoneticPr fontId="247" type="noConversion"/>
  </si>
  <si>
    <t>3层</t>
  </si>
  <si>
    <t>4层</t>
  </si>
  <si>
    <t>5层</t>
    <phoneticPr fontId="247" type="noConversion"/>
  </si>
  <si>
    <t>5层</t>
  </si>
  <si>
    <t>6层</t>
    <phoneticPr fontId="247" type="noConversion"/>
  </si>
  <si>
    <t>超高层高</t>
    <phoneticPr fontId="247" type="noConversion"/>
  </si>
  <si>
    <t>502-504</t>
    <phoneticPr fontId="247" type="noConversion"/>
  </si>
  <si>
    <t>6层</t>
  </si>
  <si>
    <t>7层</t>
  </si>
  <si>
    <t>8层</t>
  </si>
  <si>
    <t>9层</t>
  </si>
  <si>
    <t>10层</t>
  </si>
  <si>
    <t>11层</t>
  </si>
  <si>
    <t>12层</t>
  </si>
  <si>
    <t>15层</t>
  </si>
  <si>
    <t>13层</t>
  </si>
  <si>
    <t>16层</t>
  </si>
  <si>
    <t>14层</t>
  </si>
  <si>
    <t>17层</t>
  </si>
  <si>
    <t>18层</t>
  </si>
  <si>
    <t>19层</t>
    <phoneticPr fontId="247" type="noConversion"/>
  </si>
  <si>
    <t>建安取值</t>
  </si>
  <si>
    <t>单方建安</t>
  </si>
  <si>
    <t>合计</t>
  </si>
  <si>
    <t>工程进度</t>
  </si>
  <si>
    <t>主体</t>
  </si>
  <si>
    <t>地下</t>
  </si>
  <si>
    <t>装修</t>
  </si>
  <si>
    <t>设备</t>
  </si>
  <si>
    <t>人防</t>
  </si>
  <si>
    <t>综合平均</t>
  </si>
  <si>
    <t>建成年代</t>
  </si>
  <si>
    <t>砖混</t>
  </si>
  <si>
    <t>残值率</t>
  </si>
  <si>
    <t>直线折旧</t>
  </si>
  <si>
    <t>观察成新</t>
  </si>
  <si>
    <t>酒店配套</t>
  </si>
  <si>
    <t>酒店配套</t>
    <phoneticPr fontId="7" type="noConversion"/>
  </si>
  <si>
    <t>收益法</t>
  </si>
  <si>
    <t>自定义容积率</t>
  </si>
  <si>
    <t>通路</t>
  </si>
  <si>
    <t>通电</t>
  </si>
  <si>
    <t>通讯</t>
  </si>
  <si>
    <t>通上水</t>
  </si>
  <si>
    <t>通下水</t>
  </si>
  <si>
    <t>平整</t>
  </si>
  <si>
    <t>燃气</t>
  </si>
  <si>
    <t>与级别开发程度不一致</t>
  </si>
  <si>
    <t>不临65条商业街</t>
  </si>
  <si>
    <t>未包含在土地购买价格中</t>
  </si>
  <si>
    <t>全部缴纳</t>
  </si>
  <si>
    <t>已包含在土地取得成本中</t>
  </si>
  <si>
    <t>成本法</t>
  </si>
  <si>
    <r>
      <t>X</t>
    </r>
    <r>
      <rPr>
        <sz val="10"/>
        <rFont val="宋体"/>
        <family val="3"/>
        <charset val="134"/>
      </rPr>
      <t>京房权证朝字第</t>
    </r>
    <r>
      <rPr>
        <sz val="10"/>
        <rFont val="Times New Roman"/>
        <family val="1"/>
      </rPr>
      <t>1372862</t>
    </r>
    <r>
      <rPr>
        <sz val="10"/>
        <rFont val="宋体"/>
        <family val="3"/>
        <charset val="134"/>
      </rPr>
      <t>号</t>
    </r>
    <phoneticPr fontId="134" type="noConversion"/>
  </si>
  <si>
    <t>总价</t>
  </si>
  <si>
    <t>成本比率</t>
  </si>
  <si>
    <t>一般</t>
  </si>
  <si>
    <t>好</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</si>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</sst>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name val="Times New Roman"/>
      <family val="1"/>
    </font>
    <font>
      <sz val="11"/>
      <color theme="1"/>
      <name val="Times New Roman"/>
      <family val="1"/>
    </font>
    <font>
      <sz val="9"/>
      <color indexed="8"/>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83" fontId="47" fillId="0" borderId="1" xfId="19" applyNumberFormat="1" applyFont="1" applyBorder="1" applyAlignment="1" applyProtection="1">
      <alignment horizontal="center" vertical="center" shrinkToFit="1"/>
      <protection locked="0"/>
    </xf>
    <xf numFmtId="49" fontId="271" fillId="12" borderId="4" xfId="0" applyNumberFormat="1" applyFont="1" applyFill="1" applyBorder="1" applyAlignment="1" applyProtection="1">
      <alignment horizontal="left" vertical="center"/>
      <protection locked="0"/>
    </xf>
    <xf numFmtId="0" fontId="272" fillId="0" borderId="1" xfId="0" applyFont="1" applyBorder="1" applyAlignment="1">
      <alignment horizontal="center" vertical="center"/>
    </xf>
    <xf numFmtId="0" fontId="272" fillId="0" borderId="0" xfId="0" applyFont="1" applyAlignment="1">
      <alignment horizontal="center" vertical="center"/>
    </xf>
    <xf numFmtId="0" fontId="272" fillId="0" borderId="1" xfId="0" applyFont="1" applyBorder="1" applyAlignment="1">
      <alignment horizontal="left" vertical="center"/>
    </xf>
    <xf numFmtId="14" fontId="272" fillId="0" borderId="1" xfId="0" applyNumberFormat="1" applyFont="1" applyBorder="1" applyAlignment="1">
      <alignment horizontal="center" vertical="center"/>
    </xf>
    <xf numFmtId="197" fontId="272" fillId="0" borderId="1" xfId="0" applyNumberFormat="1" applyFont="1" applyBorder="1" applyAlignment="1">
      <alignment horizontal="right" vertical="center"/>
    </xf>
    <xf numFmtId="0" fontId="273" fillId="0" borderId="1" xfId="0" applyFont="1" applyBorder="1" applyAlignment="1">
      <alignment horizontal="center" vertical="center"/>
    </xf>
    <xf numFmtId="0" fontId="260" fillId="0" borderId="1" xfId="0" applyFont="1" applyBorder="1" applyAlignment="1">
      <alignment horizontal="right" vertical="center"/>
    </xf>
    <xf numFmtId="0" fontId="260" fillId="0" borderId="1" xfId="0" applyFont="1" applyBorder="1" applyAlignment="1">
      <alignment horizontal="left" vertical="center"/>
    </xf>
    <xf numFmtId="197" fontId="260" fillId="0" borderId="1" xfId="0" applyNumberFormat="1" applyFont="1" applyBorder="1" applyAlignment="1">
      <alignment horizontal="right" vertical="center"/>
    </xf>
    <xf numFmtId="197" fontId="272" fillId="0" borderId="0" xfId="0" applyNumberFormat="1" applyFont="1" applyAlignment="1">
      <alignment horizontal="right" vertical="center"/>
    </xf>
    <xf numFmtId="0" fontId="0" fillId="5" borderId="1" xfId="0" applyFill="1" applyBorder="1">
      <alignment vertical="center"/>
    </xf>
    <xf numFmtId="0" fontId="0" fillId="5" borderId="13" xfId="0" applyFill="1" applyBorder="1">
      <alignment vertical="center"/>
    </xf>
    <xf numFmtId="0" fontId="0" fillId="0" borderId="1" xfId="0" applyBorder="1" applyAlignment="1">
      <alignment horizontal="left" vertical="center"/>
    </xf>
    <xf numFmtId="0" fontId="0" fillId="5" borderId="1" xfId="0" applyFill="1" applyBorder="1" applyAlignment="1">
      <alignment horizontal="left" vertical="center"/>
    </xf>
    <xf numFmtId="0" fontId="53" fillId="22" borderId="49" xfId="1" applyFont="1" applyFill="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197" fontId="260" fillId="5" borderId="1" xfId="0" applyNumberFormat="1" applyFont="1" applyFill="1" applyBorder="1" applyAlignment="1">
      <alignment horizontal="right" vertical="center"/>
    </xf>
    <xf numFmtId="197" fontId="272" fillId="0" borderId="0" xfId="0" applyNumberFormat="1" applyFont="1" applyAlignment="1">
      <alignment horizontal="center" vertical="center"/>
    </xf>
    <xf numFmtId="0" fontId="58" fillId="0" borderId="1" xfId="8" applyFont="1" applyBorder="1" applyAlignment="1">
      <alignment horizontal="left" vertical="center" wrapText="1"/>
    </xf>
    <xf numFmtId="0" fontId="58" fillId="0" borderId="1" xfId="8"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cellStyle name="百分比 3" xfId="20"/>
    <cellStyle name="常规" xfId="0" builtinId="0"/>
    <cellStyle name="常规 11" xfId="18"/>
    <cellStyle name="常规 13"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6">
    <dxf>
      <font>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北京市朝阳区日坛北路17号院2号楼房地产抵押价值预评估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受贵公司委托，我公司对北京市朝阳区日坛北路17号院2号楼房地产抵押价值进行了预评估。</v>
      </c>
    </row>
    <row r="7" spans="1:2">
      <c r="A7" s="1118" t="s">
        <v>566</v>
      </c>
      <c r="B7" s="1119" t="str">
        <f>'预评函-1'!A7</f>
        <v>估价对象为北京市朝阳区日坛北路17号院2号楼房地产，为所有。根据《国有土地使用证》[]，估价对象（分摊）出让国有建设用地使用权面积为0平方米，建筑面积为4967.61平方米。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日坛北路17号院2号楼房地产,属开发建设的，该项目尚在开发建设中。根据《国有土地使用证》[]，估价对象（分摊）出让国有建设用地使用权面积为0平方米，规划建筑面积为4967.61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日坛北路17号院2号楼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2025年4月15日（评估专业人员实地查勘之日）</v>
      </c>
    </row>
    <row r="13" spans="1:2">
      <c r="A13" s="1118" t="s">
        <v>529</v>
      </c>
      <c r="B13" s="1119" t="str">
        <f>'预评函-1'!A18</f>
        <v>本次估价的“房地产价值”是指在正常市场情况下，在价值时点2025年4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14144</v>
      </c>
    </row>
    <row r="21" spans="1:2">
      <c r="A21" s="1118" t="s">
        <v>537</v>
      </c>
      <c r="B21" s="1119">
        <f ca="1">'预评函-2'!D7</f>
        <v>28472</v>
      </c>
    </row>
    <row r="22" spans="1:2">
      <c r="A22" s="1118" t="s">
        <v>538</v>
      </c>
      <c r="B22" s="1119" t="str">
        <f ca="1">'预评函-2'!D6</f>
        <v>壹亿肆仟壹佰肆拾肆万元整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14144</v>
      </c>
    </row>
    <row r="31" spans="1:2">
      <c r="A31" s="1118" t="s">
        <v>576</v>
      </c>
      <c r="B31" s="1119">
        <f ca="1">'预评函-2'!D15</f>
        <v>28472</v>
      </c>
    </row>
    <row r="32" spans="1:2">
      <c r="A32" s="1118" t="s">
        <v>543</v>
      </c>
      <c r="B32" s="1119" t="str">
        <f ca="1">'预评函-2'!D14</f>
        <v>壹亿肆仟壹佰肆拾肆万元整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北京市朝阳区日坛北路17号院2号楼房地产</v>
      </c>
    </row>
    <row r="42" spans="1:2">
      <c r="A42" s="1118" t="s">
        <v>590</v>
      </c>
      <c r="B42" s="1119" t="str">
        <f>'预评函-3'!B2</f>
        <v>建筑面积</v>
      </c>
    </row>
    <row r="43" spans="1:2">
      <c r="A43" s="1118" t="s">
        <v>591</v>
      </c>
      <c r="B43" s="1119">
        <f>'预评函-3'!B4</f>
        <v>4967.6099999999997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11287</v>
      </c>
    </row>
    <row r="48" spans="1:2">
      <c r="A48" s="1118" t="s">
        <v>549</v>
      </c>
      <c r="B48" s="1119">
        <f ca="1">'预评函-3'!E4</f>
        <v>22721</v>
      </c>
    </row>
    <row r="49" spans="1:2">
      <c r="A49" s="1118" t="s">
        <v>550</v>
      </c>
      <c r="B49" s="1119" t="str">
        <f ca="1">'预评函-3'!D5</f>
        <v>壹亿壹仟贰佰捌拾柒万元整</v>
      </c>
    </row>
    <row r="50" spans="1:2">
      <c r="A50" s="1118" t="s">
        <v>574</v>
      </c>
      <c r="B50" s="1119" t="str">
        <f>'预评函-3'!F2</f>
        <v>在建建筑物价值</v>
      </c>
    </row>
    <row r="51" spans="1:2">
      <c r="A51" s="1118" t="s">
        <v>551</v>
      </c>
      <c r="B51" s="1119">
        <f ca="1">'预评函-3'!F4</f>
        <v>2857</v>
      </c>
    </row>
    <row r="52" spans="1:2">
      <c r="A52" s="1118" t="s">
        <v>552</v>
      </c>
      <c r="B52" s="1119">
        <f ca="1">'预评函-3'!G4</f>
        <v>5751</v>
      </c>
    </row>
    <row r="53" spans="1:2">
      <c r="A53" s="1118" t="s">
        <v>580</v>
      </c>
      <c r="B53" s="1119" t="str">
        <f ca="1">'预评函-3'!F5</f>
        <v>贰仟捌佰伍拾柒万元整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3336</v>
      </c>
    </row>
    <row r="8" spans="1:23">
      <c r="A8" s="1440" t="s">
        <v>1026</v>
      </c>
      <c r="B8" s="1440" t="s">
        <v>1027</v>
      </c>
      <c r="C8" s="1441" t="s">
        <v>319</v>
      </c>
      <c r="F8" s="1442" t="s">
        <v>1028</v>
      </c>
      <c r="H8" s="1442" t="s">
        <v>2572</v>
      </c>
      <c r="I8" s="1442" t="s">
        <v>3337</v>
      </c>
    </row>
    <row r="9" spans="1:23">
      <c r="A9" s="1440" t="s">
        <v>1029</v>
      </c>
      <c r="B9" s="1440" t="s">
        <v>1030</v>
      </c>
      <c r="C9" s="1441" t="s">
        <v>320</v>
      </c>
      <c r="F9" s="1442" t="s">
        <v>1031</v>
      </c>
      <c r="H9" s="1442"/>
      <c r="I9" s="1444" t="s">
        <v>3338</v>
      </c>
    </row>
    <row r="10" spans="1:23">
      <c r="A10" s="1440" t="s">
        <v>1032</v>
      </c>
      <c r="B10" s="1440" t="s">
        <v>1033</v>
      </c>
      <c r="C10" s="1441" t="s">
        <v>321</v>
      </c>
      <c r="F10" s="1442" t="s">
        <v>2573</v>
      </c>
      <c r="I10" s="1444" t="s">
        <v>3339</v>
      </c>
    </row>
    <row r="11" spans="1:23">
      <c r="A11" s="1440" t="s">
        <v>1034</v>
      </c>
      <c r="B11" s="1440" t="s">
        <v>1035</v>
      </c>
      <c r="C11" s="1441" t="s">
        <v>322</v>
      </c>
      <c r="F11" s="1442" t="s">
        <v>13</v>
      </c>
      <c r="I11" s="1444" t="s">
        <v>3340</v>
      </c>
    </row>
    <row r="12" spans="1:23">
      <c r="A12" s="1440" t="s">
        <v>1036</v>
      </c>
      <c r="B12" s="1440" t="s">
        <v>1037</v>
      </c>
      <c r="C12" s="1441" t="s">
        <v>323</v>
      </c>
      <c r="I12" s="1444" t="s">
        <v>3341</v>
      </c>
    </row>
    <row r="13" spans="1:23">
      <c r="A13" s="1440" t="s">
        <v>1038</v>
      </c>
      <c r="B13" s="1440" t="s">
        <v>1039</v>
      </c>
      <c r="C13" s="1441" t="s">
        <v>324</v>
      </c>
      <c r="I13" s="1444" t="s">
        <v>3342</v>
      </c>
    </row>
    <row r="14" spans="1:23">
      <c r="A14" s="1440" t="s">
        <v>1040</v>
      </c>
      <c r="B14" s="1440" t="s">
        <v>1041</v>
      </c>
      <c r="C14" s="1442" t="s">
        <v>13</v>
      </c>
      <c r="I14" s="1444" t="s">
        <v>3343</v>
      </c>
    </row>
    <row r="15" spans="1:23">
      <c r="A15" s="1440" t="s">
        <v>1042</v>
      </c>
      <c r="B15" s="1440" t="s">
        <v>1043</v>
      </c>
      <c r="C15" s="1441"/>
      <c r="I15" s="1444" t="s">
        <v>3344</v>
      </c>
    </row>
    <row r="16" spans="1:23">
      <c r="A16" s="1440" t="s">
        <v>1044</v>
      </c>
      <c r="B16" s="1440" t="s">
        <v>312</v>
      </c>
      <c r="C16" s="1441"/>
    </row>
    <row r="17" spans="1:3">
      <c r="A17" s="1440" t="s">
        <v>1045</v>
      </c>
      <c r="B17" s="1440" t="s">
        <v>2288</v>
      </c>
      <c r="C17" s="1441"/>
    </row>
    <row r="18" spans="1:3">
      <c r="A18" s="1440" t="s">
        <v>1046</v>
      </c>
      <c r="B18" s="1440" t="s">
        <v>2428</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2号楼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6" t="s">
        <v>385</v>
      </c>
      <c r="C54" s="1444" t="s">
        <v>583</v>
      </c>
    </row>
    <row r="55" spans="1:4">
      <c r="A55" s="3240"/>
      <c r="B55" s="1446" t="s">
        <v>386</v>
      </c>
      <c r="C55" s="1444" t="s">
        <v>584</v>
      </c>
    </row>
    <row r="56" spans="1:4">
      <c r="A56" s="3240"/>
      <c r="B56" s="1446" t="s">
        <v>387</v>
      </c>
      <c r="C56" s="1444" t="s">
        <v>588</v>
      </c>
    </row>
    <row r="57" spans="1:4">
      <c r="A57" s="324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2495</v>
      </c>
      <c r="B1" s="2754"/>
      <c r="C1" s="2754"/>
      <c r="D1" s="2754"/>
      <c r="E1" s="2754"/>
      <c r="F1" s="2755"/>
      <c r="I1" s="3131" t="s">
        <v>2588</v>
      </c>
      <c r="J1" s="2780"/>
      <c r="K1" s="2780"/>
      <c r="L1" s="2780"/>
      <c r="M1" s="2780"/>
      <c r="N1" s="2965"/>
      <c r="O1" s="2965"/>
      <c r="P1" s="2965"/>
      <c r="Q1" s="2965"/>
      <c r="R1" s="2965"/>
    </row>
    <row r="2" spans="1:18">
      <c r="A2" s="2757"/>
      <c r="B2" s="2758"/>
      <c r="C2" s="2758"/>
      <c r="D2" s="2758"/>
      <c r="E2" s="2758"/>
      <c r="F2" s="2759"/>
      <c r="I2" s="3241" t="s">
        <v>2575</v>
      </c>
      <c r="J2" s="3241"/>
      <c r="K2" s="3241"/>
      <c r="L2" s="3241"/>
      <c r="M2" s="3241"/>
      <c r="N2" s="3241"/>
      <c r="O2" s="3241"/>
      <c r="P2" s="3241"/>
      <c r="Q2" s="3241"/>
      <c r="R2" s="3241"/>
    </row>
    <row r="3" spans="1:18">
      <c r="A3" s="2760" t="s">
        <v>2496</v>
      </c>
      <c r="B3" s="2761">
        <f>项目基本情况!D3</f>
        <v>45762</v>
      </c>
      <c r="C3" s="2763"/>
      <c r="D3" s="2763"/>
      <c r="E3" s="2763"/>
      <c r="F3" s="2759"/>
      <c r="I3" s="2775"/>
      <c r="J3" s="2775" t="s">
        <v>2579</v>
      </c>
      <c r="K3" s="2775" t="s">
        <v>2580</v>
      </c>
      <c r="L3" s="2775" t="s">
        <v>2581</v>
      </c>
      <c r="M3" s="2775" t="s">
        <v>2582</v>
      </c>
      <c r="N3" s="3132" t="s">
        <v>2583</v>
      </c>
      <c r="O3" s="3132" t="s">
        <v>2584</v>
      </c>
      <c r="P3" s="3132" t="s">
        <v>2585</v>
      </c>
      <c r="Q3" s="3132" t="s">
        <v>2586</v>
      </c>
      <c r="R3" s="3132"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11.68</v>
      </c>
      <c r="D6" s="2765">
        <f>IF(ISERROR(ROUND(POWER(1+E6,A6-C6)*(POWER(1+E6,C6)-1)/(POWER(1+E6,A6)-1),3)),0,ROUND(POWER(1+E6,A6-C6)*(POWER(1+E6,C6)-1)/(POWER(1+E6,A6)-1),4))</f>
        <v>0.42770000000000002</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31.7</v>
      </c>
      <c r="D7" s="2765">
        <f>IF(ISERROR(ROUND(POWER(1+E7,A7-C7)*(POWER(1+E7,C7)-1)/(POWER(1+E7,A7)-1),3)),0,ROUND(POWER(1+E7,A7-C7)*(POWER(1+E7,C7)-1)/(POWER(1+E7,A7)-1),4))</f>
        <v>0.76039999999999996</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4.25" thickBot="1">
      <c r="A18" s="2770" t="s">
        <v>2511</v>
      </c>
      <c r="B18" s="2771">
        <f>ROUND(B17*F11/F12,2)</f>
        <v>5541.87</v>
      </c>
      <c r="C18" s="2771">
        <f>ROUND(F11/F12,4)</f>
        <v>1.1521999999999999</v>
      </c>
      <c r="D18" s="2772"/>
      <c r="E18" s="2772"/>
      <c r="F18" s="2773"/>
    </row>
    <row r="19" spans="1:14" ht="14.25" thickBot="1"/>
    <row r="20" spans="1:14" s="2806" customFormat="1" ht="14.2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49"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49">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49">
        <v>8</v>
      </c>
    </row>
    <row r="26" spans="1:14">
      <c r="A26" s="2779"/>
      <c r="B26" s="2780"/>
      <c r="C26" s="2780"/>
      <c r="D26" s="2780"/>
      <c r="E26" s="2780"/>
      <c r="F26" s="2780"/>
      <c r="G26" s="2781"/>
      <c r="I26" s="2797">
        <v>30</v>
      </c>
      <c r="J26" s="2797">
        <v>90.5</v>
      </c>
      <c r="K26" s="2797">
        <f t="shared" si="2"/>
        <v>4.2000000000000028</v>
      </c>
      <c r="L26" s="2797" t="s">
        <v>2566</v>
      </c>
      <c r="N26" s="3149">
        <v>5</v>
      </c>
    </row>
    <row r="27" spans="1:14">
      <c r="A27" s="2779" t="s">
        <v>2525</v>
      </c>
      <c r="B27" s="2780"/>
      <c r="C27" s="2780"/>
      <c r="D27" s="2780"/>
      <c r="E27" s="2780"/>
      <c r="F27" s="2780"/>
      <c r="G27" s="2781"/>
      <c r="I27" s="2797">
        <v>35</v>
      </c>
      <c r="J27" s="2797">
        <v>93.8</v>
      </c>
      <c r="K27" s="2797">
        <f t="shared" si="2"/>
        <v>3.2999999999999972</v>
      </c>
      <c r="L27" s="2797" t="s">
        <v>2567</v>
      </c>
      <c r="N27" s="3149">
        <v>3</v>
      </c>
    </row>
    <row r="28" spans="1:14">
      <c r="A28" s="2779" t="s">
        <v>2526</v>
      </c>
      <c r="B28" s="2780"/>
      <c r="C28" s="2780"/>
      <c r="D28" s="2780"/>
      <c r="E28" s="2780"/>
      <c r="F28" s="2780"/>
      <c r="G28" s="2781"/>
      <c r="I28" s="2797">
        <v>40</v>
      </c>
      <c r="J28" s="2797">
        <v>96.4</v>
      </c>
      <c r="K28" s="2797">
        <f t="shared" si="2"/>
        <v>2.6000000000000085</v>
      </c>
      <c r="L28" s="2797" t="s">
        <v>2568</v>
      </c>
      <c r="N28" s="3149">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49" t="s">
        <v>2563</v>
      </c>
    </row>
    <row r="37" spans="1:14">
      <c r="A37" s="2779" t="s">
        <v>2535</v>
      </c>
      <c r="B37" s="2780"/>
      <c r="C37" s="2780"/>
      <c r="D37" s="2780"/>
      <c r="E37" s="2780"/>
      <c r="F37" s="2780"/>
      <c r="G37" s="2781"/>
      <c r="I37" s="2797">
        <v>20</v>
      </c>
      <c r="J37" s="2797">
        <v>83.6</v>
      </c>
      <c r="K37" s="2797">
        <f t="shared" si="3"/>
        <v>7.2999999999999972</v>
      </c>
      <c r="L37" s="2797" t="s">
        <v>2561</v>
      </c>
      <c r="N37" s="3149">
        <v>10</v>
      </c>
    </row>
    <row r="38" spans="1:14">
      <c r="A38" s="2779" t="s">
        <v>2536</v>
      </c>
      <c r="B38" s="2780"/>
      <c r="C38" s="2780"/>
      <c r="D38" s="2780"/>
      <c r="E38" s="2780"/>
      <c r="F38" s="2780"/>
      <c r="G38" s="2781"/>
      <c r="I38" s="2797">
        <v>25</v>
      </c>
      <c r="J38" s="2797">
        <v>89.3</v>
      </c>
      <c r="K38" s="2797">
        <f t="shared" si="3"/>
        <v>5.7000000000000028</v>
      </c>
      <c r="L38" s="2797" t="s">
        <v>2565</v>
      </c>
      <c r="N38" s="3149">
        <v>8</v>
      </c>
    </row>
    <row r="39" spans="1:14">
      <c r="A39" s="2779"/>
      <c r="B39" s="2780"/>
      <c r="C39" s="2780"/>
      <c r="D39" s="2780"/>
      <c r="E39" s="2780"/>
      <c r="F39" s="2780"/>
      <c r="G39" s="2781"/>
      <c r="I39" s="2797">
        <v>30</v>
      </c>
      <c r="J39" s="2797">
        <v>93.8</v>
      </c>
      <c r="K39" s="2797">
        <f t="shared" si="3"/>
        <v>4.5</v>
      </c>
      <c r="L39" s="2797" t="s">
        <v>2566</v>
      </c>
      <c r="N39" s="3149">
        <v>6</v>
      </c>
    </row>
    <row r="40" spans="1:14">
      <c r="A40" s="2782" t="s">
        <v>2537</v>
      </c>
      <c r="B40" s="2783"/>
      <c r="C40" s="2783"/>
      <c r="D40" s="2783"/>
      <c r="E40" s="2783"/>
      <c r="F40" s="2783"/>
      <c r="G40" s="2784"/>
      <c r="I40" s="2797">
        <v>35</v>
      </c>
      <c r="J40" s="2797">
        <v>97.2</v>
      </c>
      <c r="K40" s="2797">
        <f t="shared" si="3"/>
        <v>3.4000000000000057</v>
      </c>
      <c r="L40" s="2797" t="s">
        <v>2567</v>
      </c>
      <c r="N40" s="3149">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4.2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3381</v>
      </c>
    </row>
    <row r="50" spans="1:4">
      <c r="A50" s="3141" t="s">
        <v>3382</v>
      </c>
      <c r="B50" s="3141" t="s">
        <v>3383</v>
      </c>
      <c r="C50" s="3141" t="s">
        <v>3384</v>
      </c>
      <c r="D50" s="3141" t="s">
        <v>3385</v>
      </c>
    </row>
    <row r="51" spans="1:4">
      <c r="A51" s="3141" t="s">
        <v>3386</v>
      </c>
      <c r="B51" s="2762">
        <f>B52+B53</f>
        <v>15000</v>
      </c>
      <c r="C51" s="3142">
        <f>D51/B51</f>
        <v>2666.6666666666665</v>
      </c>
      <c r="D51" s="2762">
        <f>D52+D53</f>
        <v>40000000</v>
      </c>
    </row>
    <row r="52" spans="1:4">
      <c r="A52" s="3143" t="s">
        <v>3387</v>
      </c>
      <c r="B52" s="3144">
        <v>10000</v>
      </c>
      <c r="C52" s="3144">
        <v>1500</v>
      </c>
      <c r="D52" s="3145">
        <f>C52*B52</f>
        <v>15000000</v>
      </c>
    </row>
    <row r="53" spans="1:4">
      <c r="A53" s="3143" t="s">
        <v>3388</v>
      </c>
      <c r="B53" s="3144">
        <v>5000</v>
      </c>
      <c r="C53" s="3144">
        <v>5000</v>
      </c>
      <c r="D53" s="3145">
        <f>C53*B53</f>
        <v>25000000</v>
      </c>
    </row>
    <row r="54" spans="1:4">
      <c r="A54" s="3141" t="s">
        <v>3389</v>
      </c>
      <c r="B54" s="2762">
        <f>B51</f>
        <v>15000</v>
      </c>
      <c r="C54" s="2768">
        <v>700</v>
      </c>
      <c r="D54" s="2762">
        <f t="shared" ref="D54:D55" si="5">C54*B54</f>
        <v>10500000</v>
      </c>
    </row>
    <row r="55" spans="1:4">
      <c r="A55" s="3141" t="s">
        <v>3390</v>
      </c>
      <c r="B55" s="2762">
        <f>B51</f>
        <v>15000</v>
      </c>
      <c r="C55" s="2768">
        <v>1500</v>
      </c>
      <c r="D55" s="2762">
        <f t="shared" si="5"/>
        <v>22500000</v>
      </c>
    </row>
    <row r="56" spans="1:4">
      <c r="A56" s="3141" t="s">
        <v>3391</v>
      </c>
      <c r="B56" s="2762">
        <f>B51</f>
        <v>15000</v>
      </c>
      <c r="C56" s="3146">
        <f>C51+C54+C55</f>
        <v>4866.6666666666661</v>
      </c>
      <c r="D56" s="2762">
        <f>D51+D54+D55</f>
        <v>73000000</v>
      </c>
    </row>
    <row r="58" spans="1:4">
      <c r="A58" s="3141" t="s">
        <v>3392</v>
      </c>
      <c r="B58" s="3147">
        <v>0.05</v>
      </c>
      <c r="C58" s="2762">
        <f>C56*(1+B58)</f>
        <v>5110</v>
      </c>
      <c r="D58" s="2762">
        <f>D56*B58</f>
        <v>3650000</v>
      </c>
    </row>
    <row r="60" spans="1:4">
      <c r="A60" s="3141" t="s">
        <v>3393</v>
      </c>
      <c r="B60" s="2768">
        <v>3500</v>
      </c>
      <c r="C60" s="2768">
        <f>C53</f>
        <v>5000</v>
      </c>
      <c r="D60" s="2762">
        <f>C60*B60</f>
        <v>17500000</v>
      </c>
    </row>
    <row r="62" spans="1:4">
      <c r="A62" s="3141" t="s">
        <v>3394</v>
      </c>
      <c r="B62" s="2768">
        <f>B51</f>
        <v>15000</v>
      </c>
      <c r="C62" s="3148">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7" sqref="M2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42" t="str">
        <f>IF(B10="北京市","北京市",C10)&amp;F10&amp;IF(结果表!G1="在建","出让国有建设用地使用权及在建建筑物",IF(结果表!G1="土地","出让国有建设用地使用权",))&amp;B9&amp;"预评估"</f>
        <v>北京市朝阳区日坛北路17号院2号楼房地产抵押价值预评估</v>
      </c>
      <c r="C1" s="3243"/>
      <c r="D1" s="3243"/>
      <c r="E1" s="3243"/>
      <c r="F1" s="3243"/>
      <c r="G1" s="3243"/>
      <c r="H1" s="3243"/>
      <c r="I1" s="324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北京市朝阳区日坛北路17号院2号楼房地产抵押价值</v>
      </c>
      <c r="T1" s="1617"/>
      <c r="U1" s="1617"/>
      <c r="V1" s="1617"/>
      <c r="W1" s="1617"/>
      <c r="X1" s="1617"/>
      <c r="Y1" s="1617"/>
      <c r="Z1" s="1617"/>
      <c r="AA1" s="1617"/>
      <c r="AB1" s="1617"/>
    </row>
    <row r="2" spans="1:30">
      <c r="A2" s="2181" t="s">
        <v>2168</v>
      </c>
      <c r="B2" s="121"/>
      <c r="D2" s="2445"/>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北京市朝阳区日坛北路17号院2号楼房地产</v>
      </c>
      <c r="T2" s="1617"/>
      <c r="U2" s="1617"/>
      <c r="V2" s="1617"/>
      <c r="W2" s="1617"/>
      <c r="X2" s="1617"/>
      <c r="Y2" s="1617"/>
      <c r="Z2" s="1617"/>
      <c r="AA2" s="1617"/>
      <c r="AB2" s="1617"/>
    </row>
    <row r="3" spans="1:30">
      <c r="A3" s="293" t="s">
        <v>2169</v>
      </c>
      <c r="B3" s="2184">
        <v>45762</v>
      </c>
      <c r="C3" s="2185" t="s">
        <v>2170</v>
      </c>
      <c r="D3" s="2184">
        <f>B3</f>
        <v>45762</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3406</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9"/>
      <c r="F6" s="2440"/>
      <c r="G6" s="2440"/>
      <c r="H6" s="2440"/>
      <c r="I6" s="2440"/>
      <c r="J6" s="2244"/>
      <c r="K6" s="2399" t="str">
        <f>IF(COUNTIF(B6,"*上海银行*"),"上海银行","")</f>
        <v/>
      </c>
      <c r="L6" s="2397"/>
      <c r="M6" s="2397"/>
      <c r="N6" s="2244"/>
      <c r="O6" s="1669"/>
      <c r="P6" s="2244"/>
      <c r="Q6" s="2244"/>
      <c r="R6" s="2244"/>
    </row>
    <row r="7" spans="1:30">
      <c r="A7" s="2193" t="s">
        <v>2174</v>
      </c>
      <c r="B7" s="2197"/>
      <c r="C7" s="2195"/>
      <c r="D7" s="2196"/>
      <c r="E7" s="2439"/>
      <c r="F7" s="2440"/>
      <c r="G7" s="2440"/>
      <c r="H7" s="2440"/>
      <c r="I7" s="2440"/>
      <c r="J7" s="2244"/>
      <c r="K7" s="2400"/>
      <c r="L7" s="2397"/>
      <c r="M7" s="2397"/>
      <c r="N7" s="2244"/>
      <c r="O7" s="1669"/>
      <c r="P7" s="2244"/>
      <c r="Q7" s="2244"/>
      <c r="R7" s="2244"/>
    </row>
    <row r="8" spans="1:30">
      <c r="A8" s="2198" t="s">
        <v>2175</v>
      </c>
      <c r="B8" s="2199" t="s">
        <v>3407</v>
      </c>
      <c r="C8" s="2200"/>
      <c r="D8" s="3245" t="s">
        <v>2176</v>
      </c>
      <c r="E8" s="2201"/>
      <c r="F8" s="2202"/>
      <c r="G8" s="2440"/>
      <c r="H8" s="2440"/>
      <c r="I8" s="2440"/>
      <c r="J8" s="2244"/>
      <c r="K8" s="2398"/>
      <c r="L8" s="2397"/>
      <c r="M8" s="2397"/>
      <c r="N8" s="2244"/>
      <c r="O8" s="1669"/>
      <c r="P8" s="2244"/>
      <c r="Q8" s="2244"/>
      <c r="R8" s="2244"/>
    </row>
    <row r="9" spans="1:30" ht="13.5" thickBot="1">
      <c r="A9" s="2203" t="s">
        <v>2177</v>
      </c>
      <c r="B9" s="2204" t="s">
        <v>3408</v>
      </c>
      <c r="C9" s="2205"/>
      <c r="D9" s="3246"/>
      <c r="E9" s="2204"/>
      <c r="F9" s="2206"/>
      <c r="G9" s="2441"/>
      <c r="H9" s="2441"/>
      <c r="I9" s="2441"/>
      <c r="J9" s="2244"/>
      <c r="K9" s="2400"/>
      <c r="L9" s="2397"/>
      <c r="M9" s="2397"/>
      <c r="N9" s="2244"/>
      <c r="O9" s="1669"/>
      <c r="P9" s="2244"/>
      <c r="Q9" s="2244"/>
      <c r="R9" s="2244"/>
    </row>
    <row r="10" spans="1:30" ht="13.5" thickTop="1">
      <c r="A10" s="2207" t="s">
        <v>2178</v>
      </c>
      <c r="B10" s="2208" t="s">
        <v>3460</v>
      </c>
      <c r="C10" s="2209"/>
      <c r="D10" s="2192"/>
      <c r="E10" s="2210" t="s">
        <v>2179</v>
      </c>
      <c r="F10" s="3170" t="s">
        <v>3458</v>
      </c>
      <c r="G10" s="2442"/>
      <c r="H10" s="2443"/>
      <c r="I10" s="2444"/>
      <c r="J10" s="2244"/>
      <c r="K10" s="2400"/>
      <c r="L10" s="2397"/>
      <c r="M10" s="2397"/>
      <c r="N10" s="2244"/>
      <c r="O10" s="1669"/>
      <c r="P10" s="2244"/>
      <c r="Q10" s="2244"/>
      <c r="R10" s="2244"/>
    </row>
    <row r="11" spans="1:30">
      <c r="A11" s="2211" t="s">
        <v>2180</v>
      </c>
      <c r="B11" s="2212" t="s">
        <v>3459</v>
      </c>
      <c r="C11" s="2213"/>
      <c r="D11" s="2214"/>
      <c r="E11" s="2181"/>
      <c r="F11" s="2181"/>
      <c r="G11" s="2181"/>
      <c r="H11" s="2181"/>
      <c r="I11" s="2181"/>
      <c r="J11" s="2799"/>
      <c r="K11" s="2397"/>
      <c r="L11" s="2397"/>
      <c r="M11" s="2397"/>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8" t="s">
        <v>2571</v>
      </c>
      <c r="J12" s="2800"/>
      <c r="K12" s="2397"/>
      <c r="L12" s="2397"/>
      <c r="M12" s="2244"/>
      <c r="N12" s="1669"/>
      <c r="O12" s="2244"/>
      <c r="P12" s="2244"/>
      <c r="Q12" s="2244"/>
      <c r="AD12" s="1617"/>
    </row>
    <row r="13" spans="1:30">
      <c r="A13" s="3118" t="s">
        <v>3327</v>
      </c>
      <c r="B13" s="2217" t="s">
        <v>2189</v>
      </c>
      <c r="C13" s="802"/>
      <c r="D13" s="3169">
        <v>51810</v>
      </c>
      <c r="E13" s="3169">
        <v>55462</v>
      </c>
      <c r="F13" s="3169">
        <v>55462</v>
      </c>
      <c r="G13" s="802"/>
      <c r="H13" s="802"/>
      <c r="I13" s="802"/>
      <c r="J13" s="2800"/>
      <c r="K13" s="2397"/>
      <c r="L13" s="2397"/>
      <c r="M13" s="2244"/>
      <c r="N13" s="1669"/>
      <c r="O13" s="2244"/>
      <c r="P13" s="2244"/>
      <c r="Q13" s="2244"/>
      <c r="AD13" s="1617"/>
    </row>
    <row r="14" spans="1:30">
      <c r="A14" s="1017"/>
      <c r="B14" s="2217" t="s">
        <v>2190</v>
      </c>
      <c r="C14" s="2218"/>
      <c r="D14" s="2218">
        <v>40</v>
      </c>
      <c r="E14" s="2218">
        <v>50</v>
      </c>
      <c r="F14" s="2218">
        <v>50</v>
      </c>
      <c r="G14" s="2218"/>
      <c r="H14" s="2218"/>
      <c r="I14" s="2218"/>
      <c r="J14" s="2801"/>
      <c r="K14" s="2397"/>
      <c r="L14" s="2397"/>
      <c r="M14" s="2244"/>
      <c r="N14" s="1669"/>
      <c r="O14" s="2244"/>
      <c r="P14" s="2244"/>
      <c r="Q14" s="2244"/>
      <c r="AD14" s="1617"/>
    </row>
    <row r="15" spans="1:30">
      <c r="A15" s="311"/>
      <c r="B15" s="2219" t="s">
        <v>2191</v>
      </c>
      <c r="C15" s="2220" t="str">
        <f>IF(A13="出让",IF(C13="","",ROUNDDOWN(MIN((C13-$D$3)/365,C14),2)),C14)</f>
        <v/>
      </c>
      <c r="D15" s="2220">
        <f>IF(A13="出让",IF(D13="","",ROUNDDOWN(MIN((D13-$D$3)/365,D14),2)),D14)</f>
        <v>16.559999999999999</v>
      </c>
      <c r="E15" s="2220">
        <f>IF(A13="出让",IF(E13="","",ROUNDDOWN(MIN((E13-$D$3)/365,E14),2)),E14)</f>
        <v>26.57</v>
      </c>
      <c r="F15" s="2220">
        <f>IF(A13="出让",IF(F13="","",ROUNDDOWN(MIN((F13-$D$3)/365,F14),2)),F14)</f>
        <v>26.57</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2192</v>
      </c>
      <c r="B16" s="3252"/>
      <c r="C16" s="3253"/>
      <c r="D16" s="3254"/>
      <c r="E16" s="2221" t="s">
        <v>2193</v>
      </c>
      <c r="F16" s="3255"/>
      <c r="G16" s="3256"/>
      <c r="H16" s="3256"/>
      <c r="I16" s="3257"/>
      <c r="J16" s="2244"/>
      <c r="K16" s="2401"/>
      <c r="L16" s="1669"/>
      <c r="M16" s="1669"/>
      <c r="N16" s="2244"/>
      <c r="O16" s="1669"/>
      <c r="P16" s="2244"/>
      <c r="Q16" s="2244"/>
      <c r="R16" s="2244"/>
    </row>
    <row r="17" spans="1:28">
      <c r="A17" s="304" t="s">
        <v>2194</v>
      </c>
      <c r="B17" s="293" t="s">
        <v>2195</v>
      </c>
      <c r="C17" s="8">
        <f>'数据-汇总表'!E3</f>
        <v>4967.6099999999997</v>
      </c>
      <c r="D17" s="1255" t="s">
        <v>2196</v>
      </c>
      <c r="E17" s="3258" t="s">
        <v>2197</v>
      </c>
      <c r="F17" s="3259"/>
      <c r="G17" s="3259"/>
      <c r="H17" s="3259"/>
      <c r="I17" s="3260"/>
      <c r="J17" s="2244"/>
      <c r="K17" s="2402"/>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61" t="s">
        <v>2201</v>
      </c>
      <c r="F18" s="3262"/>
      <c r="G18" s="3262"/>
      <c r="H18" s="3262"/>
      <c r="I18" s="3263"/>
      <c r="J18" s="2244"/>
      <c r="K18" s="2402"/>
      <c r="L18" s="1669"/>
      <c r="M18" s="1669"/>
      <c r="N18" s="2244"/>
      <c r="O18" s="1669"/>
      <c r="P18" s="2244"/>
      <c r="Q18" s="2244"/>
      <c r="R18" s="2244"/>
      <c r="S18" s="2244"/>
      <c r="T18" s="2244"/>
      <c r="U18" s="2244"/>
      <c r="V18" s="2244"/>
    </row>
    <row r="19" spans="1:28" ht="37.5" thickTop="1" thickBot="1">
      <c r="A19" s="318" t="s">
        <v>1055</v>
      </c>
      <c r="B19" s="298" t="s">
        <v>2202</v>
      </c>
      <c r="C19" s="1454"/>
      <c r="D19" s="1455" t="s">
        <v>2203</v>
      </c>
      <c r="E19" s="1456"/>
      <c r="F19" s="1457" t="str">
        <f>IF(AND(C19="是",E19="否"),"是否提供他项权证或相关说明","")</f>
        <v/>
      </c>
      <c r="G19" s="1458"/>
      <c r="H19" s="2440"/>
      <c r="I19" s="2440"/>
      <c r="J19" s="2244"/>
      <c r="K19" s="2400"/>
      <c r="L19" s="2397"/>
      <c r="M19" s="2397"/>
      <c r="N19" s="2244"/>
      <c r="O19" s="1669"/>
      <c r="P19" s="2244"/>
      <c r="Q19" s="2244"/>
      <c r="R19" s="2244"/>
      <c r="S19" s="2244"/>
      <c r="T19" s="2244"/>
      <c r="U19" s="2244"/>
      <c r="V19" s="2244"/>
    </row>
    <row r="20" spans="1:28">
      <c r="A20" s="2415" t="s">
        <v>2204</v>
      </c>
      <c r="B20" s="3248" t="s">
        <v>2205</v>
      </c>
      <c r="C20" s="3249"/>
      <c r="D20" s="3250" t="s">
        <v>2206</v>
      </c>
      <c r="E20" s="3251"/>
      <c r="F20" s="2428" t="s">
        <v>1056</v>
      </c>
      <c r="G20" s="2440"/>
      <c r="H20" s="2440"/>
      <c r="I20" s="2440"/>
      <c r="J20" s="2244"/>
      <c r="K20" s="3247"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2208</v>
      </c>
      <c r="C21" s="2294" t="s">
        <v>1057</v>
      </c>
      <c r="D21" s="1459" t="s">
        <v>2209</v>
      </c>
      <c r="E21" s="2417" t="s">
        <v>1057</v>
      </c>
      <c r="F21" s="2429"/>
      <c r="G21" s="2440"/>
      <c r="H21" s="2440"/>
      <c r="I21" s="2440"/>
      <c r="J21" s="2244"/>
      <c r="K21" s="324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2210</v>
      </c>
      <c r="C22" s="2294" t="s">
        <v>1058</v>
      </c>
      <c r="D22" s="2440"/>
      <c r="E22" s="2440"/>
      <c r="F22" s="2440"/>
      <c r="G22" s="2440"/>
      <c r="H22" s="2440"/>
      <c r="I22" s="2440"/>
      <c r="J22" s="2244"/>
      <c r="K22" s="324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2211</v>
      </c>
      <c r="B23" s="2291" t="s">
        <v>2212</v>
      </c>
      <c r="C23" s="2420"/>
      <c r="D23" s="2421" t="s">
        <v>2212</v>
      </c>
      <c r="E23" s="2422"/>
      <c r="F23" s="2440"/>
      <c r="G23" s="2440"/>
      <c r="H23" s="2440"/>
      <c r="I23" s="2440"/>
      <c r="J23" s="2244"/>
      <c r="K23" s="2399"/>
      <c r="L23" s="120"/>
      <c r="M23" s="2397"/>
      <c r="N23" s="2244"/>
      <c r="O23" s="1669"/>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0"/>
      <c r="M24" s="2397"/>
      <c r="N24" s="2244"/>
      <c r="O24" s="1669"/>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69"/>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69"/>
      <c r="P26" s="2244"/>
      <c r="Q26" s="2244"/>
      <c r="R26" s="2244"/>
      <c r="S26" s="2244"/>
      <c r="T26" s="2244"/>
      <c r="U26" s="2244"/>
      <c r="V26" s="2244"/>
    </row>
    <row r="27" spans="1:28" ht="13.5" thickTop="1">
      <c r="A27" s="3265" t="s">
        <v>2213</v>
      </c>
      <c r="B27" s="311" t="s">
        <v>2214</v>
      </c>
      <c r="C27" s="2224"/>
      <c r="D27" s="2225"/>
      <c r="E27" s="2440"/>
      <c r="F27" s="2440"/>
      <c r="G27" s="2440"/>
      <c r="H27" s="2440"/>
      <c r="I27" s="2440"/>
      <c r="J27" s="2244"/>
      <c r="K27" s="2401"/>
      <c r="L27" s="1669"/>
      <c r="M27" s="1669"/>
      <c r="N27" s="2244"/>
      <c r="O27" s="1669"/>
      <c r="P27" s="2244"/>
      <c r="Q27" s="2244"/>
      <c r="R27" s="2244"/>
      <c r="S27" s="2244"/>
      <c r="T27" s="2244"/>
      <c r="U27" s="2244"/>
      <c r="V27" s="2244"/>
    </row>
    <row r="28" spans="1:28">
      <c r="A28" s="3265"/>
      <c r="B28" s="293" t="s">
        <v>2215</v>
      </c>
      <c r="C28" s="2226"/>
      <c r="D28" s="2227"/>
      <c r="E28" s="2440"/>
      <c r="F28" s="2440"/>
      <c r="G28" s="2440"/>
      <c r="H28" s="2440"/>
      <c r="I28" s="2440"/>
      <c r="J28" s="2244"/>
      <c r="K28" s="2400"/>
      <c r="L28" s="2397"/>
      <c r="M28" s="2397"/>
      <c r="N28" s="2244"/>
      <c r="O28" s="1669"/>
      <c r="P28" s="2244"/>
      <c r="Q28" s="2244"/>
      <c r="R28" s="2244"/>
      <c r="S28" s="2244"/>
      <c r="T28" s="2244"/>
      <c r="U28" s="2244"/>
      <c r="V28" s="2244"/>
    </row>
    <row r="29" spans="1:28">
      <c r="A29" s="3265"/>
      <c r="B29" s="293" t="s">
        <v>2216</v>
      </c>
      <c r="C29" s="2228"/>
      <c r="D29" s="2229"/>
      <c r="E29" s="2440"/>
      <c r="F29" s="2440"/>
      <c r="G29" s="2440"/>
      <c r="H29" s="2440"/>
      <c r="I29" s="2440"/>
      <c r="J29" s="2244"/>
      <c r="K29" s="2400"/>
      <c r="L29" s="2397"/>
      <c r="M29" s="2397"/>
      <c r="N29" s="2244"/>
      <c r="O29" s="1669"/>
      <c r="P29" s="2244"/>
      <c r="Q29" s="2244"/>
      <c r="R29" s="2244"/>
      <c r="S29" s="2244"/>
      <c r="T29" s="2244"/>
      <c r="U29" s="2244"/>
      <c r="V29" s="2244"/>
    </row>
    <row r="30" spans="1:28">
      <c r="A30" s="3266"/>
      <c r="B30" s="293" t="s">
        <v>2217</v>
      </c>
      <c r="C30" s="3267"/>
      <c r="D30" s="3268"/>
      <c r="E30" s="2440"/>
      <c r="F30" s="2440"/>
      <c r="G30" s="2440"/>
      <c r="H30" s="2440"/>
      <c r="I30" s="2440"/>
      <c r="J30" s="2244"/>
      <c r="K30" s="2400"/>
      <c r="L30" s="2397"/>
      <c r="M30" s="2397"/>
      <c r="N30" s="2244"/>
      <c r="O30" s="1669"/>
      <c r="P30" s="2244"/>
      <c r="Q30" s="2244"/>
      <c r="R30" s="2244"/>
      <c r="S30" s="2244"/>
      <c r="T30" s="2244"/>
      <c r="U30" s="2244"/>
      <c r="V30" s="2244"/>
    </row>
    <row r="31" spans="1:28">
      <c r="A31" s="3269" t="s">
        <v>2218</v>
      </c>
      <c r="B31" s="2230"/>
      <c r="C31" s="12" t="str">
        <f>IF(B31="现房","成新及维护状况正常否",IF(B31="在建","工程状态是否正常",IF(B31="土地","是否闲置","-")))</f>
        <v>-</v>
      </c>
      <c r="D31" s="1280"/>
      <c r="E31" s="2231"/>
      <c r="F31" s="2440"/>
      <c r="G31" s="2440"/>
      <c r="H31" s="2440"/>
      <c r="I31" s="2440"/>
      <c r="J31" s="2244"/>
      <c r="K31" s="2399"/>
      <c r="L31" s="2397"/>
      <c r="M31" s="2397"/>
      <c r="N31" s="2244"/>
      <c r="O31" s="1669"/>
      <c r="P31" s="2244"/>
      <c r="Q31" s="2244"/>
      <c r="R31" s="2244"/>
      <c r="S31" s="2244"/>
      <c r="T31" s="2244"/>
      <c r="U31" s="2244"/>
      <c r="V31" s="2244"/>
    </row>
    <row r="32" spans="1:28">
      <c r="A32" s="3270"/>
      <c r="B32" s="2230"/>
      <c r="C32" s="12" t="str">
        <f>IF(B32="现房","成新及维护状况是否正常",IF(B32="在建","工程状态是否正常",IF(B32="土地","是否闲置","-")))</f>
        <v>-</v>
      </c>
      <c r="D32" s="1280"/>
      <c r="E32" s="2231"/>
      <c r="F32" s="2440"/>
      <c r="G32" s="2440"/>
      <c r="H32" s="2440"/>
      <c r="I32" s="2440"/>
      <c r="J32" s="2244"/>
      <c r="K32" s="2400"/>
      <c r="L32" s="2397"/>
      <c r="M32" s="2397"/>
      <c r="N32" s="2244"/>
      <c r="O32" s="1669"/>
      <c r="P32" s="2244"/>
      <c r="Q32" s="2244"/>
      <c r="R32" s="2244"/>
      <c r="S32" s="2244"/>
      <c r="T32" s="2244"/>
      <c r="U32" s="2244"/>
      <c r="V32" s="2244"/>
    </row>
    <row r="33" spans="1:30">
      <c r="A33" s="3270"/>
      <c r="B33" s="2233"/>
      <c r="C33" s="1477" t="str">
        <f>IF(B33="现房","成新及维护状况是否正常",IF(B33="在建","工程状态是否正常",IF(B33="土地","是否闲置","-")))</f>
        <v>-</v>
      </c>
      <c r="D33" s="1273"/>
      <c r="E33" s="2234"/>
      <c r="F33" s="2440"/>
      <c r="G33" s="2440"/>
      <c r="H33" s="2440"/>
      <c r="I33" s="2440"/>
      <c r="J33" s="2244"/>
      <c r="K33" s="2400"/>
      <c r="L33" s="2397"/>
      <c r="M33" s="2397"/>
      <c r="N33" s="2244"/>
      <c r="O33" s="1669"/>
      <c r="P33" s="2244"/>
      <c r="Q33" s="2244"/>
      <c r="R33" s="2244"/>
      <c r="S33" s="2244"/>
      <c r="T33" s="2244"/>
      <c r="U33" s="2244"/>
      <c r="V33" s="2244"/>
    </row>
    <row r="34" spans="1:30">
      <c r="A34" s="293" t="s">
        <v>2219</v>
      </c>
      <c r="B34" s="1869"/>
      <c r="C34" s="1869"/>
      <c r="D34" s="1869"/>
      <c r="E34" s="1869"/>
      <c r="F34" s="1869"/>
      <c r="G34" s="1869"/>
      <c r="H34" s="1869"/>
      <c r="I34" s="2440"/>
      <c r="J34" s="2244"/>
      <c r="K34" s="8">
        <f>COUNTIF(B34:H34,"——")</f>
        <v>0</v>
      </c>
      <c r="L34" s="314" t="s">
        <v>2220</v>
      </c>
      <c r="M34" s="314" t="s">
        <v>2221</v>
      </c>
      <c r="N34" s="314" t="s">
        <v>2222</v>
      </c>
      <c r="O34" s="314" t="s">
        <v>2223</v>
      </c>
      <c r="P34" s="314" t="s">
        <v>2224</v>
      </c>
      <c r="Q34" s="314" t="s">
        <v>2225</v>
      </c>
      <c r="R34" s="314" t="s">
        <v>2226</v>
      </c>
      <c r="S34" s="3264" t="s">
        <v>2227</v>
      </c>
      <c r="T34" s="314" t="str">
        <f>NUMBERSTRING(7-K34,1)&amp;"通"</f>
        <v>七通</v>
      </c>
      <c r="U34" s="2244"/>
      <c r="V34" s="2244"/>
    </row>
    <row r="35" spans="1:30">
      <c r="A35" s="2235"/>
      <c r="B35" s="3264" t="s">
        <v>2228</v>
      </c>
      <c r="C35" s="3264"/>
      <c r="D35" s="3264"/>
      <c r="E35" s="3264"/>
      <c r="F35" s="8">
        <f>C10</f>
        <v>0</v>
      </c>
      <c r="G35" s="2440"/>
      <c r="H35" s="2440"/>
      <c r="I35" s="2440"/>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4"/>
      <c r="T35" s="137" t="str">
        <f>IF(T34="一通",L35,IF(T34="二通",M35,IF(T34="三通",N35,IF(T34="四通",O35,IF(T34="五通",P35,IF(T34="六通",Q35,R35))))))</f>
        <v>、、、、、、</v>
      </c>
      <c r="U35" s="2244"/>
      <c r="V35" s="2244"/>
    </row>
    <row r="36" spans="1:30">
      <c r="A36" s="2182"/>
      <c r="B36" s="8" t="s">
        <v>2184</v>
      </c>
      <c r="C36" s="8" t="s">
        <v>2185</v>
      </c>
      <c r="D36" s="8" t="s">
        <v>2183</v>
      </c>
      <c r="E36" s="8" t="s">
        <v>2188</v>
      </c>
      <c r="F36" s="2798" t="s">
        <v>2574</v>
      </c>
      <c r="G36" s="2440"/>
      <c r="H36" s="2440"/>
      <c r="I36" s="2440"/>
      <c r="J36" s="2244"/>
      <c r="K36" s="2400"/>
      <c r="L36" s="2397"/>
      <c r="M36" s="2397"/>
      <c r="N36" s="2244"/>
      <c r="O36" s="1669"/>
      <c r="P36" s="2244"/>
      <c r="Q36" s="2244"/>
      <c r="R36" s="2244"/>
      <c r="S36" s="2244"/>
      <c r="T36" s="2244"/>
      <c r="U36" s="2244"/>
      <c r="V36" s="2244"/>
    </row>
    <row r="37" spans="1:30">
      <c r="A37" s="2413" t="s">
        <v>2229</v>
      </c>
      <c r="B37" s="2236" t="s">
        <v>144</v>
      </c>
      <c r="C37" s="2236" t="s">
        <v>144</v>
      </c>
      <c r="D37" s="2236"/>
      <c r="E37" s="2236"/>
      <c r="F37" s="2236"/>
      <c r="G37" s="2440"/>
      <c r="H37" s="2440"/>
      <c r="I37" s="2440"/>
      <c r="J37" s="2244"/>
      <c r="K37" s="2400"/>
      <c r="L37" s="2397"/>
      <c r="M37" s="2397"/>
      <c r="N37" s="2244"/>
      <c r="O37" s="1669"/>
      <c r="P37" s="2244"/>
      <c r="Q37" s="2244"/>
      <c r="R37" s="2244"/>
      <c r="S37" s="2244"/>
      <c r="T37" s="2244"/>
      <c r="U37" s="2244"/>
      <c r="V37" s="2244"/>
    </row>
    <row r="38" spans="1:30" ht="13.5" thickBot="1">
      <c r="A38" s="2414" t="s">
        <v>2230</v>
      </c>
      <c r="B38" s="2237" t="s">
        <v>145</v>
      </c>
      <c r="C38" s="2237" t="s">
        <v>145</v>
      </c>
      <c r="D38" s="2237"/>
      <c r="E38" s="2237"/>
      <c r="F38" s="2237"/>
      <c r="G38" s="2441"/>
      <c r="H38" s="2441"/>
      <c r="I38" s="2441"/>
      <c r="J38" s="2244"/>
      <c r="K38" s="2400"/>
      <c r="L38" s="2397"/>
      <c r="M38" s="2397"/>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4"/>
      <c r="K40" s="2399"/>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0"/>
      <c r="L41" s="2397"/>
      <c r="M41" s="2397"/>
      <c r="N41" s="2244"/>
      <c r="O41" s="1669"/>
      <c r="P41" s="2244"/>
      <c r="Q41" s="2244"/>
      <c r="R41" s="2244"/>
      <c r="S41" s="2244"/>
      <c r="T41" s="2244"/>
      <c r="U41" s="2244"/>
      <c r="V41" s="2244"/>
    </row>
    <row r="42" spans="1:30" ht="25.5">
      <c r="A42" s="314"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6"/>
  <sheetViews>
    <sheetView tabSelected="1" workbookViewId="0">
      <selection activeCell="J24" sqref="J24"/>
    </sheetView>
  </sheetViews>
  <sheetFormatPr defaultColWidth="10" defaultRowHeight="12.75"/>
  <cols>
    <col min="1" max="1" width="5.625" style="3172" customWidth="1"/>
    <col min="2" max="2" width="30.125" style="3172" customWidth="1"/>
    <col min="3" max="3" width="25.25" style="3172" customWidth="1"/>
    <col min="4" max="4" width="28.75" style="3172" customWidth="1"/>
    <col min="5" max="5" width="13.375" style="3172" customWidth="1"/>
    <col min="6" max="7" width="14.5" style="3172" customWidth="1"/>
    <col min="8" max="8" width="12.125" style="3172" customWidth="1"/>
    <col min="9" max="9" width="20.125" style="3172" hidden="1" customWidth="1"/>
    <col min="10" max="10" width="21.375" style="3172" customWidth="1"/>
    <col min="11" max="256" width="10" style="3172"/>
    <col min="257" max="257" width="5.625" style="3172" customWidth="1"/>
    <col min="258" max="258" width="30.125" style="3172" customWidth="1"/>
    <col min="259" max="259" width="25.25" style="3172" customWidth="1"/>
    <col min="260" max="260" width="28.75" style="3172" customWidth="1"/>
    <col min="261" max="261" width="13.375" style="3172" customWidth="1"/>
    <col min="262" max="263" width="14.5" style="3172" customWidth="1"/>
    <col min="264" max="264" width="12.125" style="3172" customWidth="1"/>
    <col min="265" max="265" width="0" style="3172" hidden="1" customWidth="1"/>
    <col min="266" max="266" width="21.375" style="3172" customWidth="1"/>
    <col min="267" max="512" width="10" style="3172"/>
    <col min="513" max="513" width="5.625" style="3172" customWidth="1"/>
    <col min="514" max="514" width="30.125" style="3172" customWidth="1"/>
    <col min="515" max="515" width="25.25" style="3172" customWidth="1"/>
    <col min="516" max="516" width="28.75" style="3172" customWidth="1"/>
    <col min="517" max="517" width="13.375" style="3172" customWidth="1"/>
    <col min="518" max="519" width="14.5" style="3172" customWidth="1"/>
    <col min="520" max="520" width="12.125" style="3172" customWidth="1"/>
    <col min="521" max="521" width="0" style="3172" hidden="1" customWidth="1"/>
    <col min="522" max="522" width="21.375" style="3172" customWidth="1"/>
    <col min="523" max="768" width="10" style="3172"/>
    <col min="769" max="769" width="5.625" style="3172" customWidth="1"/>
    <col min="770" max="770" width="30.125" style="3172" customWidth="1"/>
    <col min="771" max="771" width="25.25" style="3172" customWidth="1"/>
    <col min="772" max="772" width="28.75" style="3172" customWidth="1"/>
    <col min="773" max="773" width="13.375" style="3172" customWidth="1"/>
    <col min="774" max="775" width="14.5" style="3172" customWidth="1"/>
    <col min="776" max="776" width="12.125" style="3172" customWidth="1"/>
    <col min="777" max="777" width="0" style="3172" hidden="1" customWidth="1"/>
    <col min="778" max="778" width="21.375" style="3172" customWidth="1"/>
    <col min="779" max="1024" width="10" style="3172"/>
    <col min="1025" max="1025" width="5.625" style="3172" customWidth="1"/>
    <col min="1026" max="1026" width="30.125" style="3172" customWidth="1"/>
    <col min="1027" max="1027" width="25.25" style="3172" customWidth="1"/>
    <col min="1028" max="1028" width="28.75" style="3172" customWidth="1"/>
    <col min="1029" max="1029" width="13.375" style="3172" customWidth="1"/>
    <col min="1030" max="1031" width="14.5" style="3172" customWidth="1"/>
    <col min="1032" max="1032" width="12.125" style="3172" customWidth="1"/>
    <col min="1033" max="1033" width="0" style="3172" hidden="1" customWidth="1"/>
    <col min="1034" max="1034" width="21.375" style="3172" customWidth="1"/>
    <col min="1035" max="1280" width="10" style="3172"/>
    <col min="1281" max="1281" width="5.625" style="3172" customWidth="1"/>
    <col min="1282" max="1282" width="30.125" style="3172" customWidth="1"/>
    <col min="1283" max="1283" width="25.25" style="3172" customWidth="1"/>
    <col min="1284" max="1284" width="28.75" style="3172" customWidth="1"/>
    <col min="1285" max="1285" width="13.375" style="3172" customWidth="1"/>
    <col min="1286" max="1287" width="14.5" style="3172" customWidth="1"/>
    <col min="1288" max="1288" width="12.125" style="3172" customWidth="1"/>
    <col min="1289" max="1289" width="0" style="3172" hidden="1" customWidth="1"/>
    <col min="1290" max="1290" width="21.375" style="3172" customWidth="1"/>
    <col min="1291" max="1536" width="10" style="3172"/>
    <col min="1537" max="1537" width="5.625" style="3172" customWidth="1"/>
    <col min="1538" max="1538" width="30.125" style="3172" customWidth="1"/>
    <col min="1539" max="1539" width="25.25" style="3172" customWidth="1"/>
    <col min="1540" max="1540" width="28.75" style="3172" customWidth="1"/>
    <col min="1541" max="1541" width="13.375" style="3172" customWidth="1"/>
    <col min="1542" max="1543" width="14.5" style="3172" customWidth="1"/>
    <col min="1544" max="1544" width="12.125" style="3172" customWidth="1"/>
    <col min="1545" max="1545" width="0" style="3172" hidden="1" customWidth="1"/>
    <col min="1546" max="1546" width="21.375" style="3172" customWidth="1"/>
    <col min="1547" max="1792" width="10" style="3172"/>
    <col min="1793" max="1793" width="5.625" style="3172" customWidth="1"/>
    <col min="1794" max="1794" width="30.125" style="3172" customWidth="1"/>
    <col min="1795" max="1795" width="25.25" style="3172" customWidth="1"/>
    <col min="1796" max="1796" width="28.75" style="3172" customWidth="1"/>
    <col min="1797" max="1797" width="13.375" style="3172" customWidth="1"/>
    <col min="1798" max="1799" width="14.5" style="3172" customWidth="1"/>
    <col min="1800" max="1800" width="12.125" style="3172" customWidth="1"/>
    <col min="1801" max="1801" width="0" style="3172" hidden="1" customWidth="1"/>
    <col min="1802" max="1802" width="21.375" style="3172" customWidth="1"/>
    <col min="1803" max="2048" width="10" style="3172"/>
    <col min="2049" max="2049" width="5.625" style="3172" customWidth="1"/>
    <col min="2050" max="2050" width="30.125" style="3172" customWidth="1"/>
    <col min="2051" max="2051" width="25.25" style="3172" customWidth="1"/>
    <col min="2052" max="2052" width="28.75" style="3172" customWidth="1"/>
    <col min="2053" max="2053" width="13.375" style="3172" customWidth="1"/>
    <col min="2054" max="2055" width="14.5" style="3172" customWidth="1"/>
    <col min="2056" max="2056" width="12.125" style="3172" customWidth="1"/>
    <col min="2057" max="2057" width="0" style="3172" hidden="1" customWidth="1"/>
    <col min="2058" max="2058" width="21.375" style="3172" customWidth="1"/>
    <col min="2059" max="2304" width="10" style="3172"/>
    <col min="2305" max="2305" width="5.625" style="3172" customWidth="1"/>
    <col min="2306" max="2306" width="30.125" style="3172" customWidth="1"/>
    <col min="2307" max="2307" width="25.25" style="3172" customWidth="1"/>
    <col min="2308" max="2308" width="28.75" style="3172" customWidth="1"/>
    <col min="2309" max="2309" width="13.375" style="3172" customWidth="1"/>
    <col min="2310" max="2311" width="14.5" style="3172" customWidth="1"/>
    <col min="2312" max="2312" width="12.125" style="3172" customWidth="1"/>
    <col min="2313" max="2313" width="0" style="3172" hidden="1" customWidth="1"/>
    <col min="2314" max="2314" width="21.375" style="3172" customWidth="1"/>
    <col min="2315" max="2560" width="10" style="3172"/>
    <col min="2561" max="2561" width="5.625" style="3172" customWidth="1"/>
    <col min="2562" max="2562" width="30.125" style="3172" customWidth="1"/>
    <col min="2563" max="2563" width="25.25" style="3172" customWidth="1"/>
    <col min="2564" max="2564" width="28.75" style="3172" customWidth="1"/>
    <col min="2565" max="2565" width="13.375" style="3172" customWidth="1"/>
    <col min="2566" max="2567" width="14.5" style="3172" customWidth="1"/>
    <col min="2568" max="2568" width="12.125" style="3172" customWidth="1"/>
    <col min="2569" max="2569" width="0" style="3172" hidden="1" customWidth="1"/>
    <col min="2570" max="2570" width="21.375" style="3172" customWidth="1"/>
    <col min="2571" max="2816" width="10" style="3172"/>
    <col min="2817" max="2817" width="5.625" style="3172" customWidth="1"/>
    <col min="2818" max="2818" width="30.125" style="3172" customWidth="1"/>
    <col min="2819" max="2819" width="25.25" style="3172" customWidth="1"/>
    <col min="2820" max="2820" width="28.75" style="3172" customWidth="1"/>
    <col min="2821" max="2821" width="13.375" style="3172" customWidth="1"/>
    <col min="2822" max="2823" width="14.5" style="3172" customWidth="1"/>
    <col min="2824" max="2824" width="12.125" style="3172" customWidth="1"/>
    <col min="2825" max="2825" width="0" style="3172" hidden="1" customWidth="1"/>
    <col min="2826" max="2826" width="21.375" style="3172" customWidth="1"/>
    <col min="2827" max="3072" width="10" style="3172"/>
    <col min="3073" max="3073" width="5.625" style="3172" customWidth="1"/>
    <col min="3074" max="3074" width="30.125" style="3172" customWidth="1"/>
    <col min="3075" max="3075" width="25.25" style="3172" customWidth="1"/>
    <col min="3076" max="3076" width="28.75" style="3172" customWidth="1"/>
    <col min="3077" max="3077" width="13.375" style="3172" customWidth="1"/>
    <col min="3078" max="3079" width="14.5" style="3172" customWidth="1"/>
    <col min="3080" max="3080" width="12.125" style="3172" customWidth="1"/>
    <col min="3081" max="3081" width="0" style="3172" hidden="1" customWidth="1"/>
    <col min="3082" max="3082" width="21.375" style="3172" customWidth="1"/>
    <col min="3083" max="3328" width="10" style="3172"/>
    <col min="3329" max="3329" width="5.625" style="3172" customWidth="1"/>
    <col min="3330" max="3330" width="30.125" style="3172" customWidth="1"/>
    <col min="3331" max="3331" width="25.25" style="3172" customWidth="1"/>
    <col min="3332" max="3332" width="28.75" style="3172" customWidth="1"/>
    <col min="3333" max="3333" width="13.375" style="3172" customWidth="1"/>
    <col min="3334" max="3335" width="14.5" style="3172" customWidth="1"/>
    <col min="3336" max="3336" width="12.125" style="3172" customWidth="1"/>
    <col min="3337" max="3337" width="0" style="3172" hidden="1" customWidth="1"/>
    <col min="3338" max="3338" width="21.375" style="3172" customWidth="1"/>
    <col min="3339" max="3584" width="10" style="3172"/>
    <col min="3585" max="3585" width="5.625" style="3172" customWidth="1"/>
    <col min="3586" max="3586" width="30.125" style="3172" customWidth="1"/>
    <col min="3587" max="3587" width="25.25" style="3172" customWidth="1"/>
    <col min="3588" max="3588" width="28.75" style="3172" customWidth="1"/>
    <col min="3589" max="3589" width="13.375" style="3172" customWidth="1"/>
    <col min="3590" max="3591" width="14.5" style="3172" customWidth="1"/>
    <col min="3592" max="3592" width="12.125" style="3172" customWidth="1"/>
    <col min="3593" max="3593" width="0" style="3172" hidden="1" customWidth="1"/>
    <col min="3594" max="3594" width="21.375" style="3172" customWidth="1"/>
    <col min="3595" max="3840" width="10" style="3172"/>
    <col min="3841" max="3841" width="5.625" style="3172" customWidth="1"/>
    <col min="3842" max="3842" width="30.125" style="3172" customWidth="1"/>
    <col min="3843" max="3843" width="25.25" style="3172" customWidth="1"/>
    <col min="3844" max="3844" width="28.75" style="3172" customWidth="1"/>
    <col min="3845" max="3845" width="13.375" style="3172" customWidth="1"/>
    <col min="3846" max="3847" width="14.5" style="3172" customWidth="1"/>
    <col min="3848" max="3848" width="12.125" style="3172" customWidth="1"/>
    <col min="3849" max="3849" width="0" style="3172" hidden="1" customWidth="1"/>
    <col min="3850" max="3850" width="21.375" style="3172" customWidth="1"/>
    <col min="3851" max="4096" width="10" style="3172"/>
    <col min="4097" max="4097" width="5.625" style="3172" customWidth="1"/>
    <col min="4098" max="4098" width="30.125" style="3172" customWidth="1"/>
    <col min="4099" max="4099" width="25.25" style="3172" customWidth="1"/>
    <col min="4100" max="4100" width="28.75" style="3172" customWidth="1"/>
    <col min="4101" max="4101" width="13.375" style="3172" customWidth="1"/>
    <col min="4102" max="4103" width="14.5" style="3172" customWidth="1"/>
    <col min="4104" max="4104" width="12.125" style="3172" customWidth="1"/>
    <col min="4105" max="4105" width="0" style="3172" hidden="1" customWidth="1"/>
    <col min="4106" max="4106" width="21.375" style="3172" customWidth="1"/>
    <col min="4107" max="4352" width="10" style="3172"/>
    <col min="4353" max="4353" width="5.625" style="3172" customWidth="1"/>
    <col min="4354" max="4354" width="30.125" style="3172" customWidth="1"/>
    <col min="4355" max="4355" width="25.25" style="3172" customWidth="1"/>
    <col min="4356" max="4356" width="28.75" style="3172" customWidth="1"/>
    <col min="4357" max="4357" width="13.375" style="3172" customWidth="1"/>
    <col min="4358" max="4359" width="14.5" style="3172" customWidth="1"/>
    <col min="4360" max="4360" width="12.125" style="3172" customWidth="1"/>
    <col min="4361" max="4361" width="0" style="3172" hidden="1" customWidth="1"/>
    <col min="4362" max="4362" width="21.375" style="3172" customWidth="1"/>
    <col min="4363" max="4608" width="10" style="3172"/>
    <col min="4609" max="4609" width="5.625" style="3172" customWidth="1"/>
    <col min="4610" max="4610" width="30.125" style="3172" customWidth="1"/>
    <col min="4611" max="4611" width="25.25" style="3172" customWidth="1"/>
    <col min="4612" max="4612" width="28.75" style="3172" customWidth="1"/>
    <col min="4613" max="4613" width="13.375" style="3172" customWidth="1"/>
    <col min="4614" max="4615" width="14.5" style="3172" customWidth="1"/>
    <col min="4616" max="4616" width="12.125" style="3172" customWidth="1"/>
    <col min="4617" max="4617" width="0" style="3172" hidden="1" customWidth="1"/>
    <col min="4618" max="4618" width="21.375" style="3172" customWidth="1"/>
    <col min="4619" max="4864" width="10" style="3172"/>
    <col min="4865" max="4865" width="5.625" style="3172" customWidth="1"/>
    <col min="4866" max="4866" width="30.125" style="3172" customWidth="1"/>
    <col min="4867" max="4867" width="25.25" style="3172" customWidth="1"/>
    <col min="4868" max="4868" width="28.75" style="3172" customWidth="1"/>
    <col min="4869" max="4869" width="13.375" style="3172" customWidth="1"/>
    <col min="4870" max="4871" width="14.5" style="3172" customWidth="1"/>
    <col min="4872" max="4872" width="12.125" style="3172" customWidth="1"/>
    <col min="4873" max="4873" width="0" style="3172" hidden="1" customWidth="1"/>
    <col min="4874" max="4874" width="21.375" style="3172" customWidth="1"/>
    <col min="4875" max="5120" width="10" style="3172"/>
    <col min="5121" max="5121" width="5.625" style="3172" customWidth="1"/>
    <col min="5122" max="5122" width="30.125" style="3172" customWidth="1"/>
    <col min="5123" max="5123" width="25.25" style="3172" customWidth="1"/>
    <col min="5124" max="5124" width="28.75" style="3172" customWidth="1"/>
    <col min="5125" max="5125" width="13.375" style="3172" customWidth="1"/>
    <col min="5126" max="5127" width="14.5" style="3172" customWidth="1"/>
    <col min="5128" max="5128" width="12.125" style="3172" customWidth="1"/>
    <col min="5129" max="5129" width="0" style="3172" hidden="1" customWidth="1"/>
    <col min="5130" max="5130" width="21.375" style="3172" customWidth="1"/>
    <col min="5131" max="5376" width="10" style="3172"/>
    <col min="5377" max="5377" width="5.625" style="3172" customWidth="1"/>
    <col min="5378" max="5378" width="30.125" style="3172" customWidth="1"/>
    <col min="5379" max="5379" width="25.25" style="3172" customWidth="1"/>
    <col min="5380" max="5380" width="28.75" style="3172" customWidth="1"/>
    <col min="5381" max="5381" width="13.375" style="3172" customWidth="1"/>
    <col min="5382" max="5383" width="14.5" style="3172" customWidth="1"/>
    <col min="5384" max="5384" width="12.125" style="3172" customWidth="1"/>
    <col min="5385" max="5385" width="0" style="3172" hidden="1" customWidth="1"/>
    <col min="5386" max="5386" width="21.375" style="3172" customWidth="1"/>
    <col min="5387" max="5632" width="10" style="3172"/>
    <col min="5633" max="5633" width="5.625" style="3172" customWidth="1"/>
    <col min="5634" max="5634" width="30.125" style="3172" customWidth="1"/>
    <col min="5635" max="5635" width="25.25" style="3172" customWidth="1"/>
    <col min="5636" max="5636" width="28.75" style="3172" customWidth="1"/>
    <col min="5637" max="5637" width="13.375" style="3172" customWidth="1"/>
    <col min="5638" max="5639" width="14.5" style="3172" customWidth="1"/>
    <col min="5640" max="5640" width="12.125" style="3172" customWidth="1"/>
    <col min="5641" max="5641" width="0" style="3172" hidden="1" customWidth="1"/>
    <col min="5642" max="5642" width="21.375" style="3172" customWidth="1"/>
    <col min="5643" max="5888" width="10" style="3172"/>
    <col min="5889" max="5889" width="5.625" style="3172" customWidth="1"/>
    <col min="5890" max="5890" width="30.125" style="3172" customWidth="1"/>
    <col min="5891" max="5891" width="25.25" style="3172" customWidth="1"/>
    <col min="5892" max="5892" width="28.75" style="3172" customWidth="1"/>
    <col min="5893" max="5893" width="13.375" style="3172" customWidth="1"/>
    <col min="5894" max="5895" width="14.5" style="3172" customWidth="1"/>
    <col min="5896" max="5896" width="12.125" style="3172" customWidth="1"/>
    <col min="5897" max="5897" width="0" style="3172" hidden="1" customWidth="1"/>
    <col min="5898" max="5898" width="21.375" style="3172" customWidth="1"/>
    <col min="5899" max="6144" width="10" style="3172"/>
    <col min="6145" max="6145" width="5.625" style="3172" customWidth="1"/>
    <col min="6146" max="6146" width="30.125" style="3172" customWidth="1"/>
    <col min="6147" max="6147" width="25.25" style="3172" customWidth="1"/>
    <col min="6148" max="6148" width="28.75" style="3172" customWidth="1"/>
    <col min="6149" max="6149" width="13.375" style="3172" customWidth="1"/>
    <col min="6150" max="6151" width="14.5" style="3172" customWidth="1"/>
    <col min="6152" max="6152" width="12.125" style="3172" customWidth="1"/>
    <col min="6153" max="6153" width="0" style="3172" hidden="1" customWidth="1"/>
    <col min="6154" max="6154" width="21.375" style="3172" customWidth="1"/>
    <col min="6155" max="6400" width="10" style="3172"/>
    <col min="6401" max="6401" width="5.625" style="3172" customWidth="1"/>
    <col min="6402" max="6402" width="30.125" style="3172" customWidth="1"/>
    <col min="6403" max="6403" width="25.25" style="3172" customWidth="1"/>
    <col min="6404" max="6404" width="28.75" style="3172" customWidth="1"/>
    <col min="6405" max="6405" width="13.375" style="3172" customWidth="1"/>
    <col min="6406" max="6407" width="14.5" style="3172" customWidth="1"/>
    <col min="6408" max="6408" width="12.125" style="3172" customWidth="1"/>
    <col min="6409" max="6409" width="0" style="3172" hidden="1" customWidth="1"/>
    <col min="6410" max="6410" width="21.375" style="3172" customWidth="1"/>
    <col min="6411" max="6656" width="10" style="3172"/>
    <col min="6657" max="6657" width="5.625" style="3172" customWidth="1"/>
    <col min="6658" max="6658" width="30.125" style="3172" customWidth="1"/>
    <col min="6659" max="6659" width="25.25" style="3172" customWidth="1"/>
    <col min="6660" max="6660" width="28.75" style="3172" customWidth="1"/>
    <col min="6661" max="6661" width="13.375" style="3172" customWidth="1"/>
    <col min="6662" max="6663" width="14.5" style="3172" customWidth="1"/>
    <col min="6664" max="6664" width="12.125" style="3172" customWidth="1"/>
    <col min="6665" max="6665" width="0" style="3172" hidden="1" customWidth="1"/>
    <col min="6666" max="6666" width="21.375" style="3172" customWidth="1"/>
    <col min="6667" max="6912" width="10" style="3172"/>
    <col min="6913" max="6913" width="5.625" style="3172" customWidth="1"/>
    <col min="6914" max="6914" width="30.125" style="3172" customWidth="1"/>
    <col min="6915" max="6915" width="25.25" style="3172" customWidth="1"/>
    <col min="6916" max="6916" width="28.75" style="3172" customWidth="1"/>
    <col min="6917" max="6917" width="13.375" style="3172" customWidth="1"/>
    <col min="6918" max="6919" width="14.5" style="3172" customWidth="1"/>
    <col min="6920" max="6920" width="12.125" style="3172" customWidth="1"/>
    <col min="6921" max="6921" width="0" style="3172" hidden="1" customWidth="1"/>
    <col min="6922" max="6922" width="21.375" style="3172" customWidth="1"/>
    <col min="6923" max="7168" width="10" style="3172"/>
    <col min="7169" max="7169" width="5.625" style="3172" customWidth="1"/>
    <col min="7170" max="7170" width="30.125" style="3172" customWidth="1"/>
    <col min="7171" max="7171" width="25.25" style="3172" customWidth="1"/>
    <col min="7172" max="7172" width="28.75" style="3172" customWidth="1"/>
    <col min="7173" max="7173" width="13.375" style="3172" customWidth="1"/>
    <col min="7174" max="7175" width="14.5" style="3172" customWidth="1"/>
    <col min="7176" max="7176" width="12.125" style="3172" customWidth="1"/>
    <col min="7177" max="7177" width="0" style="3172" hidden="1" customWidth="1"/>
    <col min="7178" max="7178" width="21.375" style="3172" customWidth="1"/>
    <col min="7179" max="7424" width="10" style="3172"/>
    <col min="7425" max="7425" width="5.625" style="3172" customWidth="1"/>
    <col min="7426" max="7426" width="30.125" style="3172" customWidth="1"/>
    <col min="7427" max="7427" width="25.25" style="3172" customWidth="1"/>
    <col min="7428" max="7428" width="28.75" style="3172" customWidth="1"/>
    <col min="7429" max="7429" width="13.375" style="3172" customWidth="1"/>
    <col min="7430" max="7431" width="14.5" style="3172" customWidth="1"/>
    <col min="7432" max="7432" width="12.125" style="3172" customWidth="1"/>
    <col min="7433" max="7433" width="0" style="3172" hidden="1" customWidth="1"/>
    <col min="7434" max="7434" width="21.375" style="3172" customWidth="1"/>
    <col min="7435" max="7680" width="10" style="3172"/>
    <col min="7681" max="7681" width="5.625" style="3172" customWidth="1"/>
    <col min="7682" max="7682" width="30.125" style="3172" customWidth="1"/>
    <col min="7683" max="7683" width="25.25" style="3172" customWidth="1"/>
    <col min="7684" max="7684" width="28.75" style="3172" customWidth="1"/>
    <col min="7685" max="7685" width="13.375" style="3172" customWidth="1"/>
    <col min="7686" max="7687" width="14.5" style="3172" customWidth="1"/>
    <col min="7688" max="7688" width="12.125" style="3172" customWidth="1"/>
    <col min="7689" max="7689" width="0" style="3172" hidden="1" customWidth="1"/>
    <col min="7690" max="7690" width="21.375" style="3172" customWidth="1"/>
    <col min="7691" max="7936" width="10" style="3172"/>
    <col min="7937" max="7937" width="5.625" style="3172" customWidth="1"/>
    <col min="7938" max="7938" width="30.125" style="3172" customWidth="1"/>
    <col min="7939" max="7939" width="25.25" style="3172" customWidth="1"/>
    <col min="7940" max="7940" width="28.75" style="3172" customWidth="1"/>
    <col min="7941" max="7941" width="13.375" style="3172" customWidth="1"/>
    <col min="7942" max="7943" width="14.5" style="3172" customWidth="1"/>
    <col min="7944" max="7944" width="12.125" style="3172" customWidth="1"/>
    <col min="7945" max="7945" width="0" style="3172" hidden="1" customWidth="1"/>
    <col min="7946" max="7946" width="21.375" style="3172" customWidth="1"/>
    <col min="7947" max="8192" width="10" style="3172"/>
    <col min="8193" max="8193" width="5.625" style="3172" customWidth="1"/>
    <col min="8194" max="8194" width="30.125" style="3172" customWidth="1"/>
    <col min="8195" max="8195" width="25.25" style="3172" customWidth="1"/>
    <col min="8196" max="8196" width="28.75" style="3172" customWidth="1"/>
    <col min="8197" max="8197" width="13.375" style="3172" customWidth="1"/>
    <col min="8198" max="8199" width="14.5" style="3172" customWidth="1"/>
    <col min="8200" max="8200" width="12.125" style="3172" customWidth="1"/>
    <col min="8201" max="8201" width="0" style="3172" hidden="1" customWidth="1"/>
    <col min="8202" max="8202" width="21.375" style="3172" customWidth="1"/>
    <col min="8203" max="8448" width="10" style="3172"/>
    <col min="8449" max="8449" width="5.625" style="3172" customWidth="1"/>
    <col min="8450" max="8450" width="30.125" style="3172" customWidth="1"/>
    <col min="8451" max="8451" width="25.25" style="3172" customWidth="1"/>
    <col min="8452" max="8452" width="28.75" style="3172" customWidth="1"/>
    <col min="8453" max="8453" width="13.375" style="3172" customWidth="1"/>
    <col min="8454" max="8455" width="14.5" style="3172" customWidth="1"/>
    <col min="8456" max="8456" width="12.125" style="3172" customWidth="1"/>
    <col min="8457" max="8457" width="0" style="3172" hidden="1" customWidth="1"/>
    <col min="8458" max="8458" width="21.375" style="3172" customWidth="1"/>
    <col min="8459" max="8704" width="10" style="3172"/>
    <col min="8705" max="8705" width="5.625" style="3172" customWidth="1"/>
    <col min="8706" max="8706" width="30.125" style="3172" customWidth="1"/>
    <col min="8707" max="8707" width="25.25" style="3172" customWidth="1"/>
    <col min="8708" max="8708" width="28.75" style="3172" customWidth="1"/>
    <col min="8709" max="8709" width="13.375" style="3172" customWidth="1"/>
    <col min="8710" max="8711" width="14.5" style="3172" customWidth="1"/>
    <col min="8712" max="8712" width="12.125" style="3172" customWidth="1"/>
    <col min="8713" max="8713" width="0" style="3172" hidden="1" customWidth="1"/>
    <col min="8714" max="8714" width="21.375" style="3172" customWidth="1"/>
    <col min="8715" max="8960" width="10" style="3172"/>
    <col min="8961" max="8961" width="5.625" style="3172" customWidth="1"/>
    <col min="8962" max="8962" width="30.125" style="3172" customWidth="1"/>
    <col min="8963" max="8963" width="25.25" style="3172" customWidth="1"/>
    <col min="8964" max="8964" width="28.75" style="3172" customWidth="1"/>
    <col min="8965" max="8965" width="13.375" style="3172" customWidth="1"/>
    <col min="8966" max="8967" width="14.5" style="3172" customWidth="1"/>
    <col min="8968" max="8968" width="12.125" style="3172" customWidth="1"/>
    <col min="8969" max="8969" width="0" style="3172" hidden="1" customWidth="1"/>
    <col min="8970" max="8970" width="21.375" style="3172" customWidth="1"/>
    <col min="8971" max="9216" width="10" style="3172"/>
    <col min="9217" max="9217" width="5.625" style="3172" customWidth="1"/>
    <col min="9218" max="9218" width="30.125" style="3172" customWidth="1"/>
    <col min="9219" max="9219" width="25.25" style="3172" customWidth="1"/>
    <col min="9220" max="9220" width="28.75" style="3172" customWidth="1"/>
    <col min="9221" max="9221" width="13.375" style="3172" customWidth="1"/>
    <col min="9222" max="9223" width="14.5" style="3172" customWidth="1"/>
    <col min="9224" max="9224" width="12.125" style="3172" customWidth="1"/>
    <col min="9225" max="9225" width="0" style="3172" hidden="1" customWidth="1"/>
    <col min="9226" max="9226" width="21.375" style="3172" customWidth="1"/>
    <col min="9227" max="9472" width="10" style="3172"/>
    <col min="9473" max="9473" width="5.625" style="3172" customWidth="1"/>
    <col min="9474" max="9474" width="30.125" style="3172" customWidth="1"/>
    <col min="9475" max="9475" width="25.25" style="3172" customWidth="1"/>
    <col min="9476" max="9476" width="28.75" style="3172" customWidth="1"/>
    <col min="9477" max="9477" width="13.375" style="3172" customWidth="1"/>
    <col min="9478" max="9479" width="14.5" style="3172" customWidth="1"/>
    <col min="9480" max="9480" width="12.125" style="3172" customWidth="1"/>
    <col min="9481" max="9481" width="0" style="3172" hidden="1" customWidth="1"/>
    <col min="9482" max="9482" width="21.375" style="3172" customWidth="1"/>
    <col min="9483" max="9728" width="10" style="3172"/>
    <col min="9729" max="9729" width="5.625" style="3172" customWidth="1"/>
    <col min="9730" max="9730" width="30.125" style="3172" customWidth="1"/>
    <col min="9731" max="9731" width="25.25" style="3172" customWidth="1"/>
    <col min="9732" max="9732" width="28.75" style="3172" customWidth="1"/>
    <col min="9733" max="9733" width="13.375" style="3172" customWidth="1"/>
    <col min="9734" max="9735" width="14.5" style="3172" customWidth="1"/>
    <col min="9736" max="9736" width="12.125" style="3172" customWidth="1"/>
    <col min="9737" max="9737" width="0" style="3172" hidden="1" customWidth="1"/>
    <col min="9738" max="9738" width="21.375" style="3172" customWidth="1"/>
    <col min="9739" max="9984" width="10" style="3172"/>
    <col min="9985" max="9985" width="5.625" style="3172" customWidth="1"/>
    <col min="9986" max="9986" width="30.125" style="3172" customWidth="1"/>
    <col min="9987" max="9987" width="25.25" style="3172" customWidth="1"/>
    <col min="9988" max="9988" width="28.75" style="3172" customWidth="1"/>
    <col min="9989" max="9989" width="13.375" style="3172" customWidth="1"/>
    <col min="9990" max="9991" width="14.5" style="3172" customWidth="1"/>
    <col min="9992" max="9992" width="12.125" style="3172" customWidth="1"/>
    <col min="9993" max="9993" width="0" style="3172" hidden="1" customWidth="1"/>
    <col min="9994" max="9994" width="21.375" style="3172" customWidth="1"/>
    <col min="9995" max="10240" width="10" style="3172"/>
    <col min="10241" max="10241" width="5.625" style="3172" customWidth="1"/>
    <col min="10242" max="10242" width="30.125" style="3172" customWidth="1"/>
    <col min="10243" max="10243" width="25.25" style="3172" customWidth="1"/>
    <col min="10244" max="10244" width="28.75" style="3172" customWidth="1"/>
    <col min="10245" max="10245" width="13.375" style="3172" customWidth="1"/>
    <col min="10246" max="10247" width="14.5" style="3172" customWidth="1"/>
    <col min="10248" max="10248" width="12.125" style="3172" customWidth="1"/>
    <col min="10249" max="10249" width="0" style="3172" hidden="1" customWidth="1"/>
    <col min="10250" max="10250" width="21.375" style="3172" customWidth="1"/>
    <col min="10251" max="10496" width="10" style="3172"/>
    <col min="10497" max="10497" width="5.625" style="3172" customWidth="1"/>
    <col min="10498" max="10498" width="30.125" style="3172" customWidth="1"/>
    <col min="10499" max="10499" width="25.25" style="3172" customWidth="1"/>
    <col min="10500" max="10500" width="28.75" style="3172" customWidth="1"/>
    <col min="10501" max="10501" width="13.375" style="3172" customWidth="1"/>
    <col min="10502" max="10503" width="14.5" style="3172" customWidth="1"/>
    <col min="10504" max="10504" width="12.125" style="3172" customWidth="1"/>
    <col min="10505" max="10505" width="0" style="3172" hidden="1" customWidth="1"/>
    <col min="10506" max="10506" width="21.375" style="3172" customWidth="1"/>
    <col min="10507" max="10752" width="10" style="3172"/>
    <col min="10753" max="10753" width="5.625" style="3172" customWidth="1"/>
    <col min="10754" max="10754" width="30.125" style="3172" customWidth="1"/>
    <col min="10755" max="10755" width="25.25" style="3172" customWidth="1"/>
    <col min="10756" max="10756" width="28.75" style="3172" customWidth="1"/>
    <col min="10757" max="10757" width="13.375" style="3172" customWidth="1"/>
    <col min="10758" max="10759" width="14.5" style="3172" customWidth="1"/>
    <col min="10760" max="10760" width="12.125" style="3172" customWidth="1"/>
    <col min="10761" max="10761" width="0" style="3172" hidden="1" customWidth="1"/>
    <col min="10762" max="10762" width="21.375" style="3172" customWidth="1"/>
    <col min="10763" max="11008" width="10" style="3172"/>
    <col min="11009" max="11009" width="5.625" style="3172" customWidth="1"/>
    <col min="11010" max="11010" width="30.125" style="3172" customWidth="1"/>
    <col min="11011" max="11011" width="25.25" style="3172" customWidth="1"/>
    <col min="11012" max="11012" width="28.75" style="3172" customWidth="1"/>
    <col min="11013" max="11013" width="13.375" style="3172" customWidth="1"/>
    <col min="11014" max="11015" width="14.5" style="3172" customWidth="1"/>
    <col min="11016" max="11016" width="12.125" style="3172" customWidth="1"/>
    <col min="11017" max="11017" width="0" style="3172" hidden="1" customWidth="1"/>
    <col min="11018" max="11018" width="21.375" style="3172" customWidth="1"/>
    <col min="11019" max="11264" width="10" style="3172"/>
    <col min="11265" max="11265" width="5.625" style="3172" customWidth="1"/>
    <col min="11266" max="11266" width="30.125" style="3172" customWidth="1"/>
    <col min="11267" max="11267" width="25.25" style="3172" customWidth="1"/>
    <col min="11268" max="11268" width="28.75" style="3172" customWidth="1"/>
    <col min="11269" max="11269" width="13.375" style="3172" customWidth="1"/>
    <col min="11270" max="11271" width="14.5" style="3172" customWidth="1"/>
    <col min="11272" max="11272" width="12.125" style="3172" customWidth="1"/>
    <col min="11273" max="11273" width="0" style="3172" hidden="1" customWidth="1"/>
    <col min="11274" max="11274" width="21.375" style="3172" customWidth="1"/>
    <col min="11275" max="11520" width="10" style="3172"/>
    <col min="11521" max="11521" width="5.625" style="3172" customWidth="1"/>
    <col min="11522" max="11522" width="30.125" style="3172" customWidth="1"/>
    <col min="11523" max="11523" width="25.25" style="3172" customWidth="1"/>
    <col min="11524" max="11524" width="28.75" style="3172" customWidth="1"/>
    <col min="11525" max="11525" width="13.375" style="3172" customWidth="1"/>
    <col min="11526" max="11527" width="14.5" style="3172" customWidth="1"/>
    <col min="11528" max="11528" width="12.125" style="3172" customWidth="1"/>
    <col min="11529" max="11529" width="0" style="3172" hidden="1" customWidth="1"/>
    <col min="11530" max="11530" width="21.375" style="3172" customWidth="1"/>
    <col min="11531" max="11776" width="10" style="3172"/>
    <col min="11777" max="11777" width="5.625" style="3172" customWidth="1"/>
    <col min="11778" max="11778" width="30.125" style="3172" customWidth="1"/>
    <col min="11779" max="11779" width="25.25" style="3172" customWidth="1"/>
    <col min="11780" max="11780" width="28.75" style="3172" customWidth="1"/>
    <col min="11781" max="11781" width="13.375" style="3172" customWidth="1"/>
    <col min="11782" max="11783" width="14.5" style="3172" customWidth="1"/>
    <col min="11784" max="11784" width="12.125" style="3172" customWidth="1"/>
    <col min="11785" max="11785" width="0" style="3172" hidden="1" customWidth="1"/>
    <col min="11786" max="11786" width="21.375" style="3172" customWidth="1"/>
    <col min="11787" max="12032" width="10" style="3172"/>
    <col min="12033" max="12033" width="5.625" style="3172" customWidth="1"/>
    <col min="12034" max="12034" width="30.125" style="3172" customWidth="1"/>
    <col min="12035" max="12035" width="25.25" style="3172" customWidth="1"/>
    <col min="12036" max="12036" width="28.75" style="3172" customWidth="1"/>
    <col min="12037" max="12037" width="13.375" style="3172" customWidth="1"/>
    <col min="12038" max="12039" width="14.5" style="3172" customWidth="1"/>
    <col min="12040" max="12040" width="12.125" style="3172" customWidth="1"/>
    <col min="12041" max="12041" width="0" style="3172" hidden="1" customWidth="1"/>
    <col min="12042" max="12042" width="21.375" style="3172" customWidth="1"/>
    <col min="12043" max="12288" width="10" style="3172"/>
    <col min="12289" max="12289" width="5.625" style="3172" customWidth="1"/>
    <col min="12290" max="12290" width="30.125" style="3172" customWidth="1"/>
    <col min="12291" max="12291" width="25.25" style="3172" customWidth="1"/>
    <col min="12292" max="12292" width="28.75" style="3172" customWidth="1"/>
    <col min="12293" max="12293" width="13.375" style="3172" customWidth="1"/>
    <col min="12294" max="12295" width="14.5" style="3172" customWidth="1"/>
    <col min="12296" max="12296" width="12.125" style="3172" customWidth="1"/>
    <col min="12297" max="12297" width="0" style="3172" hidden="1" customWidth="1"/>
    <col min="12298" max="12298" width="21.375" style="3172" customWidth="1"/>
    <col min="12299" max="12544" width="10" style="3172"/>
    <col min="12545" max="12545" width="5.625" style="3172" customWidth="1"/>
    <col min="12546" max="12546" width="30.125" style="3172" customWidth="1"/>
    <col min="12547" max="12547" width="25.25" style="3172" customWidth="1"/>
    <col min="12548" max="12548" width="28.75" style="3172" customWidth="1"/>
    <col min="12549" max="12549" width="13.375" style="3172" customWidth="1"/>
    <col min="12550" max="12551" width="14.5" style="3172" customWidth="1"/>
    <col min="12552" max="12552" width="12.125" style="3172" customWidth="1"/>
    <col min="12553" max="12553" width="0" style="3172" hidden="1" customWidth="1"/>
    <col min="12554" max="12554" width="21.375" style="3172" customWidth="1"/>
    <col min="12555" max="12800" width="10" style="3172"/>
    <col min="12801" max="12801" width="5.625" style="3172" customWidth="1"/>
    <col min="12802" max="12802" width="30.125" style="3172" customWidth="1"/>
    <col min="12803" max="12803" width="25.25" style="3172" customWidth="1"/>
    <col min="12804" max="12804" width="28.75" style="3172" customWidth="1"/>
    <col min="12805" max="12805" width="13.375" style="3172" customWidth="1"/>
    <col min="12806" max="12807" width="14.5" style="3172" customWidth="1"/>
    <col min="12808" max="12808" width="12.125" style="3172" customWidth="1"/>
    <col min="12809" max="12809" width="0" style="3172" hidden="1" customWidth="1"/>
    <col min="12810" max="12810" width="21.375" style="3172" customWidth="1"/>
    <col min="12811" max="13056" width="10" style="3172"/>
    <col min="13057" max="13057" width="5.625" style="3172" customWidth="1"/>
    <col min="13058" max="13058" width="30.125" style="3172" customWidth="1"/>
    <col min="13059" max="13059" width="25.25" style="3172" customWidth="1"/>
    <col min="13060" max="13060" width="28.75" style="3172" customWidth="1"/>
    <col min="13061" max="13061" width="13.375" style="3172" customWidth="1"/>
    <col min="13062" max="13063" width="14.5" style="3172" customWidth="1"/>
    <col min="13064" max="13064" width="12.125" style="3172" customWidth="1"/>
    <col min="13065" max="13065" width="0" style="3172" hidden="1" customWidth="1"/>
    <col min="13066" max="13066" width="21.375" style="3172" customWidth="1"/>
    <col min="13067" max="13312" width="10" style="3172"/>
    <col min="13313" max="13313" width="5.625" style="3172" customWidth="1"/>
    <col min="13314" max="13314" width="30.125" style="3172" customWidth="1"/>
    <col min="13315" max="13315" width="25.25" style="3172" customWidth="1"/>
    <col min="13316" max="13316" width="28.75" style="3172" customWidth="1"/>
    <col min="13317" max="13317" width="13.375" style="3172" customWidth="1"/>
    <col min="13318" max="13319" width="14.5" style="3172" customWidth="1"/>
    <col min="13320" max="13320" width="12.125" style="3172" customWidth="1"/>
    <col min="13321" max="13321" width="0" style="3172" hidden="1" customWidth="1"/>
    <col min="13322" max="13322" width="21.375" style="3172" customWidth="1"/>
    <col min="13323" max="13568" width="10" style="3172"/>
    <col min="13569" max="13569" width="5.625" style="3172" customWidth="1"/>
    <col min="13570" max="13570" width="30.125" style="3172" customWidth="1"/>
    <col min="13571" max="13571" width="25.25" style="3172" customWidth="1"/>
    <col min="13572" max="13572" width="28.75" style="3172" customWidth="1"/>
    <col min="13573" max="13573" width="13.375" style="3172" customWidth="1"/>
    <col min="13574" max="13575" width="14.5" style="3172" customWidth="1"/>
    <col min="13576" max="13576" width="12.125" style="3172" customWidth="1"/>
    <col min="13577" max="13577" width="0" style="3172" hidden="1" customWidth="1"/>
    <col min="13578" max="13578" width="21.375" style="3172" customWidth="1"/>
    <col min="13579" max="13824" width="10" style="3172"/>
    <col min="13825" max="13825" width="5.625" style="3172" customWidth="1"/>
    <col min="13826" max="13826" width="30.125" style="3172" customWidth="1"/>
    <col min="13827" max="13827" width="25.25" style="3172" customWidth="1"/>
    <col min="13828" max="13828" width="28.75" style="3172" customWidth="1"/>
    <col min="13829" max="13829" width="13.375" style="3172" customWidth="1"/>
    <col min="13830" max="13831" width="14.5" style="3172" customWidth="1"/>
    <col min="13832" max="13832" width="12.125" style="3172" customWidth="1"/>
    <col min="13833" max="13833" width="0" style="3172" hidden="1" customWidth="1"/>
    <col min="13834" max="13834" width="21.375" style="3172" customWidth="1"/>
    <col min="13835" max="14080" width="10" style="3172"/>
    <col min="14081" max="14081" width="5.625" style="3172" customWidth="1"/>
    <col min="14082" max="14082" width="30.125" style="3172" customWidth="1"/>
    <col min="14083" max="14083" width="25.25" style="3172" customWidth="1"/>
    <col min="14084" max="14084" width="28.75" style="3172" customWidth="1"/>
    <col min="14085" max="14085" width="13.375" style="3172" customWidth="1"/>
    <col min="14086" max="14087" width="14.5" style="3172" customWidth="1"/>
    <col min="14088" max="14088" width="12.125" style="3172" customWidth="1"/>
    <col min="14089" max="14089" width="0" style="3172" hidden="1" customWidth="1"/>
    <col min="14090" max="14090" width="21.375" style="3172" customWidth="1"/>
    <col min="14091" max="14336" width="10" style="3172"/>
    <col min="14337" max="14337" width="5.625" style="3172" customWidth="1"/>
    <col min="14338" max="14338" width="30.125" style="3172" customWidth="1"/>
    <col min="14339" max="14339" width="25.25" style="3172" customWidth="1"/>
    <col min="14340" max="14340" width="28.75" style="3172" customWidth="1"/>
    <col min="14341" max="14341" width="13.375" style="3172" customWidth="1"/>
    <col min="14342" max="14343" width="14.5" style="3172" customWidth="1"/>
    <col min="14344" max="14344" width="12.125" style="3172" customWidth="1"/>
    <col min="14345" max="14345" width="0" style="3172" hidden="1" customWidth="1"/>
    <col min="14346" max="14346" width="21.375" style="3172" customWidth="1"/>
    <col min="14347" max="14592" width="10" style="3172"/>
    <col min="14593" max="14593" width="5.625" style="3172" customWidth="1"/>
    <col min="14594" max="14594" width="30.125" style="3172" customWidth="1"/>
    <col min="14595" max="14595" width="25.25" style="3172" customWidth="1"/>
    <col min="14596" max="14596" width="28.75" style="3172" customWidth="1"/>
    <col min="14597" max="14597" width="13.375" style="3172" customWidth="1"/>
    <col min="14598" max="14599" width="14.5" style="3172" customWidth="1"/>
    <col min="14600" max="14600" width="12.125" style="3172" customWidth="1"/>
    <col min="14601" max="14601" width="0" style="3172" hidden="1" customWidth="1"/>
    <col min="14602" max="14602" width="21.375" style="3172" customWidth="1"/>
    <col min="14603" max="14848" width="10" style="3172"/>
    <col min="14849" max="14849" width="5.625" style="3172" customWidth="1"/>
    <col min="14850" max="14850" width="30.125" style="3172" customWidth="1"/>
    <col min="14851" max="14851" width="25.25" style="3172" customWidth="1"/>
    <col min="14852" max="14852" width="28.75" style="3172" customWidth="1"/>
    <col min="14853" max="14853" width="13.375" style="3172" customWidth="1"/>
    <col min="14854" max="14855" width="14.5" style="3172" customWidth="1"/>
    <col min="14856" max="14856" width="12.125" style="3172" customWidth="1"/>
    <col min="14857" max="14857" width="0" style="3172" hidden="1" customWidth="1"/>
    <col min="14858" max="14858" width="21.375" style="3172" customWidth="1"/>
    <col min="14859" max="15104" width="10" style="3172"/>
    <col min="15105" max="15105" width="5.625" style="3172" customWidth="1"/>
    <col min="15106" max="15106" width="30.125" style="3172" customWidth="1"/>
    <col min="15107" max="15107" width="25.25" style="3172" customWidth="1"/>
    <col min="15108" max="15108" width="28.75" style="3172" customWidth="1"/>
    <col min="15109" max="15109" width="13.375" style="3172" customWidth="1"/>
    <col min="15110" max="15111" width="14.5" style="3172" customWidth="1"/>
    <col min="15112" max="15112" width="12.125" style="3172" customWidth="1"/>
    <col min="15113" max="15113" width="0" style="3172" hidden="1" customWidth="1"/>
    <col min="15114" max="15114" width="21.375" style="3172" customWidth="1"/>
    <col min="15115" max="15360" width="10" style="3172"/>
    <col min="15361" max="15361" width="5.625" style="3172" customWidth="1"/>
    <col min="15362" max="15362" width="30.125" style="3172" customWidth="1"/>
    <col min="15363" max="15363" width="25.25" style="3172" customWidth="1"/>
    <col min="15364" max="15364" width="28.75" style="3172" customWidth="1"/>
    <col min="15365" max="15365" width="13.375" style="3172" customWidth="1"/>
    <col min="15366" max="15367" width="14.5" style="3172" customWidth="1"/>
    <col min="15368" max="15368" width="12.125" style="3172" customWidth="1"/>
    <col min="15369" max="15369" width="0" style="3172" hidden="1" customWidth="1"/>
    <col min="15370" max="15370" width="21.375" style="3172" customWidth="1"/>
    <col min="15371" max="15616" width="10" style="3172"/>
    <col min="15617" max="15617" width="5.625" style="3172" customWidth="1"/>
    <col min="15618" max="15618" width="30.125" style="3172" customWidth="1"/>
    <col min="15619" max="15619" width="25.25" style="3172" customWidth="1"/>
    <col min="15620" max="15620" width="28.75" style="3172" customWidth="1"/>
    <col min="15621" max="15621" width="13.375" style="3172" customWidth="1"/>
    <col min="15622" max="15623" width="14.5" style="3172" customWidth="1"/>
    <col min="15624" max="15624" width="12.125" style="3172" customWidth="1"/>
    <col min="15625" max="15625" width="0" style="3172" hidden="1" customWidth="1"/>
    <col min="15626" max="15626" width="21.375" style="3172" customWidth="1"/>
    <col min="15627" max="15872" width="10" style="3172"/>
    <col min="15873" max="15873" width="5.625" style="3172" customWidth="1"/>
    <col min="15874" max="15874" width="30.125" style="3172" customWidth="1"/>
    <col min="15875" max="15875" width="25.25" style="3172" customWidth="1"/>
    <col min="15876" max="15876" width="28.75" style="3172" customWidth="1"/>
    <col min="15877" max="15877" width="13.375" style="3172" customWidth="1"/>
    <col min="15878" max="15879" width="14.5" style="3172" customWidth="1"/>
    <col min="15880" max="15880" width="12.125" style="3172" customWidth="1"/>
    <col min="15881" max="15881" width="0" style="3172" hidden="1" customWidth="1"/>
    <col min="15882" max="15882" width="21.375" style="3172" customWidth="1"/>
    <col min="15883" max="16128" width="10" style="3172"/>
    <col min="16129" max="16129" width="5.625" style="3172" customWidth="1"/>
    <col min="16130" max="16130" width="30.125" style="3172" customWidth="1"/>
    <col min="16131" max="16131" width="25.25" style="3172" customWidth="1"/>
    <col min="16132" max="16132" width="28.75" style="3172" customWidth="1"/>
    <col min="16133" max="16133" width="13.375" style="3172" customWidth="1"/>
    <col min="16134" max="16135" width="14.5" style="3172" customWidth="1"/>
    <col min="16136" max="16136" width="12.125" style="3172" customWidth="1"/>
    <col min="16137" max="16137" width="0" style="3172" hidden="1" customWidth="1"/>
    <col min="16138" max="16138" width="21.375" style="3172" customWidth="1"/>
    <col min="16139" max="16384" width="10" style="3172"/>
  </cols>
  <sheetData>
    <row r="1" spans="1:12">
      <c r="A1" s="3171"/>
      <c r="B1" s="3171" t="s">
        <v>3461</v>
      </c>
      <c r="C1" s="3171" t="s">
        <v>3462</v>
      </c>
      <c r="D1" s="3171" t="s">
        <v>3463</v>
      </c>
      <c r="E1" s="3171" t="s">
        <v>3464</v>
      </c>
      <c r="F1" s="3171" t="s">
        <v>3465</v>
      </c>
      <c r="G1" s="3171" t="s">
        <v>3466</v>
      </c>
      <c r="H1" s="3171" t="s">
        <v>3467</v>
      </c>
      <c r="I1" s="3171" t="s">
        <v>3468</v>
      </c>
      <c r="J1" s="3171" t="s">
        <v>3469</v>
      </c>
    </row>
    <row r="2" spans="1:12">
      <c r="A2" s="3171"/>
      <c r="B2" s="3173" t="s">
        <v>3470</v>
      </c>
      <c r="C2" s="3173" t="s">
        <v>3545</v>
      </c>
      <c r="D2" s="3173" t="s">
        <v>3472</v>
      </c>
      <c r="E2" s="3174">
        <v>41802</v>
      </c>
      <c r="F2" s="3171" t="s">
        <v>3473</v>
      </c>
      <c r="G2" s="3171" t="s">
        <v>3474</v>
      </c>
      <c r="H2" s="3175">
        <v>4967.6099999999997</v>
      </c>
      <c r="I2" s="3175">
        <v>4894.91</v>
      </c>
      <c r="J2" s="3171" t="s">
        <v>3475</v>
      </c>
    </row>
    <row r="3" spans="1:12">
      <c r="A3" s="3171"/>
      <c r="B3" s="3171"/>
      <c r="C3" s="3171"/>
      <c r="D3" s="3171"/>
      <c r="E3" s="3171"/>
      <c r="F3" s="3171"/>
      <c r="G3" s="3171"/>
      <c r="H3" s="3171"/>
      <c r="I3" s="3171"/>
      <c r="J3" s="3171"/>
    </row>
    <row r="4" spans="1:12">
      <c r="A4" s="3171"/>
      <c r="B4" s="3171"/>
      <c r="C4" s="3171"/>
      <c r="D4" s="3171"/>
      <c r="E4" s="3171"/>
      <c r="F4" s="3171"/>
      <c r="G4" s="3171"/>
      <c r="H4" s="3175">
        <f>SUM(H2:H3)</f>
        <v>4967.6099999999997</v>
      </c>
      <c r="I4" s="3171"/>
      <c r="J4" s="3171"/>
    </row>
    <row r="6" spans="1:12" ht="15">
      <c r="A6" s="3171" t="s">
        <v>3476</v>
      </c>
      <c r="B6" s="3171" t="s">
        <v>3461</v>
      </c>
      <c r="C6" s="3171" t="s">
        <v>3462</v>
      </c>
      <c r="D6" s="3171" t="s">
        <v>3463</v>
      </c>
      <c r="E6" s="3171" t="s">
        <v>3477</v>
      </c>
      <c r="F6" s="3176" t="s">
        <v>3478</v>
      </c>
      <c r="G6" s="3176" t="s">
        <v>3479</v>
      </c>
      <c r="H6" s="3176" t="s">
        <v>3480</v>
      </c>
      <c r="J6" s="3176" t="s">
        <v>3481</v>
      </c>
    </row>
    <row r="7" spans="1:12" ht="15">
      <c r="A7" s="3176">
        <v>1</v>
      </c>
      <c r="B7" s="3173" t="s">
        <v>3470</v>
      </c>
      <c r="C7" s="3173" t="s">
        <v>3471</v>
      </c>
      <c r="D7" s="3173" t="s">
        <v>3482</v>
      </c>
      <c r="E7" s="3177">
        <v>802</v>
      </c>
      <c r="F7" s="3178" t="s">
        <v>3483</v>
      </c>
      <c r="G7" s="3177">
        <v>8</v>
      </c>
      <c r="H7" s="3196">
        <v>185.19</v>
      </c>
      <c r="J7" s="3171" t="s">
        <v>3475</v>
      </c>
    </row>
    <row r="8" spans="1:12" ht="15">
      <c r="A8" s="3176">
        <v>2</v>
      </c>
      <c r="B8" s="3173" t="s">
        <v>3470</v>
      </c>
      <c r="C8" s="3173" t="s">
        <v>3471</v>
      </c>
      <c r="D8" s="3173" t="s">
        <v>3472</v>
      </c>
      <c r="E8" s="3177">
        <v>902</v>
      </c>
      <c r="F8" s="3178" t="s">
        <v>3483</v>
      </c>
      <c r="G8" s="3177">
        <v>9</v>
      </c>
      <c r="H8" s="3196">
        <v>185.19</v>
      </c>
      <c r="J8" s="3171" t="s">
        <v>3475</v>
      </c>
    </row>
    <row r="9" spans="1:12" ht="15">
      <c r="A9" s="3176">
        <v>3</v>
      </c>
      <c r="B9" s="3173" t="s">
        <v>3470</v>
      </c>
      <c r="C9" s="3173" t="s">
        <v>3471</v>
      </c>
      <c r="D9" s="3173" t="s">
        <v>3472</v>
      </c>
      <c r="E9" s="3177">
        <v>1002</v>
      </c>
      <c r="F9" s="3178" t="s">
        <v>3483</v>
      </c>
      <c r="G9" s="3177">
        <v>10</v>
      </c>
      <c r="H9" s="3196">
        <v>185.19</v>
      </c>
      <c r="J9" s="3171" t="s">
        <v>3475</v>
      </c>
      <c r="K9" s="3197">
        <f>SUM(H7:H12)</f>
        <v>2329.13</v>
      </c>
      <c r="L9" s="3172">
        <f>5000000/365/K9</f>
        <v>5.881436474986927</v>
      </c>
    </row>
    <row r="10" spans="1:12" ht="15">
      <c r="A10" s="3176">
        <v>4</v>
      </c>
      <c r="B10" s="3173" t="s">
        <v>3470</v>
      </c>
      <c r="C10" s="3173" t="s">
        <v>3471</v>
      </c>
      <c r="D10" s="3173" t="s">
        <v>3472</v>
      </c>
      <c r="E10" s="3177">
        <v>1602</v>
      </c>
      <c r="F10" s="3178" t="s">
        <v>3483</v>
      </c>
      <c r="G10" s="3177">
        <v>16</v>
      </c>
      <c r="H10" s="3196">
        <v>410.04</v>
      </c>
      <c r="J10" s="3171" t="s">
        <v>3475</v>
      </c>
      <c r="K10" s="3197">
        <f>SUM(H13:H15)</f>
        <v>2638.48</v>
      </c>
      <c r="L10" s="3172">
        <v>4</v>
      </c>
    </row>
    <row r="11" spans="1:12" ht="15">
      <c r="A11" s="3176">
        <v>5</v>
      </c>
      <c r="B11" s="3173" t="s">
        <v>3470</v>
      </c>
      <c r="C11" s="3173" t="s">
        <v>3471</v>
      </c>
      <c r="D11" s="3173" t="s">
        <v>3472</v>
      </c>
      <c r="E11" s="3177">
        <v>1702</v>
      </c>
      <c r="F11" s="3178" t="s">
        <v>3483</v>
      </c>
      <c r="G11" s="3177">
        <v>17</v>
      </c>
      <c r="H11" s="3196">
        <v>410.04</v>
      </c>
      <c r="J11" s="3171" t="s">
        <v>3475</v>
      </c>
      <c r="L11" s="3172">
        <f>(K9*L9+K10*L10)/H16</f>
        <v>4.8821365076941028</v>
      </c>
    </row>
    <row r="12" spans="1:12" ht="15">
      <c r="A12" s="3176">
        <v>6</v>
      </c>
      <c r="B12" s="3173" t="s">
        <v>3470</v>
      </c>
      <c r="C12" s="3173" t="s">
        <v>3471</v>
      </c>
      <c r="D12" s="3173" t="s">
        <v>3472</v>
      </c>
      <c r="E12" s="3177">
        <v>1801</v>
      </c>
      <c r="F12" s="3178" t="s">
        <v>3483</v>
      </c>
      <c r="G12" s="3177">
        <v>18</v>
      </c>
      <c r="H12" s="3196">
        <v>953.48</v>
      </c>
      <c r="J12" s="3171" t="s">
        <v>3475</v>
      </c>
    </row>
    <row r="13" spans="1:12" ht="15">
      <c r="A13" s="3176">
        <v>7</v>
      </c>
      <c r="B13" s="3173" t="s">
        <v>3470</v>
      </c>
      <c r="C13" s="3173" t="s">
        <v>3471</v>
      </c>
      <c r="D13" s="3173" t="s">
        <v>3472</v>
      </c>
      <c r="E13" s="3177">
        <v>502</v>
      </c>
      <c r="F13" s="3178" t="s">
        <v>3483</v>
      </c>
      <c r="G13" s="3177">
        <v>5</v>
      </c>
      <c r="H13" s="3179">
        <v>1801.86</v>
      </c>
      <c r="J13" s="3171" t="s">
        <v>3475</v>
      </c>
    </row>
    <row r="14" spans="1:12" ht="15">
      <c r="A14" s="3176">
        <v>8</v>
      </c>
      <c r="B14" s="3173" t="s">
        <v>3470</v>
      </c>
      <c r="C14" s="3173" t="s">
        <v>3471</v>
      </c>
      <c r="D14" s="3173" t="s">
        <v>3472</v>
      </c>
      <c r="E14" s="3177">
        <v>503</v>
      </c>
      <c r="F14" s="3178" t="s">
        <v>3483</v>
      </c>
      <c r="G14" s="3177">
        <v>5</v>
      </c>
      <c r="H14" s="3179">
        <v>279.99</v>
      </c>
      <c r="J14" s="3171" t="s">
        <v>3475</v>
      </c>
    </row>
    <row r="15" spans="1:12" ht="15">
      <c r="A15" s="3176">
        <v>9</v>
      </c>
      <c r="B15" s="3173" t="s">
        <v>3470</v>
      </c>
      <c r="C15" s="3173" t="s">
        <v>3471</v>
      </c>
      <c r="D15" s="3173" t="s">
        <v>3472</v>
      </c>
      <c r="E15" s="3177">
        <v>504</v>
      </c>
      <c r="F15" s="3178" t="s">
        <v>3483</v>
      </c>
      <c r="G15" s="3177">
        <v>5</v>
      </c>
      <c r="H15" s="3179">
        <v>556.63</v>
      </c>
      <c r="J15" s="3171" t="s">
        <v>3475</v>
      </c>
    </row>
    <row r="16" spans="1:12">
      <c r="H16" s="3180">
        <f>SUM(H7:H15)</f>
        <v>4967.6099999999997</v>
      </c>
    </row>
    <row r="19" spans="2:6" ht="13.5">
      <c r="B19" s="3159" t="s">
        <v>3484</v>
      </c>
      <c r="C19" s="3159" t="s">
        <v>3485</v>
      </c>
      <c r="D19" s="3159" t="s">
        <v>3486</v>
      </c>
      <c r="E19" s="3159" t="s">
        <v>3487</v>
      </c>
      <c r="F19" s="3159" t="s">
        <v>3488</v>
      </c>
    </row>
    <row r="20" spans="2:6" ht="13.5">
      <c r="B20" s="3159" t="s">
        <v>3489</v>
      </c>
      <c r="C20" s="3159" t="s">
        <v>3489</v>
      </c>
      <c r="D20" s="3159" t="s">
        <v>3489</v>
      </c>
      <c r="E20" s="3159" t="s">
        <v>3490</v>
      </c>
      <c r="F20" s="3159"/>
    </row>
    <row r="21" spans="2:6" ht="13.5">
      <c r="B21" s="3159" t="s">
        <v>3491</v>
      </c>
      <c r="C21" s="3159" t="s">
        <v>3491</v>
      </c>
      <c r="D21" s="3159" t="s">
        <v>3491</v>
      </c>
      <c r="E21" s="3159" t="s">
        <v>3490</v>
      </c>
      <c r="F21" s="3159"/>
    </row>
    <row r="22" spans="2:6" ht="13.5">
      <c r="B22" s="3159" t="s">
        <v>3492</v>
      </c>
      <c r="C22" s="3159" t="s">
        <v>3492</v>
      </c>
      <c r="D22" s="3159" t="s">
        <v>3492</v>
      </c>
      <c r="E22" s="3159" t="s">
        <v>3490</v>
      </c>
      <c r="F22" s="3159"/>
    </row>
    <row r="23" spans="2:6" ht="13.5">
      <c r="B23" s="3159" t="s">
        <v>3493</v>
      </c>
      <c r="C23" s="3159" t="s">
        <v>3493</v>
      </c>
      <c r="D23" s="3159" t="s">
        <v>3494</v>
      </c>
      <c r="E23" s="3159" t="s">
        <v>3490</v>
      </c>
      <c r="F23" s="3159"/>
    </row>
    <row r="24" spans="2:6" ht="13.5">
      <c r="B24" s="3181" t="s">
        <v>3495</v>
      </c>
      <c r="C24" s="3181" t="s">
        <v>3495</v>
      </c>
      <c r="D24" s="3182" t="s">
        <v>3496</v>
      </c>
      <c r="E24" s="3182" t="s">
        <v>3497</v>
      </c>
      <c r="F24" s="3181" t="s">
        <v>3498</v>
      </c>
    </row>
    <row r="25" spans="2:6" ht="13.5">
      <c r="B25" s="3159" t="s">
        <v>3499</v>
      </c>
      <c r="C25" s="3159" t="s">
        <v>3499</v>
      </c>
      <c r="D25" s="3159" t="s">
        <v>3500</v>
      </c>
      <c r="E25" s="3159" t="s">
        <v>3490</v>
      </c>
      <c r="F25" s="3159"/>
    </row>
    <row r="26" spans="2:6" ht="13.5">
      <c r="B26" s="3159" t="s">
        <v>3500</v>
      </c>
      <c r="C26" s="3159" t="s">
        <v>3500</v>
      </c>
      <c r="D26" s="3159" t="s">
        <v>3501</v>
      </c>
      <c r="E26" s="3159" t="s">
        <v>3490</v>
      </c>
      <c r="F26" s="3183"/>
    </row>
    <row r="27" spans="2:6" ht="13.5">
      <c r="B27" s="3181" t="s">
        <v>3501</v>
      </c>
      <c r="C27" s="3181" t="s">
        <v>3501</v>
      </c>
      <c r="D27" s="3181" t="s">
        <v>3502</v>
      </c>
      <c r="E27" s="3181" t="s">
        <v>3490</v>
      </c>
      <c r="F27" s="3184">
        <f>E7</f>
        <v>802</v>
      </c>
    </row>
    <row r="28" spans="2:6" ht="13.5">
      <c r="B28" s="3181" t="s">
        <v>3502</v>
      </c>
      <c r="C28" s="3181" t="s">
        <v>3502</v>
      </c>
      <c r="D28" s="3181" t="s">
        <v>3503</v>
      </c>
      <c r="E28" s="3181" t="s">
        <v>3490</v>
      </c>
      <c r="F28" s="3184">
        <f t="shared" ref="F28:F29" si="0">E8</f>
        <v>902</v>
      </c>
    </row>
    <row r="29" spans="2:6" ht="13.5">
      <c r="B29" s="3181" t="s">
        <v>3503</v>
      </c>
      <c r="C29" s="3181" t="s">
        <v>3503</v>
      </c>
      <c r="D29" s="3181" t="s">
        <v>3504</v>
      </c>
      <c r="E29" s="3181" t="s">
        <v>3490</v>
      </c>
      <c r="F29" s="3184">
        <f t="shared" si="0"/>
        <v>1002</v>
      </c>
    </row>
    <row r="30" spans="2:6" ht="13.5">
      <c r="B30" s="3159" t="s">
        <v>3504</v>
      </c>
      <c r="C30" s="3159" t="s">
        <v>3504</v>
      </c>
      <c r="D30" s="3159" t="s">
        <v>3505</v>
      </c>
      <c r="E30" s="3159" t="s">
        <v>3490</v>
      </c>
      <c r="F30" s="3183"/>
    </row>
    <row r="31" spans="2:6" ht="13.5">
      <c r="B31" s="3159" t="s">
        <v>3505</v>
      </c>
      <c r="C31" s="3159" t="s">
        <v>3505</v>
      </c>
      <c r="D31" s="3159" t="s">
        <v>3506</v>
      </c>
      <c r="E31" s="3159" t="s">
        <v>3490</v>
      </c>
      <c r="F31" s="3183"/>
    </row>
    <row r="32" spans="2:6" ht="13.5">
      <c r="B32" s="3159" t="s">
        <v>3507</v>
      </c>
      <c r="C32" s="3159" t="s">
        <v>3506</v>
      </c>
      <c r="D32" s="3159" t="s">
        <v>3508</v>
      </c>
      <c r="E32" s="3159" t="s">
        <v>3490</v>
      </c>
      <c r="F32" s="3183"/>
    </row>
    <row r="33" spans="2:8" ht="13.5">
      <c r="B33" s="3181" t="s">
        <v>3509</v>
      </c>
      <c r="C33" s="3181" t="s">
        <v>3508</v>
      </c>
      <c r="D33" s="3181" t="s">
        <v>3510</v>
      </c>
      <c r="E33" s="3181" t="s">
        <v>3490</v>
      </c>
      <c r="F33" s="3184">
        <f>E10</f>
        <v>1602</v>
      </c>
    </row>
    <row r="34" spans="2:8" ht="13.5">
      <c r="B34" s="3181" t="s">
        <v>3506</v>
      </c>
      <c r="C34" s="3181" t="s">
        <v>3510</v>
      </c>
      <c r="D34" s="3181" t="s">
        <v>3511</v>
      </c>
      <c r="E34" s="3181" t="s">
        <v>3490</v>
      </c>
      <c r="F34" s="3184">
        <f t="shared" ref="F34:F35" si="1">E11</f>
        <v>1702</v>
      </c>
    </row>
    <row r="35" spans="2:8" ht="13.5">
      <c r="B35" s="3181" t="s">
        <v>3508</v>
      </c>
      <c r="C35" s="3181" t="s">
        <v>3511</v>
      </c>
      <c r="D35" s="3181" t="s">
        <v>3512</v>
      </c>
      <c r="E35" s="3181" t="s">
        <v>3490</v>
      </c>
      <c r="F35" s="3184">
        <f t="shared" si="1"/>
        <v>1801</v>
      </c>
    </row>
    <row r="36" spans="2:8" ht="13.5">
      <c r="B36" s="3159"/>
      <c r="C36" s="3159"/>
      <c r="D36" s="3159"/>
      <c r="E36" s="3159"/>
      <c r="F36" s="3159"/>
    </row>
    <row r="40" spans="2:8" ht="13.5">
      <c r="B40" s="3186" t="s">
        <v>3513</v>
      </c>
      <c r="C40" s="3186"/>
      <c r="D40" s="3186"/>
      <c r="E40" s="3186"/>
      <c r="F40" s="3186"/>
      <c r="G40" s="3186"/>
      <c r="H40" s="3186"/>
    </row>
    <row r="41" spans="2:8" ht="13.5">
      <c r="B41" s="3187"/>
      <c r="C41" s="3188" t="s">
        <v>3409</v>
      </c>
      <c r="D41" s="3188" t="s">
        <v>3514</v>
      </c>
      <c r="E41" s="3188" t="s">
        <v>3515</v>
      </c>
      <c r="F41" s="3187"/>
      <c r="G41" s="3189" t="s">
        <v>3516</v>
      </c>
      <c r="H41" s="3186"/>
    </row>
    <row r="42" spans="2:8" ht="13.5">
      <c r="B42" s="3190" t="s">
        <v>3517</v>
      </c>
      <c r="C42" s="3191">
        <f>C43+C44</f>
        <v>149456.64000000001</v>
      </c>
      <c r="D42" s="3191">
        <f>E42/C42</f>
        <v>2874.9999999999995</v>
      </c>
      <c r="E42" s="3191">
        <f>E43+E44</f>
        <v>429687840</v>
      </c>
      <c r="F42" s="3187"/>
      <c r="G42" s="3192">
        <v>1</v>
      </c>
      <c r="H42" s="3186"/>
    </row>
    <row r="43" spans="2:8" ht="13.5">
      <c r="B43" s="3188" t="s">
        <v>3412</v>
      </c>
      <c r="C43" s="3193">
        <v>102751.44</v>
      </c>
      <c r="D43" s="3187">
        <v>2000</v>
      </c>
      <c r="E43" s="3187">
        <f>D43*C43</f>
        <v>205502880</v>
      </c>
      <c r="F43" s="3187"/>
      <c r="G43" s="3187"/>
      <c r="H43" s="3186"/>
    </row>
    <row r="44" spans="2:8" ht="13.5">
      <c r="B44" s="3188" t="s">
        <v>3518</v>
      </c>
      <c r="C44" s="3193">
        <v>46705.2</v>
      </c>
      <c r="D44" s="3187">
        <v>4800</v>
      </c>
      <c r="E44" s="3187">
        <f>D44*C44</f>
        <v>224184960</v>
      </c>
      <c r="F44" s="3187"/>
      <c r="G44" s="3187"/>
      <c r="H44" s="3186"/>
    </row>
    <row r="45" spans="2:8" ht="13.5">
      <c r="B45" s="3190" t="s">
        <v>3519</v>
      </c>
      <c r="C45" s="3191">
        <f>C42</f>
        <v>149456.64000000001</v>
      </c>
      <c r="D45" s="3191">
        <v>1000</v>
      </c>
      <c r="E45" s="3191">
        <f>D45*C45</f>
        <v>149456640</v>
      </c>
      <c r="F45" s="3187"/>
      <c r="G45" s="3192">
        <v>1</v>
      </c>
      <c r="H45" s="3186"/>
    </row>
    <row r="46" spans="2:8" ht="13.5">
      <c r="B46" s="3190" t="s">
        <v>3520</v>
      </c>
      <c r="C46" s="3191">
        <f>C42</f>
        <v>149456.64000000001</v>
      </c>
      <c r="D46" s="3191">
        <v>1500</v>
      </c>
      <c r="E46" s="3191">
        <f>D46*C46</f>
        <v>224184960.00000003</v>
      </c>
      <c r="F46" s="3187"/>
      <c r="G46" s="3192">
        <v>1</v>
      </c>
      <c r="H46" s="3186"/>
    </row>
    <row r="47" spans="2:8" ht="13.5">
      <c r="B47" s="3190" t="s">
        <v>3521</v>
      </c>
      <c r="C47" s="3191">
        <v>0</v>
      </c>
      <c r="D47" s="3191">
        <f>D44</f>
        <v>4800</v>
      </c>
      <c r="E47" s="3191">
        <f>D47*C47</f>
        <v>0</v>
      </c>
      <c r="F47" s="3187"/>
      <c r="G47" s="3187"/>
      <c r="H47" s="3186"/>
    </row>
    <row r="48" spans="2:8" ht="13.5">
      <c r="B48" s="3188" t="s">
        <v>3522</v>
      </c>
      <c r="C48" s="3187">
        <f>C42</f>
        <v>149456.64000000001</v>
      </c>
      <c r="D48" s="3187">
        <f>E48/C48</f>
        <v>5374.9999999999991</v>
      </c>
      <c r="E48" s="3187">
        <f>E42+E45+E46+E47</f>
        <v>803329440</v>
      </c>
      <c r="F48" s="3187"/>
      <c r="G48" s="3190">
        <f>(G42*E42+G45*E45+G46*E46)/E48</f>
        <v>1</v>
      </c>
      <c r="H48" s="3186"/>
    </row>
    <row r="49" spans="2:8" ht="13.5">
      <c r="B49" s="3186"/>
      <c r="C49" s="3186"/>
      <c r="D49" s="3186"/>
      <c r="E49" s="3186"/>
      <c r="F49" s="3186"/>
      <c r="G49" s="3186"/>
      <c r="H49" s="3186"/>
    </row>
    <row r="50" spans="2:8" ht="13.5">
      <c r="B50" s="3186"/>
      <c r="C50" s="3186"/>
      <c r="D50" s="3186"/>
      <c r="E50" s="3186"/>
      <c r="F50" s="3186"/>
      <c r="G50" s="3186"/>
      <c r="H50" s="3186"/>
    </row>
    <row r="51" spans="2:8" ht="13.5">
      <c r="B51" s="3186"/>
      <c r="C51" s="3186"/>
      <c r="D51" s="3186"/>
      <c r="E51" s="3186"/>
      <c r="F51" s="3186"/>
      <c r="G51" s="3186"/>
      <c r="H51" s="3186"/>
    </row>
    <row r="52" spans="2:8" ht="13.5">
      <c r="B52" s="3186" t="s">
        <v>3413</v>
      </c>
      <c r="C52" s="3186"/>
      <c r="D52" s="3186"/>
      <c r="E52" s="3186"/>
      <c r="F52" s="3186"/>
      <c r="G52" s="3186"/>
      <c r="H52" s="3186"/>
    </row>
    <row r="53" spans="2:8">
      <c r="B53" s="3187"/>
      <c r="C53" s="3188" t="s">
        <v>3523</v>
      </c>
      <c r="D53" s="3188"/>
      <c r="E53" s="3188" t="s">
        <v>3524</v>
      </c>
      <c r="F53" s="3188" t="s">
        <v>3415</v>
      </c>
      <c r="G53" s="3188" t="s">
        <v>3525</v>
      </c>
      <c r="H53" s="3189" t="s">
        <v>3413</v>
      </c>
    </row>
    <row r="54" spans="2:8">
      <c r="B54" s="3190" t="s">
        <v>3526</v>
      </c>
      <c r="C54" s="3191">
        <v>2011</v>
      </c>
      <c r="D54" s="3191">
        <v>2025</v>
      </c>
      <c r="E54" s="3191">
        <v>50</v>
      </c>
      <c r="F54" s="3187">
        <v>60</v>
      </c>
      <c r="G54" s="3187">
        <v>0</v>
      </c>
      <c r="H54" s="3194">
        <f>ROUND((1-G54)-(D54-C54)/F54,2)</f>
        <v>0.77</v>
      </c>
    </row>
    <row r="55" spans="2:8">
      <c r="B55" s="3188" t="s">
        <v>3527</v>
      </c>
      <c r="C55" s="3193"/>
      <c r="D55" s="3187"/>
      <c r="E55" s="3187"/>
      <c r="F55" s="3187"/>
      <c r="G55" s="3187"/>
      <c r="H55" s="3192">
        <v>0.8</v>
      </c>
    </row>
    <row r="56" spans="2:8">
      <c r="B56" s="3188"/>
      <c r="C56" s="3187"/>
      <c r="D56" s="3187"/>
      <c r="E56" s="3187"/>
      <c r="F56" s="3187"/>
      <c r="G56" s="3187"/>
      <c r="H56" s="3195">
        <f>ROUND((H55+H54)/2,2)</f>
        <v>0.79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4967.6099999999997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4967.6099999999997</v>
      </c>
      <c r="H5" s="13">
        <f t="shared" ref="H5:AT5" si="0">SUM(H13:H656)</f>
        <v>4967.6099999999997</v>
      </c>
      <c r="I5" s="13">
        <f t="shared" si="0"/>
        <v>4967.6099999999997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4967.6099999999997</v>
      </c>
      <c r="BA5" s="15">
        <f t="shared" si="1"/>
        <v>4967.6099999999997</v>
      </c>
      <c r="BB5" s="15">
        <f t="shared" si="1"/>
        <v>4967.6099999999997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9" customHeight="1">
      <c r="A13" s="627"/>
      <c r="B13" s="627"/>
      <c r="C13" s="627">
        <f>Sheet1!E7</f>
        <v>802</v>
      </c>
      <c r="D13" s="1512" t="s">
        <v>3410</v>
      </c>
      <c r="E13" s="13">
        <f>IF($C$3="是",ROUND($A$3*G13/$B$3,2),ROUND($A$3*(G13-AT13)/$B$3,2))</f>
        <v>0</v>
      </c>
      <c r="F13" s="29"/>
      <c r="G13" s="30">
        <f>H13+AC13+AT13</f>
        <v>185.19</v>
      </c>
      <c r="H13" s="17">
        <f>SUMIF(I$12:AB$12,"总值",I13:AB13)</f>
        <v>185.19</v>
      </c>
      <c r="I13" s="1513">
        <f>Sheet1!H7</f>
        <v>185.19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802</v>
      </c>
      <c r="AY13" s="1259">
        <f>ROUND($AY$6*AZ13/$AZ$5,2)</f>
        <v>0</v>
      </c>
      <c r="AZ13" s="13">
        <f>BA13+BL13</f>
        <v>185.19</v>
      </c>
      <c r="BA13" s="13">
        <f>SUM(BB13:BK13)</f>
        <v>185.19</v>
      </c>
      <c r="BB13" s="13">
        <f>IF($D13="是",I13-J13,0)</f>
        <v>185.19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f>Sheet1!E8</f>
        <v>902</v>
      </c>
      <c r="D14" s="1512" t="s">
        <v>3410</v>
      </c>
      <c r="E14" s="13">
        <f>IF($C$3="是",ROUND($A$3*G14/$B$3,2),ROUND($A$3*(G14-AT14)/$B$3,2))</f>
        <v>0</v>
      </c>
      <c r="F14" s="29"/>
      <c r="G14" s="30">
        <f>H14+AC14+AT14</f>
        <v>185.19</v>
      </c>
      <c r="H14" s="17">
        <f>SUMIF(I$12:AB$12,"总值",I14:AB14)</f>
        <v>185.19</v>
      </c>
      <c r="I14" s="1513">
        <f>Sheet1!H8</f>
        <v>185.19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902</v>
      </c>
      <c r="AY14" s="1259">
        <f>ROUND($AY$6*AZ14/$AZ$5,2)</f>
        <v>0</v>
      </c>
      <c r="AZ14" s="13">
        <f>BA14+BL14</f>
        <v>185.19</v>
      </c>
      <c r="BA14" s="13">
        <f>SUM(BB14:BK14)</f>
        <v>185.19</v>
      </c>
      <c r="BB14" s="13">
        <f>IF($D14="是",I14-J14,0)</f>
        <v>185.19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f>Sheet1!E9</f>
        <v>1002</v>
      </c>
      <c r="D15" s="1512" t="s">
        <v>3410</v>
      </c>
      <c r="E15" s="13">
        <f>IF($C$3="是",ROUND($A$3*G15/$B$3,2),ROUND($A$3*(G15-AT15)/$B$3,2))</f>
        <v>0</v>
      </c>
      <c r="F15" s="29"/>
      <c r="G15" s="30">
        <f>H15+AC15+AT15</f>
        <v>185.19</v>
      </c>
      <c r="H15" s="17">
        <f>SUMIF(I$12:AB$12,"总值",I15:AB15)</f>
        <v>185.19</v>
      </c>
      <c r="I15" s="1513">
        <f>Sheet1!H9</f>
        <v>185.19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1002</v>
      </c>
      <c r="AY15" s="1259">
        <f>ROUND($AY$6*AZ15/$AZ$5,2)</f>
        <v>0</v>
      </c>
      <c r="AZ15" s="13">
        <f>BA15+BL15</f>
        <v>185.19</v>
      </c>
      <c r="BA15" s="13">
        <f>SUM(BB15:BK15)</f>
        <v>185.19</v>
      </c>
      <c r="BB15" s="13">
        <f>IF($D15="是",I15-J15,0)</f>
        <v>185.19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627">
        <f>Sheet1!E10</f>
        <v>1602</v>
      </c>
      <c r="D16" s="1512" t="s">
        <v>3410</v>
      </c>
      <c r="E16" s="13">
        <f>IF($C$3="是",ROUND($A$3*G16/$B$3,2),ROUND($A$3*(G16-AT16)/$B$3,2))</f>
        <v>0</v>
      </c>
      <c r="F16" s="29"/>
      <c r="G16" s="30">
        <f>H16+AC16+AT16</f>
        <v>410.04</v>
      </c>
      <c r="H16" s="17">
        <f>SUMIF(I$12:AB$12,"总值",I16:AB16)</f>
        <v>410.04</v>
      </c>
      <c r="I16" s="1513">
        <f>Sheet1!H10</f>
        <v>410.04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1602</v>
      </c>
      <c r="AY16" s="1259">
        <f>ROUND($AY$6*AZ16/$AZ$5,2)</f>
        <v>0</v>
      </c>
      <c r="AZ16" s="13">
        <f>BA16+BL16</f>
        <v>410.04</v>
      </c>
      <c r="BA16" s="13">
        <f>SUM(BB16:BK16)</f>
        <v>410.04</v>
      </c>
      <c r="BB16" s="13">
        <f>IF($D16="是",I16-J16,0)</f>
        <v>410.04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627">
        <f>Sheet1!E11</f>
        <v>1702</v>
      </c>
      <c r="D17" s="1512" t="s">
        <v>3410</v>
      </c>
      <c r="E17" s="13">
        <f>IF($C$3="是",ROUND($A$3*G17/$B$3,2),ROUND($A$3*(G17-AT17)/$B$3,2))</f>
        <v>0</v>
      </c>
      <c r="F17" s="29"/>
      <c r="G17" s="30">
        <f>H17+AC17+AT17</f>
        <v>410.04</v>
      </c>
      <c r="H17" s="17">
        <f>SUMIF(I$12:AB$12,"总值",I17:AB17)</f>
        <v>410.04</v>
      </c>
      <c r="I17" s="1513">
        <f>Sheet1!H11</f>
        <v>410.04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1702</v>
      </c>
      <c r="AY17" s="1259">
        <f>ROUND($AY$6*AZ17/$AZ$5,2)</f>
        <v>0</v>
      </c>
      <c r="AZ17" s="13">
        <f>BA17+BL17</f>
        <v>410.04</v>
      </c>
      <c r="BA17" s="13">
        <f>SUM(BB17:BK17)</f>
        <v>410.04</v>
      </c>
      <c r="BB17" s="13">
        <f>IF($D17="是",I17-J17,0)</f>
        <v>410.04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7">
        <f>Sheet1!E12</f>
        <v>1801</v>
      </c>
      <c r="D18" s="1512" t="s">
        <v>3410</v>
      </c>
      <c r="E18" s="32">
        <f t="shared" ref="E18:E112" si="7">IF($C$3="是",ROUND($A$3*G18/$B$3,2),ROUND($A$3*(G18-AT18)/$B$3,2))</f>
        <v>0</v>
      </c>
      <c r="F18" s="33"/>
      <c r="G18" s="34">
        <f t="shared" ref="G18:G109" si="8">H18+AC18+AT18</f>
        <v>953.48</v>
      </c>
      <c r="H18" s="35">
        <f t="shared" ref="H18:H109" si="9">SUMIF(I$12:AB$12,"总值",I18:AB18)</f>
        <v>953.48</v>
      </c>
      <c r="I18" s="1513">
        <f>Sheet1!H12</f>
        <v>953.48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1801</v>
      </c>
      <c r="AY18" s="38">
        <f t="shared" ref="AY18:AY109" si="14">ROUND($AY$6*AZ18/$AZ$5,2)</f>
        <v>0</v>
      </c>
      <c r="AZ18" s="32">
        <f t="shared" ref="AZ18:AZ109" si="15">BA18+BL18</f>
        <v>953.48</v>
      </c>
      <c r="BA18" s="32">
        <f t="shared" ref="BA18:BA109" si="16">SUM(BB18:BK18)</f>
        <v>953.48</v>
      </c>
      <c r="BB18" s="32">
        <f t="shared" ref="BB18:BB109" si="17">IF($D18="是",I18-J18,0)</f>
        <v>953.48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7">
        <f>Sheet1!E13</f>
        <v>502</v>
      </c>
      <c r="D19" s="1512" t="s">
        <v>3410</v>
      </c>
      <c r="E19" s="32">
        <f t="shared" si="7"/>
        <v>0</v>
      </c>
      <c r="F19" s="33"/>
      <c r="G19" s="34">
        <f t="shared" si="8"/>
        <v>1801.86</v>
      </c>
      <c r="H19" s="35">
        <f t="shared" si="9"/>
        <v>1801.86</v>
      </c>
      <c r="I19" s="1513">
        <f>Sheet1!H13</f>
        <v>1801.86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502</v>
      </c>
      <c r="AY19" s="38">
        <f t="shared" si="14"/>
        <v>0</v>
      </c>
      <c r="AZ19" s="32">
        <f t="shared" si="15"/>
        <v>1801.86</v>
      </c>
      <c r="BA19" s="32">
        <f t="shared" si="16"/>
        <v>1801.86</v>
      </c>
      <c r="BB19" s="32">
        <f t="shared" si="17"/>
        <v>1801.86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7">
        <f>Sheet1!E14</f>
        <v>503</v>
      </c>
      <c r="D20" s="1512" t="s">
        <v>3410</v>
      </c>
      <c r="E20" s="32">
        <f t="shared" si="7"/>
        <v>0</v>
      </c>
      <c r="F20" s="33"/>
      <c r="G20" s="34">
        <f t="shared" si="8"/>
        <v>279.99</v>
      </c>
      <c r="H20" s="35">
        <f t="shared" si="9"/>
        <v>279.99</v>
      </c>
      <c r="I20" s="1513">
        <f>Sheet1!H14</f>
        <v>279.99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503</v>
      </c>
      <c r="AY20" s="38">
        <f t="shared" si="14"/>
        <v>0</v>
      </c>
      <c r="AZ20" s="32">
        <f t="shared" si="15"/>
        <v>279.99</v>
      </c>
      <c r="BA20" s="32">
        <f t="shared" si="16"/>
        <v>279.99</v>
      </c>
      <c r="BB20" s="32">
        <f t="shared" si="17"/>
        <v>279.99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7">
        <f>Sheet1!E15</f>
        <v>504</v>
      </c>
      <c r="D21" s="1512" t="s">
        <v>3410</v>
      </c>
      <c r="E21" s="32">
        <f t="shared" si="7"/>
        <v>0</v>
      </c>
      <c r="F21" s="33"/>
      <c r="G21" s="34">
        <f t="shared" si="8"/>
        <v>556.63</v>
      </c>
      <c r="H21" s="35">
        <f t="shared" si="9"/>
        <v>556.63</v>
      </c>
      <c r="I21" s="1513">
        <f>Sheet1!H15</f>
        <v>556.63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504</v>
      </c>
      <c r="AY21" s="38">
        <f t="shared" si="14"/>
        <v>0</v>
      </c>
      <c r="AZ21" s="32">
        <f t="shared" si="15"/>
        <v>556.63</v>
      </c>
      <c r="BA21" s="32">
        <f t="shared" si="16"/>
        <v>556.63</v>
      </c>
      <c r="BB21" s="32">
        <f t="shared" si="17"/>
        <v>556.63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7"/>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52" sqref="P5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80" t="s">
        <v>1131</v>
      </c>
      <c r="B2" s="3280"/>
      <c r="C2" s="3280"/>
      <c r="D2" s="747" t="s">
        <v>1107</v>
      </c>
      <c r="E2" s="1522" t="s">
        <v>1108</v>
      </c>
      <c r="F2" s="2437"/>
      <c r="G2" s="2430"/>
      <c r="H2" s="2431"/>
      <c r="I2" s="2145" t="s">
        <v>1132</v>
      </c>
      <c r="J2" s="2437"/>
      <c r="K2" s="2437"/>
      <c r="L2" s="2437"/>
      <c r="M2" s="2437"/>
      <c r="N2" s="2438"/>
      <c r="O2" s="2437"/>
      <c r="P2" s="2437"/>
    </row>
    <row r="3" spans="1:16" ht="15.75" thickBot="1">
      <c r="A3" s="3281" t="s">
        <v>1105</v>
      </c>
      <c r="B3" s="3281"/>
      <c r="C3" s="3281"/>
      <c r="D3" s="41">
        <f>'数据-基础表'!AY6</f>
        <v>0</v>
      </c>
      <c r="E3" s="41">
        <f>'数据-基础表'!AZ5</f>
        <v>4967.6099999999997</v>
      </c>
      <c r="F3" s="2437"/>
      <c r="G3" s="42"/>
      <c r="H3" s="43" t="s">
        <v>1106</v>
      </c>
      <c r="I3" s="801" t="e">
        <f>ROUND('数据-基础表'!B3/'数据-基础表'!A3,2)</f>
        <v>#DIV/0!</v>
      </c>
      <c r="J3" s="2437"/>
      <c r="K3" s="2437"/>
      <c r="L3" s="2437"/>
      <c r="M3" s="2437"/>
      <c r="N3" s="2438"/>
      <c r="O3" s="2437"/>
      <c r="P3" s="2437"/>
    </row>
    <row r="4" spans="1:16" ht="15">
      <c r="A4" s="3282"/>
      <c r="B4" s="3283"/>
      <c r="C4" s="3284"/>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85" t="s">
        <v>1110</v>
      </c>
      <c r="C5" s="3285"/>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85" t="s">
        <v>1111</v>
      </c>
      <c r="C6" s="3285"/>
      <c r="D6" s="43">
        <f>ROUND($D$3*E6/$E$3,2)</f>
        <v>0</v>
      </c>
      <c r="E6" s="44">
        <f>E3-E5</f>
        <v>4967.6099999999997</v>
      </c>
      <c r="F6" s="2437"/>
      <c r="G6" s="1528" t="s">
        <v>1112</v>
      </c>
      <c r="H6" s="45" t="s">
        <v>1113</v>
      </c>
      <c r="I6" s="2433" t="e">
        <f>ROUND(F31/D31,2)</f>
        <v>#DIV/0!</v>
      </c>
      <c r="J6" s="2437"/>
      <c r="K6" s="2437"/>
      <c r="L6" s="2437"/>
      <c r="M6" s="2437"/>
      <c r="N6" s="2437"/>
      <c r="O6" s="2437"/>
      <c r="P6" s="2437"/>
    </row>
    <row r="7" spans="1:16" ht="15.75" thickBot="1">
      <c r="A7" s="3277"/>
      <c r="B7" s="3278"/>
      <c r="C7" s="3279"/>
      <c r="D7" s="1523" t="s">
        <v>1107</v>
      </c>
      <c r="E7" s="1527" t="s">
        <v>1114</v>
      </c>
      <c r="F7" s="2437"/>
      <c r="G7" s="2434" t="s">
        <v>1115</v>
      </c>
      <c r="H7" s="95"/>
      <c r="I7" s="2435">
        <v>3.5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4967.6099999999997</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4967.6099999999997</v>
      </c>
      <c r="F16" s="2437"/>
      <c r="G16" s="2437"/>
      <c r="H16" s="1530" t="s">
        <v>1135</v>
      </c>
      <c r="I16" s="1531"/>
      <c r="J16" s="1070"/>
      <c r="K16" s="3274" t="s">
        <v>1135</v>
      </c>
      <c r="L16" s="3275"/>
      <c r="M16" s="3275"/>
      <c r="N16" s="3275"/>
      <c r="O16" s="3275"/>
      <c r="P16" s="3276"/>
    </row>
    <row r="17" spans="1:19" ht="15">
      <c r="A17" s="1532" t="s">
        <v>1136</v>
      </c>
      <c r="B17" s="1533" t="s">
        <v>1137</v>
      </c>
      <c r="C17" s="1534" t="s">
        <v>1138</v>
      </c>
      <c r="D17" s="1535" t="s">
        <v>1126</v>
      </c>
      <c r="E17" s="1536" t="s">
        <v>1127</v>
      </c>
      <c r="F17" s="1537"/>
      <c r="G17" s="1538"/>
      <c r="H17" s="1539" t="s">
        <v>1139</v>
      </c>
      <c r="I17" s="1540" t="s">
        <v>1124</v>
      </c>
      <c r="J17" s="1070"/>
      <c r="K17" s="3271" t="s">
        <v>1140</v>
      </c>
      <c r="L17" s="3272"/>
      <c r="M17" s="3273"/>
      <c r="N17" s="3271" t="s">
        <v>1141</v>
      </c>
      <c r="O17" s="3272"/>
      <c r="P17" s="3273"/>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3529</v>
      </c>
      <c r="D19" s="43">
        <f>ROUND($D$3*E19/$E$3,2)</f>
        <v>0</v>
      </c>
      <c r="E19" s="51">
        <f t="shared" ref="E19:E26" si="1">SUM(F19:G19)</f>
        <v>4967.6099999999997</v>
      </c>
      <c r="F19" s="2555">
        <f>'数据-基础表'!B3</f>
        <v>4967.6099999999997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4967.6099999999997</v>
      </c>
    </row>
    <row r="20" spans="1:19">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4967.6099999999997</v>
      </c>
      <c r="F27" s="1071">
        <f>IF(SUM(F19:F26)=E8,SUM(F19:F26),"地上面积有误")</f>
        <v>4967.6099999999997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4967.6099999999997</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2">
        <f>D27+D30</f>
        <v>0</v>
      </c>
      <c r="E31" s="642">
        <f>E27+E30</f>
        <v>4967.6099999999997</v>
      </c>
      <c r="F31" s="643">
        <f>F27+F30</f>
        <v>4967.6099999999997</v>
      </c>
      <c r="G31" s="644">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75" thickBot="1">
      <c r="A2" s="1561" t="s">
        <v>1161</v>
      </c>
      <c r="B2" s="983">
        <f>项目基本情况!D3</f>
        <v>45762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酒店配套</v>
      </c>
      <c r="B6" s="1586" t="str">
        <f>IF(A6=0,"","经营性")</f>
        <v>经营性</v>
      </c>
      <c r="C6" s="1587" t="s">
        <v>673</v>
      </c>
      <c r="D6" s="804">
        <f>SUMIF(项目基本情况!C$12:I$12,C6,项目基本情况!C$14:I$14)</f>
        <v>40</v>
      </c>
      <c r="E6" s="803">
        <f>IF(B6="","",SUMIF(项目基本情况!C$12:I$12,C6,项目基本情况!C$13:I$13))</f>
        <v>51810</v>
      </c>
      <c r="F6" s="61">
        <f>SUMIF(项目基本情况!C$12:I$12,C6,项目基本情况!C$15:I$15)</f>
        <v>16.559999999999999</v>
      </c>
      <c r="G6" s="62">
        <f>IF(ISERROR(ROUND(POWER(1+H6,D6-F6)*(POWER(1+H6,F6)-1)/(POWER(1+H6,D6)-1),3)),0,ROUND(POWER(1+H6,D6-F6)*(POWER(1+H6,F6)-1)/(POWER(1+H6,D6)-1),3))</f>
        <v>0.64600000000000002</v>
      </c>
      <c r="H6" s="690">
        <v>0.05</v>
      </c>
      <c r="I6" s="690">
        <v>5.5E-2</v>
      </c>
      <c r="J6" s="63">
        <v>7.0000000000000007E-2</v>
      </c>
      <c r="K6" s="969">
        <f>SUMIF('数据-汇总表'!C$19:C$33,A6,'数据-汇总表'!E$19:E$33)</f>
        <v>4967.6099999999997</v>
      </c>
      <c r="L6" s="691">
        <v>6000</v>
      </c>
      <c r="M6" s="64">
        <f t="shared" ref="M6:M14" si="0">ROUND(K6*L6/10000,0)</f>
        <v>2981</v>
      </c>
      <c r="N6" s="689">
        <f>Sheet1!H54</f>
        <v>0.77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3">
        <v>4.8</v>
      </c>
      <c r="V6" s="67">
        <v>0.02</v>
      </c>
      <c r="W6" s="67">
        <v>0.1</v>
      </c>
      <c r="X6" s="978"/>
      <c r="Y6" s="68">
        <f>N6</f>
        <v>0.77</v>
      </c>
      <c r="Z6" s="69"/>
      <c r="AA6" s="63"/>
      <c r="AB6" s="63"/>
      <c r="AC6" s="978"/>
      <c r="AD6" s="70"/>
      <c r="AE6" s="979">
        <f ca="1">IF(AN6="",0,SUMIF(INDIRECT("'"&amp;AN6&amp;"'"&amp;"!E:E"),$AE$5,INDIRECT("'"&amp;AN6&amp;"'"&amp;"!F:F")))</f>
        <v>16.559999999999999</v>
      </c>
      <c r="AF6" s="74"/>
      <c r="AG6" s="129">
        <f>IF(AF6="",0,AE6-AF6)</f>
        <v>0</v>
      </c>
      <c r="AH6" s="71"/>
      <c r="AI6" s="73">
        <v>365</v>
      </c>
      <c r="AJ6" s="74"/>
      <c r="AK6" s="75">
        <v>5.0000000000000001E-3</v>
      </c>
      <c r="AL6" s="76">
        <v>1E-3</v>
      </c>
      <c r="AM6" s="77">
        <v>5.0000000000000001E-3</v>
      </c>
      <c r="AN6" s="1588" t="s">
        <v>3530</v>
      </c>
      <c r="AO6" s="50">
        <f ca="1">SUMIF(INDIRECT("'"&amp;AN6&amp;"'"&amp;"!A:A"),"总价",INDIRECT("'"&amp;AN6&amp;"'"&amp;"!B:B"))</f>
        <v>8279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0.64600000000000002</v>
      </c>
      <c r="H16" s="84">
        <f>ROUND(SUMPRODUCT(H6:H13,K6:K13)/SUMPRODUCT((H6:H13&gt;0)*(K6:K13)),3)</f>
        <v>0.05</v>
      </c>
      <c r="I16" s="85"/>
      <c r="J16" s="85"/>
      <c r="K16" s="86">
        <f>SUM(K6:K15)</f>
        <v>4967.6099999999997</v>
      </c>
      <c r="L16" s="87">
        <f>ROUND(M16*10000/SUM(K6:K14),0)</f>
        <v>6001</v>
      </c>
      <c r="M16" s="87">
        <f>SUM(M6:M14)</f>
        <v>2981</v>
      </c>
      <c r="N16" s="88">
        <f>ROUND(SUMPRODUCT(M6:M14,N6:N14)/M16,3)</f>
        <v>0.77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2297</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2.5</v>
      </c>
      <c r="C20" s="2559" t="s">
        <v>2295</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f>B20</f>
        <v>2.5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2299</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3185">
        <f>ROUND(B28*K16/10000,0)</f>
        <v>99</v>
      </c>
      <c r="C29" s="2561" t="s">
        <v>2289</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0.05</v>
      </c>
      <c r="C33" s="2562" t="s">
        <v>3377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5">
        <v>0</v>
      </c>
      <c r="C34" s="2562" t="s">
        <v>2290</v>
      </c>
      <c r="D34" s="2457" t="s">
        <v>2296</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f>B30</f>
        <v>200</v>
      </c>
      <c r="C35" s="2562" t="s">
        <v>2291</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3395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7">
        <v>0.03</v>
      </c>
      <c r="C37" s="2562" t="s">
        <v>3378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5">
        <v>0.02</v>
      </c>
      <c r="C38" s="2562" t="s">
        <v>3379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2305</v>
      </c>
      <c r="B40" s="1014">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8">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0">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1">
        <v>7.0000000000000007E-2</v>
      </c>
      <c r="C44" s="2562" t="s">
        <v>3380</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09">
        <v>0.03</v>
      </c>
      <c r="C45" s="2561" t="s">
        <v>2292</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09">
        <v>0.02</v>
      </c>
      <c r="C46" s="2561" t="s">
        <v>2293</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2300</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3">
        <v>0.03</v>
      </c>
      <c r="C48" s="2561" t="s">
        <v>2292</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2294</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6">
        <f>SUMIF(A54:A63,B53,B54:B63)</f>
        <v>18</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296</v>
      </c>
      <c r="C53" s="2438" t="s">
        <v>1246</v>
      </c>
      <c r="D53" s="2563" t="s">
        <v>2298</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8" customFormat="1" ht="18.75" thickBot="1">
      <c r="A1" s="3286" t="s">
        <v>2281</v>
      </c>
      <c r="B1" s="3287"/>
      <c r="C1" s="3287"/>
      <c r="D1" s="3287"/>
      <c r="E1" s="3287"/>
      <c r="F1" s="3287"/>
      <c r="G1" s="328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4" t="s">
        <v>2253</v>
      </c>
      <c r="C4" s="2268"/>
      <c r="D4" s="2265"/>
      <c r="E4" s="2269"/>
      <c r="F4" s="1280" t="s">
        <v>2254</v>
      </c>
      <c r="G4" s="2270" t="s">
        <v>2255</v>
      </c>
      <c r="H4" s="750"/>
      <c r="I4" s="750"/>
      <c r="J4" s="750"/>
      <c r="K4" s="750"/>
      <c r="L4" s="750"/>
      <c r="M4" s="750"/>
      <c r="N4" s="750"/>
      <c r="O4" s="750"/>
      <c r="P4" s="750"/>
      <c r="Q4" s="750"/>
    </row>
    <row r="5" spans="1:29" ht="24">
      <c r="A5" s="2247"/>
      <c r="B5" s="314" t="s">
        <v>2256</v>
      </c>
      <c r="C5" s="3162" t="s">
        <v>3423</v>
      </c>
      <c r="D5" s="2265"/>
      <c r="E5" s="2269"/>
      <c r="F5" s="314" t="s">
        <v>2257</v>
      </c>
      <c r="G5" s="2270" t="s">
        <v>2258</v>
      </c>
      <c r="H5" s="750"/>
      <c r="I5" s="750"/>
      <c r="J5" s="750"/>
      <c r="K5" s="750"/>
      <c r="L5" s="750"/>
      <c r="M5" s="750"/>
      <c r="N5" s="750"/>
      <c r="O5" s="750"/>
      <c r="P5" s="750"/>
      <c r="Q5" s="750"/>
    </row>
    <row r="6" spans="1:29" ht="36">
      <c r="A6" s="2247"/>
      <c r="B6" s="314" t="s">
        <v>2259</v>
      </c>
      <c r="C6" s="3163" t="s">
        <v>3424</v>
      </c>
      <c r="D6" s="2265"/>
      <c r="E6" s="2269"/>
      <c r="F6" s="314" t="s">
        <v>2260</v>
      </c>
      <c r="G6" s="2270" t="s">
        <v>2261</v>
      </c>
      <c r="H6" s="750"/>
      <c r="I6" s="750"/>
      <c r="J6" s="750"/>
      <c r="K6" s="750"/>
      <c r="L6" s="750"/>
      <c r="M6" s="750"/>
      <c r="N6" s="750"/>
      <c r="O6" s="750"/>
      <c r="P6" s="750"/>
      <c r="Q6" s="750"/>
    </row>
    <row r="7" spans="1:29" ht="24.75" thickBot="1">
      <c r="A7" s="2247"/>
      <c r="B7" s="314" t="s">
        <v>2257</v>
      </c>
      <c r="C7" s="3163" t="s">
        <v>3427</v>
      </c>
      <c r="D7" s="2244"/>
      <c r="E7" s="2271"/>
      <c r="F7" s="2272" t="s">
        <v>2262</v>
      </c>
      <c r="G7" s="2273" t="s">
        <v>2263</v>
      </c>
      <c r="H7" s="750"/>
      <c r="I7" s="750"/>
      <c r="J7" s="750"/>
      <c r="K7" s="750"/>
      <c r="L7" s="750"/>
      <c r="M7" s="750"/>
      <c r="N7" s="750"/>
      <c r="O7" s="750"/>
      <c r="P7" s="750"/>
      <c r="Q7" s="750"/>
    </row>
    <row r="8" spans="1:29" ht="32.450000000000003" customHeight="1">
      <c r="A8" s="2247"/>
      <c r="B8" s="314" t="s">
        <v>2260</v>
      </c>
      <c r="C8" s="3163" t="s">
        <v>3426</v>
      </c>
      <c r="D8" s="2244"/>
      <c r="E8" s="2244"/>
      <c r="F8" s="120"/>
      <c r="G8" s="120"/>
      <c r="H8" s="750"/>
      <c r="I8" s="750"/>
      <c r="J8" s="750"/>
      <c r="K8" s="750"/>
      <c r="L8" s="750"/>
      <c r="M8" s="750"/>
      <c r="N8" s="750"/>
      <c r="O8" s="750"/>
      <c r="P8" s="750"/>
      <c r="Q8" s="750"/>
    </row>
    <row r="9" spans="1:29" ht="36">
      <c r="A9" s="2247"/>
      <c r="B9" s="314" t="s">
        <v>2264</v>
      </c>
      <c r="C9" s="3162" t="s">
        <v>3425</v>
      </c>
      <c r="D9" s="2265"/>
      <c r="E9" s="2244"/>
      <c r="F9" s="120"/>
      <c r="G9" s="120"/>
      <c r="H9" s="750"/>
      <c r="I9" s="750"/>
      <c r="J9" s="750"/>
      <c r="K9" s="750"/>
      <c r="L9" s="750"/>
      <c r="M9" s="750"/>
      <c r="N9" s="750"/>
      <c r="O9" s="750"/>
      <c r="P9" s="750"/>
      <c r="Q9" s="750"/>
    </row>
    <row r="10" spans="1:29" ht="15" thickBot="1">
      <c r="A10" s="2248"/>
      <c r="B10" s="2274" t="s">
        <v>2265</v>
      </c>
      <c r="C10" s="3164" t="s">
        <v>3428</v>
      </c>
      <c r="D10" s="2265"/>
      <c r="E10" s="2265"/>
      <c r="F10" s="120"/>
      <c r="G10" s="120"/>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2282</v>
      </c>
      <c r="B13" s="2278"/>
      <c r="C13" s="2278"/>
      <c r="D13" s="2277"/>
      <c r="E13" s="2278"/>
      <c r="F13" s="2278"/>
      <c r="G13" s="2278"/>
    </row>
    <row r="14" spans="1:29" ht="15" thickBot="1">
      <c r="A14" s="2283"/>
      <c r="B14" s="2283"/>
      <c r="C14" s="2284" t="s">
        <v>2266</v>
      </c>
      <c r="D14" s="2265"/>
      <c r="E14" s="2285"/>
      <c r="F14" s="2285"/>
      <c r="G14" s="2261" t="s">
        <v>2267</v>
      </c>
    </row>
    <row r="15" spans="1:29" ht="25.5">
      <c r="A15" s="2249" t="s">
        <v>2268</v>
      </c>
      <c r="B15" s="2286" t="s">
        <v>2251</v>
      </c>
      <c r="C15" s="2287">
        <f>C3</f>
        <v>0</v>
      </c>
      <c r="D15" s="2265"/>
      <c r="E15" s="2250" t="s">
        <v>2269</v>
      </c>
      <c r="F15" s="2286" t="s">
        <v>2270</v>
      </c>
      <c r="G15" s="2288" t="str">
        <f>G3</f>
        <v>估价对象位于XX开发区，园区建设成熟度XX，产业集聚程度XX</v>
      </c>
    </row>
    <row r="16" spans="1:29" ht="38.25">
      <c r="A16" s="2251"/>
      <c r="B16" s="2289" t="s">
        <v>2253</v>
      </c>
      <c r="C16" s="2290">
        <f>C4</f>
        <v>0</v>
      </c>
      <c r="D16" s="2265"/>
      <c r="E16" s="2252"/>
      <c r="F16" s="2291" t="s">
        <v>2254</v>
      </c>
      <c r="G16" s="2292" t="str">
        <f>G4</f>
        <v>估价对象周边道路状况、公共交通通达情况、停车便捷程度，综合评价交通便捷度较好</v>
      </c>
    </row>
    <row r="17" spans="1:17" ht="25.5">
      <c r="A17" s="2251"/>
      <c r="B17" s="2289" t="s">
        <v>2256</v>
      </c>
      <c r="C17" s="2290" t="str">
        <f>C5</f>
        <v>周边有铸诚大厦、天作国际等较多办公项目，办公集聚程度较好</v>
      </c>
      <c r="D17" s="2244"/>
      <c r="E17" s="2252"/>
      <c r="F17" s="2291" t="s">
        <v>2271</v>
      </c>
      <c r="G17" s="2293"/>
    </row>
    <row r="18" spans="1:17" ht="38.25">
      <c r="A18" s="2251"/>
      <c r="B18" s="2291" t="s">
        <v>2259</v>
      </c>
      <c r="C18" s="2292" t="str">
        <f>C6</f>
        <v>有695、323、425路等公交路线经过，紧邻地铁4号线——人民大学站，交通便捷度较好</v>
      </c>
      <c r="D18" s="2244"/>
      <c r="E18" s="2252"/>
      <c r="F18" s="2291" t="s">
        <v>2262</v>
      </c>
      <c r="G18" s="2292" t="str">
        <f>G7</f>
        <v>该园区内是否有污染型企业，绿化情况，卫生条件，整体环境状况判断</v>
      </c>
    </row>
    <row r="19" spans="1:17" ht="25.5">
      <c r="A19" s="2251"/>
      <c r="B19" s="2291" t="s">
        <v>2272</v>
      </c>
      <c r="C19" s="2293"/>
      <c r="D19" s="2265"/>
      <c r="E19" s="2252"/>
      <c r="F19" s="314" t="s">
        <v>2257</v>
      </c>
      <c r="G19" s="2292" t="str">
        <f>G5</f>
        <v>估价对象所在区域公共配套设施齐备情况</v>
      </c>
    </row>
    <row r="20" spans="1:17" ht="38.25">
      <c r="A20" s="2251"/>
      <c r="B20" s="2291" t="s">
        <v>2273</v>
      </c>
      <c r="C20" s="2290" t="str">
        <f>C9</f>
        <v>周边有动物园、北京艺术博物馆、双榆树公园等自然人文环境，质量较好</v>
      </c>
      <c r="D20" s="2244"/>
      <c r="E20" s="2252"/>
      <c r="F20" s="314" t="s">
        <v>2260</v>
      </c>
      <c r="G20" s="2292" t="str">
        <f>G6</f>
        <v>估价对象所在区域基础设施水平</v>
      </c>
    </row>
    <row r="21" spans="1:17" ht="25.5">
      <c r="A21" s="2251"/>
      <c r="B21" s="314" t="s">
        <v>2257</v>
      </c>
      <c r="C21" s="2292" t="str">
        <f>C7</f>
        <v>估价对象所在区域公共配套设施较齐备</v>
      </c>
      <c r="D21" s="2265"/>
      <c r="E21" s="2252"/>
      <c r="F21" s="2291" t="s">
        <v>2274</v>
      </c>
      <c r="G21" s="2294"/>
    </row>
    <row r="22" spans="1:17" ht="13.5" customHeight="1">
      <c r="A22" s="2251"/>
      <c r="B22" s="314" t="s">
        <v>2260</v>
      </c>
      <c r="C22" s="2292" t="str">
        <f>C8</f>
        <v>估价对象所在区域基础设施水平较好</v>
      </c>
      <c r="D22" s="2265"/>
      <c r="E22" s="2252"/>
      <c r="F22" s="2291" t="s">
        <v>2265</v>
      </c>
      <c r="G22" s="2293"/>
    </row>
    <row r="23" spans="1:17" s="750" customFormat="1" ht="15" thickBot="1">
      <c r="A23" s="2251"/>
      <c r="B23" s="2291" t="s">
        <v>2274</v>
      </c>
      <c r="C23" s="2294"/>
      <c r="D23" s="1613"/>
      <c r="E23" s="2253"/>
      <c r="F23" s="2295" t="s">
        <v>2275</v>
      </c>
      <c r="G23" s="2296"/>
      <c r="H23" s="2275"/>
      <c r="I23" s="2275"/>
      <c r="J23" s="2275"/>
      <c r="K23" s="2275"/>
      <c r="L23" s="2275"/>
      <c r="M23" s="2275"/>
      <c r="N23" s="2275"/>
      <c r="O23" s="2275"/>
      <c r="P23" s="2275"/>
      <c r="Q23" s="2275"/>
    </row>
    <row r="24" spans="1:17" s="750" customFormat="1" ht="15" thickBot="1">
      <c r="A24" s="2254"/>
      <c r="B24" s="2295" t="s">
        <v>2276</v>
      </c>
      <c r="C24" s="2297" t="str">
        <f>C10</f>
        <v>次干道-中关村南大街</v>
      </c>
      <c r="D24" s="1613"/>
      <c r="E24" s="2244"/>
      <c r="F24" s="2244"/>
      <c r="G24" s="2244"/>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4" sqref="E3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4967.6099999999997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45762</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14034</v>
      </c>
      <c r="C5" s="2298">
        <f ca="1">IF(B5=D14,结果表!H102,ROUND(B5*10000/$B$1,0))</f>
        <v>28472</v>
      </c>
      <c r="D5" s="2298" t="e">
        <f ca="1">ROUND(B5*10000/$B$2,0)</f>
        <v>#DIV/0!</v>
      </c>
      <c r="E5" s="2459"/>
      <c r="F5" s="2460"/>
      <c r="G5" s="2460"/>
      <c r="H5" s="2460"/>
      <c r="I5" s="2460"/>
      <c r="J5" s="2460"/>
      <c r="K5" s="2460"/>
    </row>
    <row r="6" spans="1:11" ht="16.5">
      <c r="A6" s="2298" t="s">
        <v>656</v>
      </c>
      <c r="B6" s="2298">
        <f ca="1">SUM(G14:G23)</f>
        <v>14034</v>
      </c>
      <c r="C6" s="2298">
        <f ca="1">IF(B6=G14,结果表!H108,ROUND(B6*10000/$B$1,0))</f>
        <v>28472</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3350</v>
      </c>
      <c r="D10" s="2298" t="s">
        <v>3351</v>
      </c>
      <c r="E10" s="3133"/>
      <c r="F10" s="3137" t="s">
        <v>3352</v>
      </c>
      <c r="G10" s="3134"/>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典型户型修正!B22</f>
        <v>4967.6099999999997</v>
      </c>
      <c r="C14" s="2304"/>
      <c r="D14" s="2304">
        <f ca="1">典型户型修正!S22</f>
        <v>14034</v>
      </c>
      <c r="E14" s="2304">
        <f ca="1">结果表!G20</f>
        <v>28473</v>
      </c>
      <c r="F14" s="2304" t="e">
        <f ca="1">ROUND(D14*10000/C14,0)</f>
        <v>#DIV/0!</v>
      </c>
      <c r="G14" s="2304">
        <f ca="1">D14</f>
        <v>14034</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3528</v>
      </c>
      <c r="D1" s="645"/>
      <c r="E1" s="645"/>
      <c r="F1" s="1620" t="s">
        <v>1263</v>
      </c>
      <c r="G1" s="1452" t="s">
        <v>3454</v>
      </c>
      <c r="H1" s="1620" t="str">
        <f>IF(G1="现房","——","估价对象范围")</f>
        <v>——</v>
      </c>
      <c r="I1" s="1621" t="s">
        <v>3455</v>
      </c>
    </row>
    <row r="2" spans="1:12" ht="21.75" customHeight="1" thickBot="1">
      <c r="A2" s="3355" t="str">
        <f>项目基本情况!S2</f>
        <v>北京市朝阳区日坛北路17号院2号楼房地产</v>
      </c>
      <c r="B2" s="3356"/>
      <c r="C2" s="3356"/>
      <c r="D2" s="3356"/>
      <c r="E2" s="3356"/>
      <c r="F2" s="3356"/>
      <c r="G2" s="3356"/>
      <c r="H2" s="3356"/>
      <c r="I2" s="3357"/>
    </row>
    <row r="3" spans="1:12" ht="12.75">
      <c r="A3" s="3359" t="s">
        <v>1264</v>
      </c>
      <c r="B3" s="3360"/>
      <c r="C3" s="3360"/>
      <c r="D3" s="3360"/>
      <c r="E3" s="3360"/>
      <c r="F3" s="3360"/>
      <c r="G3" s="3360"/>
      <c r="H3" s="3360"/>
      <c r="I3" s="3360"/>
    </row>
    <row r="4" spans="1:12" ht="14.25">
      <c r="A4" s="1623" t="s">
        <v>1265</v>
      </c>
      <c r="B4" s="1624" t="s">
        <v>1266</v>
      </c>
      <c r="C4" s="1625" t="s">
        <v>3544</v>
      </c>
      <c r="D4" s="1625" t="s">
        <v>3530</v>
      </c>
      <c r="E4" s="3364" t="s">
        <v>1267</v>
      </c>
      <c r="F4" s="3365"/>
      <c r="G4" s="3365"/>
      <c r="H4" s="3365"/>
      <c r="I4" s="336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3" t="s">
        <v>1268</v>
      </c>
      <c r="B5" s="3358">
        <v>25</v>
      </c>
      <c r="C5" s="3361"/>
      <c r="D5" s="3349"/>
      <c r="E5" s="122" t="s">
        <v>1269</v>
      </c>
      <c r="F5" s="1626"/>
      <c r="G5" s="1626"/>
      <c r="H5" s="1626"/>
      <c r="I5" s="1280"/>
    </row>
    <row r="6" spans="1:12" ht="12.75">
      <c r="A6" s="3303"/>
      <c r="B6" s="3358"/>
      <c r="C6" s="3363"/>
      <c r="D6" s="3349"/>
      <c r="E6" s="122" t="s">
        <v>1270</v>
      </c>
      <c r="F6" s="1626"/>
      <c r="G6" s="1626"/>
      <c r="H6" s="1626"/>
      <c r="I6" s="1280"/>
    </row>
    <row r="7" spans="1:12" ht="12.75">
      <c r="A7" s="3303"/>
      <c r="B7" s="3358"/>
      <c r="C7" s="3362"/>
      <c r="D7" s="3349"/>
      <c r="E7" s="122" t="s">
        <v>1271</v>
      </c>
      <c r="F7" s="1626"/>
      <c r="G7" s="1626"/>
      <c r="H7" s="1626"/>
      <c r="I7" s="1280"/>
    </row>
    <row r="8" spans="1:12" ht="12.75">
      <c r="A8" s="3303" t="s">
        <v>1272</v>
      </c>
      <c r="B8" s="3358">
        <v>15</v>
      </c>
      <c r="C8" s="3361"/>
      <c r="D8" s="3349"/>
      <c r="E8" s="122" t="s">
        <v>1273</v>
      </c>
      <c r="F8" s="1626"/>
      <c r="G8" s="1626"/>
      <c r="H8" s="1626"/>
      <c r="I8" s="1280"/>
    </row>
    <row r="9" spans="1:12" ht="12.75">
      <c r="A9" s="3303"/>
      <c r="B9" s="3358"/>
      <c r="C9" s="3362"/>
      <c r="D9" s="3349"/>
      <c r="E9" s="122" t="s">
        <v>1274</v>
      </c>
      <c r="F9" s="1626"/>
      <c r="G9" s="1626"/>
      <c r="H9" s="1626"/>
      <c r="I9" s="1280"/>
    </row>
    <row r="10" spans="1:12" ht="12.75">
      <c r="A10" s="3303" t="s">
        <v>1275</v>
      </c>
      <c r="B10" s="3358">
        <v>15</v>
      </c>
      <c r="C10" s="3361"/>
      <c r="D10" s="3349"/>
      <c r="E10" s="122" t="s">
        <v>1276</v>
      </c>
      <c r="F10" s="1626"/>
      <c r="G10" s="1626"/>
      <c r="H10" s="1626"/>
      <c r="I10" s="1280"/>
    </row>
    <row r="11" spans="1:12" ht="12.75">
      <c r="A11" s="3303"/>
      <c r="B11" s="3358"/>
      <c r="C11" s="3362"/>
      <c r="D11" s="3349"/>
      <c r="E11" s="122" t="s">
        <v>1277</v>
      </c>
      <c r="F11" s="1626"/>
      <c r="G11" s="1626"/>
      <c r="H11" s="1626"/>
      <c r="I11" s="1280"/>
    </row>
    <row r="12" spans="1:12" ht="12.75">
      <c r="A12" s="3303" t="s">
        <v>1278</v>
      </c>
      <c r="B12" s="3358">
        <v>15</v>
      </c>
      <c r="C12" s="3361"/>
      <c r="D12" s="3349"/>
      <c r="E12" s="122" t="s">
        <v>1279</v>
      </c>
      <c r="F12" s="1626"/>
      <c r="G12" s="1626"/>
      <c r="H12" s="1626"/>
      <c r="I12" s="1280"/>
    </row>
    <row r="13" spans="1:12" ht="12.75">
      <c r="A13" s="3303"/>
      <c r="B13" s="3358"/>
      <c r="C13" s="3362"/>
      <c r="D13" s="3349"/>
      <c r="E13" s="122" t="s">
        <v>1280</v>
      </c>
      <c r="F13" s="1626"/>
      <c r="G13" s="1626"/>
      <c r="H13" s="1626"/>
      <c r="I13" s="1280"/>
    </row>
    <row r="14" spans="1:12" ht="12.75">
      <c r="A14" s="3303" t="s">
        <v>1281</v>
      </c>
      <c r="B14" s="3358">
        <v>30</v>
      </c>
      <c r="C14" s="3361">
        <v>7</v>
      </c>
      <c r="D14" s="3349">
        <v>3</v>
      </c>
      <c r="E14" s="122" t="s">
        <v>1282</v>
      </c>
      <c r="F14" s="1626"/>
      <c r="G14" s="1626"/>
      <c r="H14" s="1626"/>
      <c r="I14" s="1280"/>
    </row>
    <row r="15" spans="1:12" ht="12.75">
      <c r="A15" s="3303"/>
      <c r="B15" s="3358"/>
      <c r="C15" s="3363"/>
      <c r="D15" s="3349"/>
      <c r="E15" s="122" t="s">
        <v>1283</v>
      </c>
      <c r="F15" s="1626"/>
      <c r="G15" s="1626"/>
      <c r="H15" s="1626"/>
      <c r="I15" s="1280"/>
    </row>
    <row r="16" spans="1:12" ht="12.75">
      <c r="A16" s="3303"/>
      <c r="B16" s="3358"/>
      <c r="C16" s="3362"/>
      <c r="D16" s="3349"/>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80" t="s">
        <v>2130</v>
      </c>
      <c r="F18" s="3381"/>
      <c r="G18" s="3381"/>
      <c r="H18" s="3381"/>
      <c r="I18" s="3381"/>
      <c r="K18" s="293" t="s">
        <v>1289</v>
      </c>
      <c r="L18" s="293">
        <f>IF(C1="",'数据-汇总表'!E3,SUMIF(项目类型,C1,'数据-汇总表'!E17:E26)+SUMIF(项目类型,C1,'数据-汇总表'!I17:I26))</f>
        <v>4967.6099999999997</v>
      </c>
      <c r="M18" s="293">
        <f>IF(C1="",'数据-汇总表'!E3,SUMIF(项目类型,C1,'数据-汇总表'!E17:E26))</f>
        <v>4967.6099999999997</v>
      </c>
    </row>
    <row r="19" spans="1:36" ht="15">
      <c r="A19" s="1629" t="s">
        <v>1290</v>
      </c>
      <c r="B19" s="1630" t="s">
        <v>1291</v>
      </c>
      <c r="C19" s="125">
        <f ca="1">SUMIF(INDIRECT("'"&amp;C4&amp;"'"&amp;"!A:A"),结果表!B19,INDIRECT("'"&amp;C4&amp;"'"&amp;"!B:B"))</f>
        <v>16658</v>
      </c>
      <c r="D19" s="126">
        <f ca="1">SUMIF(INDIRECT("'"&amp;D4&amp;"'"&amp;"!A:A"),结果表!B19,INDIRECT("'"&amp;D4&amp;"'"&amp;"!B:B"))</f>
        <v>8279</v>
      </c>
      <c r="E19" s="1629" t="s">
        <v>1292</v>
      </c>
      <c r="F19" s="1630" t="s">
        <v>1291</v>
      </c>
      <c r="G19" s="127">
        <f ca="1">ROUND(C19*$C$18+D19*$D$18,0)</f>
        <v>14144</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33533</v>
      </c>
      <c r="D20" s="129">
        <f ca="1">SUMIF(INDIRECT("'"&amp;D4&amp;"'"&amp;"!A:A"),结果表!B20,INDIRECT("'"&amp;D4&amp;"'"&amp;"!B:B"))</f>
        <v>16666</v>
      </c>
      <c r="E20" s="1632"/>
      <c r="F20" s="43" t="s">
        <v>1295</v>
      </c>
      <c r="G20" s="130">
        <f ca="1">ROUND(C20*$C$18+D20*$D$18,0)</f>
        <v>28473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1.0120787534726414</v>
      </c>
      <c r="E22" s="120"/>
      <c r="F22" s="120"/>
      <c r="G22" s="120"/>
      <c r="H22" s="120"/>
      <c r="I22" s="120"/>
    </row>
    <row r="23" spans="1:36" ht="13.5" thickBot="1">
      <c r="A23" s="645"/>
      <c r="B23" s="645"/>
      <c r="C23" s="645"/>
      <c r="D23" s="645"/>
      <c r="E23" s="120"/>
      <c r="F23" s="120"/>
      <c r="G23" s="120"/>
      <c r="H23" s="120"/>
      <c r="I23" s="120"/>
    </row>
    <row r="24" spans="1:36" ht="14.25">
      <c r="A24" s="3373" t="s">
        <v>1299</v>
      </c>
      <c r="B24" s="1630" t="s">
        <v>1291</v>
      </c>
      <c r="C24" s="127">
        <f>IF(B30=0,0,D30)</f>
        <v>0</v>
      </c>
      <c r="D24" s="1636"/>
      <c r="E24" s="120"/>
      <c r="F24" s="120"/>
      <c r="G24" s="120"/>
      <c r="H24" s="120"/>
      <c r="I24" s="120"/>
    </row>
    <row r="25" spans="1:36" ht="14.25">
      <c r="A25" s="3374"/>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14144</v>
      </c>
      <c r="D32" s="1640" t="s">
        <v>3546</v>
      </c>
      <c r="E32" s="120"/>
      <c r="F32" s="120"/>
      <c r="G32" s="120"/>
      <c r="H32" s="120"/>
      <c r="I32" s="120"/>
    </row>
    <row r="33" spans="1:15" ht="15">
      <c r="A33" s="739" t="s">
        <v>1306</v>
      </c>
      <c r="B33" s="122"/>
      <c r="C33" s="1641" t="s">
        <v>3547</v>
      </c>
      <c r="D33" s="1642" t="s">
        <v>3544</v>
      </c>
      <c r="E33" s="1643" t="s">
        <v>1307</v>
      </c>
      <c r="F33" s="1644" t="str">
        <f>IF(D32="楼面单价","取值（单价）","取值（总价）")</f>
        <v>取值（总价）</v>
      </c>
      <c r="G33" s="120"/>
      <c r="H33" s="120"/>
      <c r="I33" s="120"/>
    </row>
    <row r="34" spans="1:15" ht="15">
      <c r="A34" s="1645"/>
      <c r="B34" s="1646" t="s">
        <v>1308</v>
      </c>
      <c r="C34" s="139">
        <f ca="1">IF(C33="自定义",F34,C32-C35)</f>
        <v>11287</v>
      </c>
      <c r="D34" s="807">
        <f ca="1">IF(C33="自定义",ROUND(C34/C32,3),IF(C33="收益比率",SUMIF(INDIRECT("'"&amp;D33&amp;"'"&amp;"!b:b"),"土地收益比率",INDIRECT("'"&amp;D33&amp;"'"&amp;"!c:c")),SUMIF(INDIRECT("'"&amp;D33&amp;"'"&amp;"!b:b"),"土地成本比率",INDIRECT("'"&amp;D33&amp;"'"&amp;"!c:c"))))</f>
        <v>0.79800000000000004</v>
      </c>
      <c r="E34" s="1647" t="s">
        <v>1309</v>
      </c>
      <c r="F34" s="1242"/>
      <c r="G34" s="120"/>
      <c r="H34" s="120"/>
      <c r="I34" s="120"/>
    </row>
    <row r="35" spans="1:15" ht="15.75" thickBot="1">
      <c r="A35" s="1648"/>
      <c r="B35" s="1649" t="s">
        <v>1310</v>
      </c>
      <c r="C35" s="1089">
        <f ca="1">IF(C33="自定义",F35,ROUND(C32*D35,0))</f>
        <v>2857</v>
      </c>
      <c r="D35" s="1090">
        <f ca="1">IF(C33="自定义",ROUND(C35/C32,3),IF(C33="收益比率",SUMIF(INDIRECT("'"&amp;D33&amp;"'"&amp;"!b:b"),"建筑物收益比率",INDIRECT("'"&amp;D33&amp;"'"&amp;"!c:c")),SUMIF(INDIRECT("'"&amp;D33&amp;"'"&amp;"!b:b"),"建筑物成本比率",INDIRECT("'"&amp;D33&amp;"'"&amp;"!c:c"))))</f>
        <v>0.20200000000000001</v>
      </c>
      <c r="E35" s="1650" t="s">
        <v>1311</v>
      </c>
      <c r="F35" s="145"/>
      <c r="G35" s="120"/>
      <c r="H35" s="120"/>
      <c r="I35" s="120"/>
    </row>
    <row r="36" spans="1:15" ht="15.75" thickBot="1">
      <c r="A36" s="3350" t="s">
        <v>1312</v>
      </c>
      <c r="B36" s="1651" t="s">
        <v>1313</v>
      </c>
      <c r="C36" s="136"/>
      <c r="D36" s="1652"/>
      <c r="E36" s="1566"/>
      <c r="F36" s="1653"/>
      <c r="G36" s="120"/>
      <c r="H36" s="120"/>
      <c r="I36" s="120"/>
    </row>
    <row r="37" spans="1:15" ht="15.75" thickBot="1">
      <c r="A37" s="3351"/>
      <c r="B37" s="1554" t="s">
        <v>1314</v>
      </c>
      <c r="C37" s="138"/>
      <c r="D37" s="1070"/>
      <c r="E37" s="1070"/>
      <c r="F37" s="1653"/>
      <c r="G37" s="120"/>
      <c r="H37" s="120"/>
      <c r="I37" s="120"/>
    </row>
    <row r="38" spans="1:15" ht="15.75" thickBot="1">
      <c r="A38" s="3352"/>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70" t="s">
        <v>1326</v>
      </c>
      <c r="B45" s="3371"/>
      <c r="C45" s="3372"/>
      <c r="D45" s="146">
        <f ca="1">ROUND(H101*F45,0)</f>
        <v>14144</v>
      </c>
      <c r="E45" s="147" t="s">
        <v>1327</v>
      </c>
      <c r="F45" s="148">
        <v>1</v>
      </c>
      <c r="G45" s="149" t="s">
        <v>1328</v>
      </c>
      <c r="H45" s="120"/>
      <c r="I45" s="120"/>
      <c r="J45" s="3290" t="s">
        <v>1329</v>
      </c>
      <c r="K45" s="3290"/>
      <c r="L45" s="3290"/>
      <c r="M45" s="3290"/>
      <c r="N45" s="3290"/>
      <c r="O45" s="3290"/>
    </row>
    <row r="46" spans="1:15" ht="14.25" customHeight="1">
      <c r="A46" s="3367" t="s">
        <v>1330</v>
      </c>
      <c r="B46" s="3368"/>
      <c r="C46" s="3368"/>
      <c r="D46" s="3368"/>
      <c r="E46" s="3368"/>
      <c r="F46" s="3368"/>
      <c r="G46" s="3369"/>
      <c r="H46" s="1667"/>
      <c r="I46" s="150"/>
      <c r="J46" s="2308">
        <v>1</v>
      </c>
      <c r="K46" s="3291" t="s">
        <v>1331</v>
      </c>
      <c r="L46" s="3291"/>
      <c r="M46" s="3292"/>
      <c r="N46" s="3292"/>
      <c r="O46" s="3292"/>
    </row>
    <row r="47" spans="1:15" ht="12" customHeight="1">
      <c r="A47" s="151" t="s">
        <v>1332</v>
      </c>
      <c r="B47" s="152"/>
      <c r="C47" s="153"/>
      <c r="D47" s="1023" t="s">
        <v>1333</v>
      </c>
      <c r="E47" s="293" t="s">
        <v>1334</v>
      </c>
      <c r="F47" s="154" t="s">
        <v>1335</v>
      </c>
      <c r="G47" s="2331" t="s">
        <v>1336</v>
      </c>
      <c r="H47" s="2332"/>
      <c r="I47" s="150"/>
      <c r="J47" s="2308">
        <v>2</v>
      </c>
      <c r="K47" s="3291" t="s">
        <v>1337</v>
      </c>
      <c r="L47" s="3291"/>
      <c r="M47" s="3293">
        <f>'数据-取费表'!B2</f>
        <v>45762</v>
      </c>
      <c r="N47" s="3293"/>
      <c r="O47" s="3293"/>
    </row>
    <row r="48" spans="1:15" ht="25.5">
      <c r="A48" s="3353" t="s">
        <v>1338</v>
      </c>
      <c r="B48" s="3354"/>
      <c r="C48" s="3354"/>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91" t="s">
        <v>1340</v>
      </c>
      <c r="L48" s="3291"/>
      <c r="M48" s="3294">
        <f ca="1">H101</f>
        <v>14144</v>
      </c>
      <c r="N48" s="3294"/>
      <c r="O48" s="3294"/>
    </row>
    <row r="49" spans="1:35" ht="25.5" customHeight="1">
      <c r="A49" s="2151" t="s">
        <v>1341</v>
      </c>
      <c r="B49" s="3339" t="s">
        <v>1342</v>
      </c>
      <c r="C49" s="3339"/>
      <c r="D49" s="1477">
        <v>0</v>
      </c>
      <c r="E49" s="315" t="s">
        <v>1343</v>
      </c>
      <c r="F49" s="2232" t="s">
        <v>28</v>
      </c>
      <c r="G49" s="3322"/>
      <c r="H49" s="2133" t="s">
        <v>2133</v>
      </c>
      <c r="I49" s="2134"/>
      <c r="J49" s="2308">
        <v>4</v>
      </c>
      <c r="K49" s="3291" t="str">
        <f>IF(项目基本情况!E8="房地产抵押价值","房地产抵押价值","抵押担保权已注销时的房地产抵押价值")</f>
        <v>抵押担保权已注销时的房地产抵押价值</v>
      </c>
      <c r="L49" s="3291"/>
      <c r="M49" s="3294" t="str">
        <f>IF(项目基本情况!E8="房地产抵押价值",H107,H109)</f>
        <v>——</v>
      </c>
      <c r="N49" s="3294"/>
      <c r="O49" s="3294"/>
    </row>
    <row r="50" spans="1:35" ht="25.5" customHeight="1">
      <c r="A50" s="2336"/>
      <c r="B50" s="3339" t="s">
        <v>1344</v>
      </c>
      <c r="C50" s="3339"/>
      <c r="D50" s="2188"/>
      <c r="E50" s="322"/>
      <c r="F50" s="2232"/>
      <c r="G50" s="3323"/>
      <c r="H50" s="2135" t="s">
        <v>2134</v>
      </c>
      <c r="I50" s="2134"/>
      <c r="J50" s="3290" t="s">
        <v>1345</v>
      </c>
      <c r="K50" s="3290"/>
      <c r="L50" s="3290"/>
      <c r="M50" s="3290"/>
      <c r="N50" s="3290"/>
      <c r="O50" s="3290"/>
    </row>
    <row r="51" spans="1:35" ht="20.45" customHeight="1">
      <c r="A51" s="2337"/>
      <c r="B51" s="3339" t="s">
        <v>1346</v>
      </c>
      <c r="C51" s="3339"/>
      <c r="D51" s="1023"/>
      <c r="E51" s="318"/>
      <c r="F51" s="2232"/>
      <c r="G51" s="3324"/>
      <c r="H51" s="2135" t="s">
        <v>2135</v>
      </c>
      <c r="I51" s="2134"/>
      <c r="J51" s="2309" t="s">
        <v>1347</v>
      </c>
      <c r="K51" s="3291" t="s">
        <v>1348</v>
      </c>
      <c r="L51" s="3291"/>
      <c r="M51" s="2309" t="s">
        <v>1349</v>
      </c>
      <c r="N51" s="2309" t="s">
        <v>1350</v>
      </c>
      <c r="O51" s="2309" t="s">
        <v>1351</v>
      </c>
    </row>
    <row r="52" spans="1:35" ht="24" customHeight="1">
      <c r="A52" s="2152" t="s">
        <v>1352</v>
      </c>
      <c r="B52" s="3339" t="s">
        <v>1353</v>
      </c>
      <c r="C52" s="3339"/>
      <c r="D52" s="1023">
        <f ca="1">ROUND(D45*'数据-取费表'!B41/(1+'数据-取费表'!C42),0)</f>
        <v>754</v>
      </c>
      <c r="E52" s="1255" t="s">
        <v>1354</v>
      </c>
      <c r="F52" s="2338">
        <f>'数据-取费表'!B41</f>
        <v>5.6000000000000001E-2</v>
      </c>
      <c r="G52" s="2339"/>
      <c r="H52" s="2329"/>
      <c r="I52" s="1668"/>
      <c r="J52" s="2308">
        <v>1</v>
      </c>
      <c r="K52" s="3316" t="s">
        <v>1355</v>
      </c>
      <c r="L52" s="3316"/>
      <c r="M52" s="2310" t="b">
        <f>D48</f>
        <v>0</v>
      </c>
      <c r="N52" s="2308" t="str">
        <f>E48</f>
        <v>销售额×税（费）率</v>
      </c>
      <c r="O52" s="2311">
        <f>F48</f>
        <v>5.6000000000000001E-2</v>
      </c>
    </row>
    <row r="53" spans="1:35" ht="12" customHeight="1">
      <c r="A53" s="2152" t="s">
        <v>1356</v>
      </c>
      <c r="B53" s="3340" t="s">
        <v>2286</v>
      </c>
      <c r="C53" s="3341"/>
      <c r="D53" s="1023">
        <f ca="1">ROUND(D45*'数据-取费表'!B41/(1+'数据-取费表'!C42),0)</f>
        <v>754</v>
      </c>
      <c r="E53" s="1255" t="s">
        <v>1354</v>
      </c>
      <c r="F53" s="2338">
        <f>'数据-取费表'!B41</f>
        <v>5.6000000000000001E-2</v>
      </c>
      <c r="G53" s="2339"/>
      <c r="H53" s="2329"/>
      <c r="I53" s="1668"/>
      <c r="J53" s="2308">
        <v>2</v>
      </c>
      <c r="K53" s="3316" t="s">
        <v>1357</v>
      </c>
      <c r="L53" s="3316"/>
      <c r="M53" s="2310">
        <f t="shared" ref="M53:O54" ca="1" si="0">D55</f>
        <v>7</v>
      </c>
      <c r="N53" s="2308" t="str">
        <f t="shared" si="0"/>
        <v>销售额×税（费）率</v>
      </c>
      <c r="O53" s="2311" t="str">
        <f t="shared" si="0"/>
        <v>免征</v>
      </c>
    </row>
    <row r="54" spans="1:35" ht="12" customHeight="1">
      <c r="A54" s="2152" t="s">
        <v>1358</v>
      </c>
      <c r="B54" s="3340" t="s">
        <v>2287</v>
      </c>
      <c r="C54" s="3341"/>
      <c r="D54" s="1023">
        <f ca="1">C68</f>
        <v>754</v>
      </c>
      <c r="E54" s="318" t="s">
        <v>1359</v>
      </c>
      <c r="F54" s="2338">
        <f>'数据-取费表'!B41</f>
        <v>5.6000000000000001E-2</v>
      </c>
      <c r="G54" s="2339"/>
      <c r="H54" s="2340"/>
      <c r="I54" s="1668"/>
      <c r="J54" s="2308">
        <v>3</v>
      </c>
      <c r="K54" s="3316" t="s">
        <v>1360</v>
      </c>
      <c r="L54" s="3316"/>
      <c r="M54" s="2310">
        <f t="shared" ca="1" si="0"/>
        <v>8005</v>
      </c>
      <c r="N54" s="2308" t="str">
        <f t="shared" si="0"/>
        <v>增值额×税（费）率</v>
      </c>
      <c r="O54" s="2312" t="str">
        <f t="shared" si="0"/>
        <v>免征</v>
      </c>
    </row>
    <row r="55" spans="1:35" ht="24" customHeight="1">
      <c r="A55" s="3376" t="s">
        <v>1361</v>
      </c>
      <c r="B55" s="3354"/>
      <c r="C55" s="3354"/>
      <c r="D55" s="12">
        <f ca="1">IF(H55="个人住宅",0,ROUND(D45*I55,0))</f>
        <v>7</v>
      </c>
      <c r="E55" s="1255" t="s">
        <v>1362</v>
      </c>
      <c r="F55" s="2338" t="str">
        <f>IF(H55="正常",I55,"免征")</f>
        <v>免征</v>
      </c>
      <c r="G55" s="2339"/>
      <c r="H55" s="2335"/>
      <c r="I55" s="156">
        <f>'数据-取费表'!B49</f>
        <v>5.0000000000000001E-4</v>
      </c>
      <c r="J55" s="2308">
        <f>IF(H59="非个人房产","",4)</f>
        <v>4</v>
      </c>
      <c r="K55" s="3316" t="str">
        <f>IF(H59="非个人房产","——","个人所得税")</f>
        <v>个人所得税</v>
      </c>
      <c r="L55" s="3316"/>
      <c r="M55" s="2313">
        <f ca="1">D59</f>
        <v>135</v>
      </c>
      <c r="N55" s="1882" t="str">
        <f>E59</f>
        <v>差额计税</v>
      </c>
      <c r="O55" s="2314">
        <f>F59</f>
        <v>0.01</v>
      </c>
    </row>
    <row r="56" spans="1:35" ht="24.75">
      <c r="A56" s="3376" t="s">
        <v>1363</v>
      </c>
      <c r="B56" s="3354"/>
      <c r="C56" s="3354"/>
      <c r="D56" s="12">
        <f ca="1">IF(H56="个人住宅",D57,D58)</f>
        <v>8005</v>
      </c>
      <c r="E56" s="1255" t="s">
        <v>1364</v>
      </c>
      <c r="F56" s="2338" t="str">
        <f>IF(H56="正常",F58,"免征")</f>
        <v>免征</v>
      </c>
      <c r="G56" s="2341" t="s">
        <v>1365</v>
      </c>
      <c r="H56" s="2342"/>
      <c r="I56" s="1669"/>
      <c r="J56" s="2308" t="str">
        <f>IF(项目基本情况!K6="上海银行",IF(J55="",4,J55+1),"")</f>
        <v/>
      </c>
      <c r="K56" s="3297" t="str">
        <f>IF(项目基本情况!K6="上海银行","其他处置费用","")</f>
        <v/>
      </c>
      <c r="L56" s="3298"/>
      <c r="M56" s="2310" t="str">
        <f>IF(项目基本情况!K6="上海银行",M69,"")</f>
        <v/>
      </c>
      <c r="N56" s="3297" t="str">
        <f>IF(项目基本情况!K6="上海银行","包含处置中涉及的律师、诉讼、拍卖、评估等费用","")</f>
        <v/>
      </c>
      <c r="O56" s="3300"/>
    </row>
    <row r="57" spans="1:35" ht="12.75">
      <c r="A57" s="2152" t="s">
        <v>1341</v>
      </c>
      <c r="B57" s="3340" t="s">
        <v>1366</v>
      </c>
      <c r="C57" s="3341"/>
      <c r="D57" s="1477">
        <v>0</v>
      </c>
      <c r="E57" s="315" t="s">
        <v>1343</v>
      </c>
      <c r="F57" s="293"/>
      <c r="G57" s="2339"/>
      <c r="H57" s="2343"/>
      <c r="I57" s="1669"/>
      <c r="J57" s="3316">
        <f>IF(AND(J55="",J56=""),4,IF(项目基本情况!K6="上海银行",结果表!J56+1,结果表!J55+1))</f>
        <v>5</v>
      </c>
      <c r="K57" s="3316" t="s">
        <v>1367</v>
      </c>
      <c r="L57" s="2315" t="s">
        <v>1368</v>
      </c>
      <c r="M57" s="2316"/>
      <c r="N57" s="2317">
        <f ca="1">SUMIF(M52:M56,"&lt;9e307")</f>
        <v>8147</v>
      </c>
      <c r="O57" s="2318"/>
      <c r="P57" s="2462" t="e">
        <f ca="1">N57/M49</f>
        <v>#VALUE!</v>
      </c>
    </row>
    <row r="58" spans="1:35" ht="24.75">
      <c r="A58" s="2152" t="s">
        <v>1352</v>
      </c>
      <c r="B58" s="3340" t="s">
        <v>1369</v>
      </c>
      <c r="C58" s="3339"/>
      <c r="D58" s="12">
        <f ca="1">IF(H58="转让取得",C81,C97)</f>
        <v>8005</v>
      </c>
      <c r="E58" s="1255" t="s">
        <v>1364</v>
      </c>
      <c r="F58" s="293" t="s">
        <v>28</v>
      </c>
      <c r="G58" s="2339"/>
      <c r="H58" s="2342"/>
      <c r="I58" s="1669"/>
      <c r="J58" s="3316"/>
      <c r="K58" s="3316"/>
      <c r="L58" s="2315" t="s">
        <v>1370</v>
      </c>
      <c r="M58" s="2319"/>
      <c r="N58" s="2320" t="str">
        <f ca="1">NUMBERSTRING(INT(N57*10000),2)&amp;"元整"</f>
        <v>捌仟壹佰肆拾柒万元整</v>
      </c>
      <c r="O58" s="2321"/>
    </row>
    <row r="59" spans="1:35" ht="24.75" thickBot="1">
      <c r="A59" s="3320" t="s">
        <v>1371</v>
      </c>
      <c r="B59" s="3321"/>
      <c r="C59" s="3321"/>
      <c r="D59" s="2344">
        <f ca="1">IF(H59="非个人房产","——",IF(H59="个人住宅（满五唯一有凭证）",0,IF(H59="个人其他（无凭证）",ROUND(D45*F59,0),ROUND(C67*F59,0))))</f>
        <v>135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2136</v>
      </c>
      <c r="J59" s="3318">
        <f>J57+1</f>
        <v>6</v>
      </c>
      <c r="K59" s="3316" t="s">
        <v>1372</v>
      </c>
      <c r="L59" s="2308" t="s">
        <v>1368</v>
      </c>
      <c r="M59" s="2322"/>
      <c r="N59" s="2323" t="e">
        <f ca="1">M49-N57</f>
        <v>#VALUE!</v>
      </c>
      <c r="O59" s="2324"/>
    </row>
    <row r="60" spans="1:35" ht="12" customHeight="1">
      <c r="A60" s="1670"/>
      <c r="B60" s="645"/>
      <c r="C60" s="645"/>
      <c r="D60" s="645"/>
      <c r="E60" s="1465"/>
      <c r="F60" s="1669"/>
      <c r="G60" s="1669"/>
      <c r="H60" s="150"/>
      <c r="I60" s="120"/>
      <c r="J60" s="3319"/>
      <c r="K60" s="3316"/>
      <c r="L60" s="2315" t="s">
        <v>1370</v>
      </c>
      <c r="M60" s="2319"/>
      <c r="N60" s="2320" t="e">
        <f ca="1">NUMBERSTRING(INT(N59*10000),2)&amp;"元整"</f>
        <v>#VALUE!</v>
      </c>
      <c r="O60" s="2321"/>
    </row>
    <row r="61" spans="1:35" ht="13.5" thickBot="1">
      <c r="A61" s="3375" t="s">
        <v>1373</v>
      </c>
      <c r="B61" s="3375"/>
      <c r="C61" s="3375"/>
      <c r="D61" s="3375"/>
      <c r="E61" s="3375"/>
      <c r="F61" s="1669"/>
      <c r="G61" s="1669"/>
      <c r="H61" s="150"/>
      <c r="I61" s="120"/>
      <c r="J61" s="2308">
        <f>J59+1</f>
        <v>7</v>
      </c>
      <c r="K61" s="3316" t="s">
        <v>1374</v>
      </c>
      <c r="L61" s="3316"/>
      <c r="M61" s="2325"/>
      <c r="N61" s="2326" t="e">
        <f ca="1">ROUND(N59*10000/'数据-汇总表'!E3,0)</f>
        <v>#VALUE!</v>
      </c>
      <c r="O61" s="2327"/>
    </row>
    <row r="62" spans="1:35" ht="12.75">
      <c r="A62" s="3335" t="s">
        <v>1375</v>
      </c>
      <c r="B62" s="3336"/>
      <c r="C62" s="1864"/>
      <c r="D62" s="1864" t="s">
        <v>1376</v>
      </c>
      <c r="E62" s="157" t="s">
        <v>1377</v>
      </c>
      <c r="F62" s="1669"/>
      <c r="G62" s="1669"/>
      <c r="H62" s="150"/>
      <c r="I62" s="120"/>
    </row>
    <row r="63" spans="1:35" ht="12.75">
      <c r="A63" s="164" t="s">
        <v>330</v>
      </c>
      <c r="B63" s="158" t="s">
        <v>1378</v>
      </c>
      <c r="C63" s="2348">
        <f ca="1">ROUND((C64+C65)/(1+'数据-取费表'!C42),0)</f>
        <v>13470</v>
      </c>
      <c r="D63" s="158"/>
      <c r="E63" s="159"/>
      <c r="F63" s="1669"/>
      <c r="G63" s="1669"/>
      <c r="H63" s="150"/>
      <c r="I63" s="120"/>
      <c r="J63" s="3299" t="s">
        <v>1379</v>
      </c>
      <c r="K63" s="1244" t="s">
        <v>1380</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1381</v>
      </c>
      <c r="C64" s="2349">
        <f ca="1">D45</f>
        <v>14144</v>
      </c>
      <c r="D64" s="161" t="s">
        <v>26</v>
      </c>
      <c r="E64" s="163"/>
      <c r="F64" s="1669"/>
      <c r="G64" s="1669"/>
      <c r="H64" s="150"/>
      <c r="I64" s="120"/>
      <c r="J64" s="329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1383</v>
      </c>
      <c r="Z64" s="1622"/>
      <c r="AI64" s="1560"/>
    </row>
    <row r="65" spans="1:35" ht="14.25" customHeight="1">
      <c r="A65" s="160" t="s">
        <v>326</v>
      </c>
      <c r="B65" s="161" t="s">
        <v>1384</v>
      </c>
      <c r="C65" s="2350"/>
      <c r="D65" s="161"/>
      <c r="E65" s="163"/>
      <c r="F65" s="1669"/>
      <c r="G65" s="1669"/>
      <c r="H65" s="150"/>
      <c r="I65" s="120"/>
      <c r="J65" s="3299"/>
      <c r="K65" s="1244" t="s">
        <v>1385</v>
      </c>
      <c r="L65" s="1244" t="e">
        <f>IF(M49&gt;1000,M49*0.1%,IF(AND(M49&gt;500,M49&lt;=1000),M49*0.5%,IF(AND(M49&gt;50,M49&lt;=500),M49*1%,IF(AND(M49&gt;1,M49&lt;=50),M49*1.5%))))</f>
        <v>#VALUE!</v>
      </c>
      <c r="M65" s="293" t="e">
        <f t="shared" si="1"/>
        <v>#VALUE!</v>
      </c>
      <c r="N65" s="2329" t="s">
        <v>1383</v>
      </c>
      <c r="Z65" s="1622"/>
      <c r="AI65" s="1560"/>
    </row>
    <row r="66" spans="1:35" ht="14.25" customHeight="1">
      <c r="A66" s="164" t="s">
        <v>327</v>
      </c>
      <c r="B66" s="165" t="s">
        <v>1386</v>
      </c>
      <c r="C66" s="2351"/>
      <c r="D66" s="165" t="s">
        <v>26</v>
      </c>
      <c r="E66" s="1250" t="s">
        <v>671</v>
      </c>
      <c r="F66" s="1669"/>
      <c r="G66" s="1669"/>
      <c r="H66" s="150"/>
      <c r="I66" s="120"/>
      <c r="J66" s="3299"/>
      <c r="K66" s="1244" t="s">
        <v>1387</v>
      </c>
      <c r="L66" s="1244" t="e">
        <f>M49*0.5%</f>
        <v>#VALUE!</v>
      </c>
      <c r="M66" s="293" t="e">
        <f>IF(L66&gt;0.5,0.5,ROUND(L66,0))</f>
        <v>#VALUE!</v>
      </c>
      <c r="N66" s="2329" t="s">
        <v>1388</v>
      </c>
      <c r="Z66" s="1622"/>
      <c r="AI66" s="1560"/>
    </row>
    <row r="67" spans="1:35" ht="14.25" customHeight="1">
      <c r="A67" s="164" t="s">
        <v>328</v>
      </c>
      <c r="B67" s="165" t="s">
        <v>1389</v>
      </c>
      <c r="C67" s="2352">
        <f ca="1">C63-C66</f>
        <v>13470</v>
      </c>
      <c r="D67" s="161" t="s">
        <v>26</v>
      </c>
      <c r="E67" s="163"/>
      <c r="F67" s="1669"/>
      <c r="G67" s="1669"/>
      <c r="H67" s="150"/>
      <c r="I67" s="120"/>
      <c r="J67" s="329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1391</v>
      </c>
      <c r="C68" s="2353">
        <f ca="1">IF(C67&lt;=0,0,ROUND(C67*D68,0))</f>
        <v>754</v>
      </c>
      <c r="D68" s="2354">
        <f>'数据-取费表'!B41</f>
        <v>5.6000000000000001E-2</v>
      </c>
      <c r="E68" s="169"/>
      <c r="F68" s="1669"/>
      <c r="G68" s="1669"/>
      <c r="H68" s="150"/>
      <c r="I68" s="120"/>
      <c r="J68" s="3299"/>
      <c r="K68" s="1244" t="s">
        <v>1392</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299"/>
      <c r="K69" s="1244" t="s">
        <v>1393</v>
      </c>
      <c r="L69" s="1244"/>
      <c r="M69" s="293" t="e">
        <f>ROUND(SUM(M63:M68),0)</f>
        <v>#VALUE!</v>
      </c>
      <c r="N69" s="2330" t="e">
        <f>M69/M49</f>
        <v>#VALUE!</v>
      </c>
      <c r="Z69" s="1622"/>
      <c r="AI69" s="1560"/>
    </row>
    <row r="70" spans="1:35" s="641" customFormat="1" ht="15" thickBot="1">
      <c r="A70" s="3343" t="s">
        <v>1394</v>
      </c>
      <c r="B70" s="3344"/>
      <c r="C70" s="3344"/>
      <c r="D70" s="3344"/>
      <c r="E70" s="3344"/>
      <c r="F70" s="3344"/>
      <c r="G70" s="3344"/>
      <c r="H70" s="3344"/>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35" t="s">
        <v>1375</v>
      </c>
      <c r="B71" s="3336"/>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2">
        <f ca="1">ROUND(D45/(1+'数据-取费表'!C42),0)</f>
        <v>13470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2">
        <f ca="1">C74+C78</f>
        <v>81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40" t="s">
        <v>1402</v>
      </c>
      <c r="F76" s="3339"/>
      <c r="G76" s="3339"/>
      <c r="H76" s="334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81</v>
      </c>
      <c r="D78" s="2361">
        <f>'数据-取费表'!B43</f>
        <v>6.000000000000001E-3</v>
      </c>
      <c r="E78" s="3332" t="s">
        <v>1406</v>
      </c>
      <c r="F78" s="3333"/>
      <c r="G78" s="3333"/>
      <c r="H78" s="333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2">
        <f ca="1">C72-C73</f>
        <v>13389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165.2962962962963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3">
        <f ca="1">ROUND(IF(C79&lt;=0,0,IF(C80&gt;=200%,C79*60%-C73*35%,IF(C80&gt;=100%,C79*50%-C73*15%,IF(C80&gt;=50%,C79*40%-C73*5%,IF(C80&lt;50%,C79*30%,0))))),0)</f>
        <v>8005</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43" t="s">
        <v>1410</v>
      </c>
      <c r="B83" s="3344"/>
      <c r="C83" s="3344"/>
      <c r="D83" s="3344"/>
      <c r="E83" s="3344"/>
      <c r="F83" s="3344"/>
      <c r="G83" s="3344"/>
      <c r="H83" s="334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35" t="s">
        <v>1375</v>
      </c>
      <c r="B84" s="3336"/>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2">
        <f ca="1">ROUND(D45/(1+'数据-取费表'!C42),0)</f>
        <v>13470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2">
        <f ca="1">IF(H88="仅含出让金",C87+C90+C91+C92+C93+C94,C87+C91+C92+C93+C94)</f>
        <v>81</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6"/>
      <c r="D88" s="2361"/>
      <c r="E88" s="184" t="s">
        <v>1413</v>
      </c>
      <c r="F88" s="2147"/>
      <c r="G88" s="185" t="s">
        <v>1414</v>
      </c>
      <c r="H88" s="1683"/>
      <c r="I88" s="1680"/>
      <c r="J88" s="2306"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6"/>
      <c r="D90" s="2361"/>
      <c r="E90" s="184" t="str">
        <f>IF(H88="-","土地取得成本中已包含该笔费用"," ")</f>
        <v xml:space="preserve"> </v>
      </c>
      <c r="F90" s="2147"/>
      <c r="G90" s="3301" t="s">
        <v>2128</v>
      </c>
      <c r="H90" s="3302"/>
      <c r="I90" s="1680"/>
      <c r="J90" s="2306"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332" t="s">
        <v>1419</v>
      </c>
      <c r="F91" s="3333"/>
      <c r="G91" s="333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332" t="s">
        <v>1422</v>
      </c>
      <c r="F92" s="3333"/>
      <c r="G92" s="3333"/>
      <c r="H92" s="3334"/>
      <c r="I92" s="1680"/>
      <c r="J92" s="2307"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81</v>
      </c>
      <c r="D93" s="2361">
        <f>'数据-取费表'!B43</f>
        <v>6.000000000000001E-3</v>
      </c>
      <c r="E93" s="3332" t="s">
        <v>1406</v>
      </c>
      <c r="F93" s="3333"/>
      <c r="G93" s="3333"/>
      <c r="H93" s="333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77" t="s">
        <v>1426</v>
      </c>
      <c r="F94" s="3378"/>
      <c r="G94" s="3378"/>
      <c r="H94" s="337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2">
        <f ca="1">ROUND(C85-C86,0)</f>
        <v>13389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165.2962962962963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3">
        <f ca="1">ROUND(IF(C95&lt;=0,0,IF(C96&gt;=200%,C95*60%-C86*35%,IF(C96&gt;=100%,C95*50%-C86*15%,IF(C96&gt;=50%,C95*40%-C86*5%,IF(C96&lt;50%,C95*30%,0))))),0)</f>
        <v>8005</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82" t="s">
        <v>1428</v>
      </c>
      <c r="B100" s="3283"/>
      <c r="C100" s="3283"/>
      <c r="D100" s="3317"/>
      <c r="E100" s="3283" t="s">
        <v>1429</v>
      </c>
      <c r="F100" s="3283"/>
      <c r="G100" s="3283"/>
      <c r="H100" s="3317"/>
      <c r="I100" s="120"/>
    </row>
    <row r="101" spans="1:35" ht="18.75" customHeight="1">
      <c r="A101" s="3325" t="s">
        <v>1430</v>
      </c>
      <c r="B101" s="3326"/>
      <c r="C101" s="2369" t="str">
        <f>C4</f>
        <v>成本法</v>
      </c>
      <c r="D101" s="2370" t="str">
        <f>D4</f>
        <v>收益法</v>
      </c>
      <c r="E101" s="3295" t="s">
        <v>1431</v>
      </c>
      <c r="F101" s="3296"/>
      <c r="G101" s="1686" t="s">
        <v>1432</v>
      </c>
      <c r="H101" s="2379">
        <f ca="1">H118</f>
        <v>14144</v>
      </c>
      <c r="I101" s="120"/>
    </row>
    <row r="102" spans="1:35" ht="18.75" customHeight="1">
      <c r="A102" s="3327" t="s">
        <v>1433</v>
      </c>
      <c r="B102" s="2368" t="s">
        <v>1432</v>
      </c>
      <c r="C102" s="2369">
        <f ca="1">IF(D32="楼面单价",ROUND(C19,0),C19)</f>
        <v>16658</v>
      </c>
      <c r="D102" s="2370">
        <f ca="1">IF(D32="楼面单价",ROUND(D19,0),D19)</f>
        <v>8279</v>
      </c>
      <c r="E102" s="3295"/>
      <c r="F102" s="3296"/>
      <c r="G102" s="1686" t="s">
        <v>1434</v>
      </c>
      <c r="H102" s="2339">
        <f ca="1">I118</f>
        <v>28472</v>
      </c>
      <c r="I102" s="120"/>
    </row>
    <row r="103" spans="1:35" ht="42.75" customHeight="1">
      <c r="A103" s="3327"/>
      <c r="B103" s="2368" t="s">
        <v>1434</v>
      </c>
      <c r="C103" s="2371">
        <f ca="1">C20</f>
        <v>33533</v>
      </c>
      <c r="D103" s="2372">
        <f ca="1">D20</f>
        <v>16666</v>
      </c>
      <c r="E103" s="3288" t="s">
        <v>1435</v>
      </c>
      <c r="F103" s="3289"/>
      <c r="G103" s="1687" t="s">
        <v>1436</v>
      </c>
      <c r="H103" s="2379">
        <f>IF(D36="正常操作",H104+H105+H106,H105+H106)</f>
        <v>0</v>
      </c>
      <c r="I103" s="120"/>
    </row>
    <row r="104" spans="1:35" ht="18.75" customHeight="1">
      <c r="A104" s="3327" t="s">
        <v>1437</v>
      </c>
      <c r="B104" s="2373" t="s">
        <v>1432</v>
      </c>
      <c r="C104" s="2374">
        <f ca="1">H118</f>
        <v>14144</v>
      </c>
      <c r="D104" s="2375"/>
      <c r="E104" s="1554" t="s">
        <v>1438</v>
      </c>
      <c r="F104" s="1547"/>
      <c r="G104" s="1687" t="s">
        <v>1436</v>
      </c>
      <c r="H104" s="2380">
        <f>IF(D36="同一抵押权人同一抵押物续贷",C36&amp;"（续贷，未扣减，详见特别提示）",C36)</f>
        <v>0</v>
      </c>
      <c r="I104" s="120"/>
    </row>
    <row r="105" spans="1:35" ht="18.75" customHeight="1" thickBot="1">
      <c r="A105" s="3337"/>
      <c r="B105" s="2376" t="s">
        <v>1434</v>
      </c>
      <c r="C105" s="2377">
        <f ca="1">I118</f>
        <v>28472</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28" t="str">
        <f>IF(项目基本情况!E8="已注销","——","3.房地产抵押价值")</f>
        <v>3.房地产抵押价值</v>
      </c>
      <c r="F107" s="3296"/>
      <c r="G107" s="1686" t="s">
        <v>1432</v>
      </c>
      <c r="H107" s="2379">
        <f ca="1">IF(E107="——","——",H101-H103)</f>
        <v>14144</v>
      </c>
      <c r="I107" s="120"/>
    </row>
    <row r="108" spans="1:35" ht="18.75" customHeight="1">
      <c r="A108" s="120"/>
      <c r="B108" s="120"/>
      <c r="C108" s="120"/>
      <c r="D108" s="120"/>
      <c r="E108" s="3328"/>
      <c r="F108" s="3296"/>
      <c r="G108" s="1686" t="s">
        <v>1434</v>
      </c>
      <c r="H108" s="2339">
        <f ca="1">IF(H107=H101,H102,ROUND(H107*10000/'数据-汇总表'!E3,0))</f>
        <v>28472</v>
      </c>
      <c r="I108" s="120"/>
    </row>
    <row r="109" spans="1:35" ht="18.75" customHeight="1">
      <c r="A109" s="120"/>
      <c r="B109" s="120"/>
      <c r="C109" s="120"/>
      <c r="D109" s="120"/>
      <c r="E109" s="3328" t="str">
        <f>IF(项目基本情况!E8="已注销及未注销","4.抵押担保权已注销时的房地产抵押价值",IF(项目基本情况!E8="已注销","3.抵押担保权已注销时的房地产抵押价值","——"))</f>
        <v>——</v>
      </c>
      <c r="F109" s="3296"/>
      <c r="G109" s="1686" t="s">
        <v>1432</v>
      </c>
      <c r="H109" s="2382" t="str">
        <f>IF(E109="——","——",H101-H105-H106)</f>
        <v>——</v>
      </c>
      <c r="I109" s="120"/>
    </row>
    <row r="110" spans="1:35" ht="18.75" customHeight="1">
      <c r="A110" s="120"/>
      <c r="B110" s="120"/>
      <c r="C110" s="120"/>
      <c r="D110" s="120"/>
      <c r="E110" s="3328"/>
      <c r="F110" s="3296"/>
      <c r="G110" s="1686" t="s">
        <v>1434</v>
      </c>
      <c r="H110" s="2339" t="str">
        <f>IF(H109="——","——",ROUND(H109*10000/'数据-汇总表'!E3,0))</f>
        <v>——</v>
      </c>
      <c r="I110" s="120"/>
    </row>
    <row r="111" spans="1:35" ht="18.75" customHeight="1">
      <c r="A111" s="120"/>
      <c r="B111" s="120"/>
      <c r="C111" s="120"/>
      <c r="D111" s="120"/>
      <c r="E111" s="3329" t="str">
        <f>IF(项目基本情况!E9="抵押净值",IF(OR(项目基本情况!E8="已注销",项目基本情况!E8="房地产抵押价值"),"4.抵押净值","5.抵押净值"),"——")</f>
        <v>——</v>
      </c>
      <c r="F111" s="3315"/>
      <c r="G111" s="1686" t="s">
        <v>1432</v>
      </c>
      <c r="H111" s="2379" t="str">
        <f>IF(E111="——","——",N59)</f>
        <v>——</v>
      </c>
      <c r="I111" s="120"/>
    </row>
    <row r="112" spans="1:35" ht="18.75" customHeight="1" thickBot="1">
      <c r="A112" s="120"/>
      <c r="B112" s="120"/>
      <c r="C112" s="120"/>
      <c r="D112" s="120"/>
      <c r="E112" s="3330"/>
      <c r="F112" s="3331"/>
      <c r="G112" s="1689" t="s">
        <v>1434</v>
      </c>
      <c r="H112" s="2383" t="str">
        <f>IF(E111="——","——",N61)</f>
        <v>——</v>
      </c>
      <c r="I112" s="120"/>
    </row>
    <row r="113" spans="1:27" ht="18.75" customHeight="1">
      <c r="A113" s="120"/>
      <c r="B113" s="120"/>
      <c r="C113" s="120"/>
      <c r="D113" s="120"/>
      <c r="E113" s="3338" t="s">
        <v>1440</v>
      </c>
      <c r="F113" s="3338"/>
      <c r="G113" s="3338"/>
      <c r="H113" s="3338"/>
      <c r="I113" s="120"/>
    </row>
    <row r="114" spans="1:27" ht="3.75" customHeight="1">
      <c r="A114" s="645"/>
      <c r="B114" s="645"/>
      <c r="C114" s="645"/>
      <c r="D114" s="645"/>
      <c r="E114" s="1670"/>
      <c r="F114" s="1670"/>
      <c r="G114" s="1670"/>
      <c r="H114" s="1670"/>
      <c r="I114" s="645"/>
    </row>
    <row r="115" spans="1:27" ht="18.75" customHeight="1">
      <c r="A115" s="3346" t="s">
        <v>1442</v>
      </c>
      <c r="B115" s="3347"/>
      <c r="C115" s="3347"/>
      <c r="D115" s="3347"/>
      <c r="E115" s="3347"/>
      <c r="F115" s="3347"/>
      <c r="G115" s="3347"/>
      <c r="H115" s="3347"/>
      <c r="I115" s="3348"/>
    </row>
    <row r="116" spans="1:27" ht="27" customHeight="1">
      <c r="A116" s="3303" t="s">
        <v>1443</v>
      </c>
      <c r="B116" s="3307" t="s">
        <v>1444</v>
      </c>
      <c r="C116" s="3307" t="s">
        <v>1445</v>
      </c>
      <c r="D116" s="3313" t="s">
        <v>1446</v>
      </c>
      <c r="E116" s="3314"/>
      <c r="F116" s="3345" t="s">
        <v>1447</v>
      </c>
      <c r="G116" s="3345"/>
      <c r="H116" s="3303" t="s">
        <v>1448</v>
      </c>
      <c r="I116" s="3303"/>
    </row>
    <row r="117" spans="1:27" ht="18.75" customHeight="1">
      <c r="A117" s="3303"/>
      <c r="B117" s="3308"/>
      <c r="C117" s="3308"/>
      <c r="D117" s="2149" t="s">
        <v>1449</v>
      </c>
      <c r="E117" s="2149" t="s">
        <v>1450</v>
      </c>
      <c r="F117" s="2149" t="s">
        <v>1449</v>
      </c>
      <c r="G117" s="2149" t="s">
        <v>1451</v>
      </c>
      <c r="H117" s="2149" t="s">
        <v>1449</v>
      </c>
      <c r="I117" s="2149" t="s">
        <v>1451</v>
      </c>
    </row>
    <row r="118" spans="1:27" ht="24.75" customHeight="1">
      <c r="A118" s="2384" t="str">
        <f>项目基本情况!S2</f>
        <v>北京市朝阳区日坛北路17号院2号楼房地产</v>
      </c>
      <c r="B118" s="2149">
        <f>M18</f>
        <v>4967.6099999999997</v>
      </c>
      <c r="C118" s="2149">
        <f>M19</f>
        <v>0</v>
      </c>
      <c r="D118" s="2149">
        <f ca="1">ROUND(IF(D32="总价",C34,E118*B118/10000),0)</f>
        <v>11287</v>
      </c>
      <c r="E118" s="2149">
        <f ca="1">ROUND(IF(C33="自定义",IF(D32="楼面单价",C34,D118*10000/B118),I118-G118),0)</f>
        <v>22721</v>
      </c>
      <c r="F118" s="2149">
        <f ca="1">ROUND(IF(D32="总价",C35,G118*B118/10000),0)</f>
        <v>2857</v>
      </c>
      <c r="G118" s="2149">
        <f ca="1">ROUND(IF(D32="楼面单价",C35,F118*10000/B118),0)</f>
        <v>5751</v>
      </c>
      <c r="H118" s="2149">
        <f ca="1">ROUND(IF(D32="总价",C32,I118*B118/10000),0)</f>
        <v>14144</v>
      </c>
      <c r="I118" s="2149">
        <f ca="1">ROUND(IF(D32="楼面单价",C32,H118*10000/B118),0)</f>
        <v>28472</v>
      </c>
    </row>
    <row r="119" spans="1:27" ht="18.75" customHeight="1">
      <c r="A119" s="3303" t="s">
        <v>1452</v>
      </c>
      <c r="B119" s="3303"/>
      <c r="C119" s="3303"/>
      <c r="D119" s="3309" t="str">
        <f ca="1">NUMBERSTRING(INT(D118*10000),2)&amp;"元整"</f>
        <v>壹亿壹仟贰佰捌拾柒万元整</v>
      </c>
      <c r="E119" s="3310"/>
      <c r="F119" s="3309" t="str">
        <f ca="1">NUMBERSTRING(INT(F118*10000),2)&amp;"元整"</f>
        <v>贰仟捌佰伍拾柒万元整</v>
      </c>
      <c r="G119" s="3310"/>
      <c r="H119" s="3309" t="str">
        <f ca="1">NUMBERSTRING(INT(H118*10000),2)&amp;"元整"</f>
        <v>壹亿肆仟壹佰肆拾肆万元整</v>
      </c>
      <c r="I119" s="3310"/>
    </row>
    <row r="120" spans="1:27" ht="18.75" customHeight="1">
      <c r="A120" s="3304" t="str">
        <f>IF(项目基本情况!B9="房地产市场价值","",MID(E103,3,LEN(E103)-2))</f>
        <v>估价师知悉的法定优先受偿款</v>
      </c>
      <c r="B120" s="3305"/>
      <c r="C120" s="3306"/>
      <c r="D120" s="3304">
        <f>H103</f>
        <v>0</v>
      </c>
      <c r="E120" s="3305"/>
      <c r="F120" s="3305"/>
      <c r="G120" s="3305"/>
      <c r="H120" s="3305"/>
      <c r="I120" s="330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9" t="s">
        <v>1452</v>
      </c>
      <c r="B121" s="3311"/>
      <c r="C121" s="3310"/>
      <c r="D121" s="3309" t="str">
        <f>IF(D120=0,"零元整",NUMBERSTRING(INT(D120*10000),2)&amp;"元整")</f>
        <v>零元整</v>
      </c>
      <c r="E121" s="3311"/>
      <c r="F121" s="3311"/>
      <c r="G121" s="3311"/>
      <c r="H121" s="3311"/>
      <c r="I121" s="3310"/>
      <c r="AA121" s="683"/>
    </row>
    <row r="122" spans="1:27" ht="18.75" customHeight="1">
      <c r="A122" s="3315" t="str">
        <f>IF(项目基本情况!B9="房地产市场价值","",MID(E107,3,LEN(E107)-2))</f>
        <v>房地产抵押价值</v>
      </c>
      <c r="B122" s="3315"/>
      <c r="C122" s="3315"/>
      <c r="D122" s="3304">
        <f ca="1">H107</f>
        <v>14144</v>
      </c>
      <c r="E122" s="3305"/>
      <c r="F122" s="3305"/>
      <c r="G122" s="3305"/>
      <c r="H122" s="3305"/>
      <c r="I122" s="3306"/>
      <c r="AA122" s="683"/>
    </row>
    <row r="123" spans="1:27" ht="18.75" customHeight="1">
      <c r="A123" s="3303" t="s">
        <v>1452</v>
      </c>
      <c r="B123" s="3303"/>
      <c r="C123" s="3303"/>
      <c r="D123" s="3309" t="str">
        <f ca="1">NUMBERSTRING(INT(D122*10000),2)&amp;"元整"</f>
        <v>壹亿肆仟壹佰肆拾肆万元整</v>
      </c>
      <c r="E123" s="3311"/>
      <c r="F123" s="3311"/>
      <c r="G123" s="3311"/>
      <c r="H123" s="3311"/>
      <c r="I123" s="3310"/>
      <c r="AA123" s="683"/>
    </row>
    <row r="124" spans="1:27" ht="18.75" customHeight="1">
      <c r="A124" s="3315" t="str">
        <f>IF(项目基本情况!B9="房地产市场价值","",MID(E109,3,LEN(E109)-2))</f>
        <v/>
      </c>
      <c r="B124" s="3315"/>
      <c r="C124" s="3315"/>
      <c r="D124" s="3304" t="str">
        <f>H109</f>
        <v>——</v>
      </c>
      <c r="E124" s="3305"/>
      <c r="F124" s="3305"/>
      <c r="G124" s="3305"/>
      <c r="H124" s="3305"/>
      <c r="I124" s="3306"/>
      <c r="AA124" s="683"/>
    </row>
    <row r="125" spans="1:27" ht="18.75" customHeight="1">
      <c r="A125" s="3303" t="s">
        <v>1452</v>
      </c>
      <c r="B125" s="3303"/>
      <c r="C125" s="3303"/>
      <c r="D125" s="3309" t="e">
        <f>NUMBERSTRING(INT(D124*10000),2)&amp;"元整"</f>
        <v>#VALUE!</v>
      </c>
      <c r="E125" s="3311"/>
      <c r="F125" s="3311"/>
      <c r="G125" s="3311"/>
      <c r="H125" s="3311"/>
      <c r="I125" s="3310"/>
      <c r="AA125" s="683"/>
    </row>
    <row r="126" spans="1:27" ht="18.75" customHeight="1">
      <c r="A126" s="3315" t="str">
        <f>IF(项目基本情况!B9="房地产市场价值","",MID(E111,3,LEN(E111)-2))</f>
        <v/>
      </c>
      <c r="B126" s="3315"/>
      <c r="C126" s="3315"/>
      <c r="D126" s="3304" t="str">
        <f>H111</f>
        <v>——</v>
      </c>
      <c r="E126" s="3305"/>
      <c r="F126" s="3305"/>
      <c r="G126" s="3305"/>
      <c r="H126" s="3305"/>
      <c r="I126" s="3306"/>
      <c r="AA126" s="683"/>
    </row>
    <row r="127" spans="1:27" ht="18.75" customHeight="1">
      <c r="A127" s="3303" t="s">
        <v>1452</v>
      </c>
      <c r="B127" s="3303"/>
      <c r="C127" s="3303"/>
      <c r="D127" s="3309" t="e">
        <f>NUMBERSTRING(INT(D126*10000),2)&amp;"元整"</f>
        <v>#VALUE!</v>
      </c>
      <c r="E127" s="3311"/>
      <c r="F127" s="3311"/>
      <c r="G127" s="3311"/>
      <c r="H127" s="3311"/>
      <c r="I127" s="3310"/>
      <c r="AA127" s="683"/>
    </row>
    <row r="128" spans="1:27" ht="21.75" customHeight="1">
      <c r="A128" s="3312" t="s">
        <v>1453</v>
      </c>
      <c r="B128" s="3312"/>
      <c r="C128" s="3312"/>
      <c r="D128" s="3312"/>
      <c r="E128" s="3312"/>
      <c r="F128" s="3312"/>
      <c r="G128" s="3312"/>
      <c r="H128" s="3312"/>
      <c r="I128" s="331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00" t="str">
        <f>项目基本情况!B1</f>
        <v>北京市朝阳区日坛北路17号院2号楼房地产抵押价值预评估</v>
      </c>
      <c r="C37" s="3200"/>
      <c r="D37" s="3200"/>
      <c r="E37" s="3200"/>
      <c r="F37" s="3200"/>
      <c r="G37" s="3200"/>
      <c r="H37" s="3200"/>
      <c r="I37" s="320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6" sqref="V6:V1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32630</v>
      </c>
      <c r="N1" s="812">
        <f>SUMPRODUCT((因素修正幅度!B5:B9=I2)*(因素修正幅度!C3:G3=E2)*(因素修正幅度!C5:G9))</f>
        <v>8.1000000000000003E-2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9319</v>
      </c>
      <c r="C2" s="1845" t="s">
        <v>1935</v>
      </c>
      <c r="D2" s="161" t="s">
        <v>1936</v>
      </c>
      <c r="E2" s="3117" t="s">
        <v>673</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31978</v>
      </c>
      <c r="U2" s="1129"/>
      <c r="V2" s="3061">
        <f>ROUND(T2*U2/10000,0)</f>
        <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5" t="s">
        <v>2440</v>
      </c>
      <c r="F3" s="1847" t="s">
        <v>3531</v>
      </c>
      <c r="G3" s="707">
        <f>IF(F3="宗地容积率",'数据-汇总表'!I4,IF(F3="估价对象容积率",'数据-汇总表'!I6,'数据-汇总表'!I7))</f>
        <v>3.5</v>
      </c>
      <c r="H3" s="161" t="s">
        <v>1943</v>
      </c>
      <c r="I3" s="728">
        <v>5</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25387</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389"/>
      <c r="B4" s="3390"/>
      <c r="C4" s="3390"/>
      <c r="D4" s="3391"/>
      <c r="E4" s="3391"/>
      <c r="F4" s="3391"/>
      <c r="G4" s="3391"/>
      <c r="H4" s="3391"/>
      <c r="I4" s="3391"/>
      <c r="J4" s="339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21936</v>
      </c>
      <c r="U4" s="1129"/>
      <c r="V4" s="3061">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32613</v>
      </c>
      <c r="D5" s="1251">
        <f>ROUND(C6*C17+C20,0)</f>
        <v>32613</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19850</v>
      </c>
      <c r="U5" s="1129"/>
      <c r="V5" s="3061">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32630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18918</v>
      </c>
      <c r="U6" s="1129">
        <f>Sheet1!H13+Sheet1!H14+Sheet1!H15</f>
        <v>2638.48</v>
      </c>
      <c r="V6" s="3061">
        <f t="shared" si="1"/>
        <v>4991</v>
      </c>
      <c r="W6" s="1132"/>
      <c r="X6" s="1132"/>
      <c r="Y6" s="1132"/>
      <c r="Z6" s="1132"/>
      <c r="AA6" s="1132"/>
      <c r="AB6" s="1132"/>
      <c r="AC6" s="1854"/>
      <c r="AD6" s="1855"/>
      <c r="AE6" s="1855"/>
      <c r="AF6" s="1855"/>
      <c r="AG6" s="1855"/>
      <c r="AH6" s="1855"/>
      <c r="AI6" s="1855"/>
      <c r="AJ6" s="1856"/>
    </row>
    <row r="7" spans="1:36" ht="24.75" thickBot="1">
      <c r="A7" s="3010" t="s">
        <v>3232</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98">
        <v>0.89219999999999999</v>
      </c>
      <c r="T7" s="3061">
        <f t="shared" si="0"/>
        <v>18763</v>
      </c>
      <c r="U7" s="1129"/>
      <c r="V7" s="3061">
        <f t="shared" si="1"/>
        <v>0</v>
      </c>
      <c r="W7" s="1266" t="s">
        <v>1955</v>
      </c>
      <c r="X7" s="1130" t="str">
        <f>G2</f>
        <v>一级</v>
      </c>
      <c r="Y7" s="1130" t="s">
        <v>1956</v>
      </c>
      <c r="Z7" s="1131">
        <f>G3</f>
        <v>3.5</v>
      </c>
      <c r="AA7" s="1132"/>
      <c r="AB7" s="1132"/>
      <c r="AC7" s="1133"/>
      <c r="AD7" s="1134"/>
      <c r="AE7" s="1134"/>
      <c r="AF7" s="1134"/>
      <c r="AG7" s="1134"/>
      <c r="AH7" s="1134"/>
      <c r="AI7" s="1134"/>
      <c r="AJ7" s="1135"/>
    </row>
    <row r="8" spans="1:36" ht="25.5">
      <c r="A8" s="3007"/>
      <c r="B8" s="161" t="s">
        <v>1957</v>
      </c>
      <c r="C8" s="1869" t="s">
        <v>3540</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3199">
        <v>0.89149999999999996</v>
      </c>
      <c r="T8" s="3061">
        <f t="shared" si="0"/>
        <v>18748</v>
      </c>
      <c r="U8" s="1129"/>
      <c r="V8" s="3061">
        <f t="shared" si="1"/>
        <v>0</v>
      </c>
      <c r="W8" s="3386" t="s">
        <v>1960</v>
      </c>
      <c r="X8" s="338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3199">
        <v>0.89059999999999995</v>
      </c>
      <c r="T9" s="3061">
        <f t="shared" si="0"/>
        <v>18729</v>
      </c>
      <c r="U9" s="1129">
        <f>Sheet1!H7</f>
        <v>185.19</v>
      </c>
      <c r="V9" s="3061">
        <f t="shared" si="1"/>
        <v>347</v>
      </c>
      <c r="W9" s="3388"/>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3199">
        <v>0.88970000000000005</v>
      </c>
      <c r="T10" s="3061">
        <f t="shared" si="0"/>
        <v>18710</v>
      </c>
      <c r="U10" s="1129">
        <f>Sheet1!H8</f>
        <v>185.19</v>
      </c>
      <c r="V10" s="3061">
        <f t="shared" si="1"/>
        <v>346</v>
      </c>
      <c r="W10" s="33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3199">
        <v>0.88859999999999995</v>
      </c>
      <c r="T11" s="3061">
        <f t="shared" si="0"/>
        <v>18687</v>
      </c>
      <c r="U11" s="1129">
        <f>Sheet1!H9</f>
        <v>185.19</v>
      </c>
      <c r="V11" s="3061">
        <f t="shared" si="1"/>
        <v>346</v>
      </c>
      <c r="W11" s="1132"/>
      <c r="X11" s="1132"/>
      <c r="Y11" s="1132"/>
      <c r="Z11" s="1132"/>
      <c r="AA11" s="1132"/>
      <c r="AB11" s="1132"/>
      <c r="AC11" s="1133"/>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3199">
        <v>0.88739999999999997</v>
      </c>
      <c r="T12" s="3061">
        <f t="shared" si="0"/>
        <v>18662</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3237</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3199">
        <v>0.8861</v>
      </c>
      <c r="T13" s="3061">
        <f t="shared" si="0"/>
        <v>18634</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3238</v>
      </c>
      <c r="G14" s="3018" t="s">
        <v>3238</v>
      </c>
      <c r="H14" s="3018" t="s">
        <v>3238</v>
      </c>
      <c r="I14" s="3018" t="s">
        <v>3238</v>
      </c>
      <c r="J14" s="3018" t="s">
        <v>3238</v>
      </c>
      <c r="K14" s="1055"/>
      <c r="L14" s="1055"/>
      <c r="M14" s="1055"/>
      <c r="N14" s="1055"/>
      <c r="O14" s="1055"/>
      <c r="P14" s="1055"/>
      <c r="Q14" s="1055"/>
      <c r="R14" s="1128">
        <v>13</v>
      </c>
      <c r="S14" s="3199">
        <v>0.88470000000000004</v>
      </c>
      <c r="T14" s="3061">
        <f t="shared" si="0"/>
        <v>18605</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3239</v>
      </c>
      <c r="G15" s="1927"/>
      <c r="H15" s="3019"/>
      <c r="I15" s="3020"/>
      <c r="J15" s="3021"/>
      <c r="K15" s="1055"/>
      <c r="L15" s="1055"/>
      <c r="M15" s="1055"/>
      <c r="N15" s="1055"/>
      <c r="O15" s="1055"/>
      <c r="P15" s="1055"/>
      <c r="Q15" s="1055"/>
      <c r="R15" s="1128">
        <v>14</v>
      </c>
      <c r="S15" s="3199">
        <v>0.8831</v>
      </c>
      <c r="T15" s="3061">
        <f t="shared" si="0"/>
        <v>18571</v>
      </c>
      <c r="U15" s="1129">
        <f>Sheet1!H10</f>
        <v>410.04</v>
      </c>
      <c r="V15" s="3061">
        <f t="shared" si="1"/>
        <v>761</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3199">
        <v>0.88149999999999995</v>
      </c>
      <c r="T16" s="3061">
        <f t="shared" si="0"/>
        <v>18538</v>
      </c>
      <c r="U16" s="1129">
        <f>Sheet1!H11+Sheet1!H12</f>
        <v>1363.52</v>
      </c>
      <c r="V16" s="3061">
        <f t="shared" si="1"/>
        <v>2528</v>
      </c>
      <c r="W16" s="1132"/>
      <c r="X16" s="1132"/>
      <c r="Y16" s="1132"/>
      <c r="Z16" s="1132"/>
      <c r="AA16" s="1132"/>
      <c r="AB16" s="1132"/>
      <c r="AC16" s="1133"/>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f>ROUND(G18/I18,2)</f>
        <v>0</v>
      </c>
      <c r="F17" s="3026" t="s">
        <v>3245</v>
      </c>
      <c r="G17" s="3034" t="e">
        <f>ROUND(E19/G19,2)</f>
        <v>#DIV/0!</v>
      </c>
      <c r="H17" s="3034"/>
      <c r="I17" s="3034"/>
      <c r="J17" s="3035"/>
      <c r="K17" s="1055"/>
      <c r="L17" s="1843"/>
      <c r="M17" s="1843"/>
      <c r="N17" s="1843"/>
      <c r="O17" s="1843"/>
      <c r="P17" s="1843"/>
      <c r="Q17" s="1055"/>
      <c r="R17" s="1055"/>
      <c r="S17" s="1963"/>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6"/>
      <c r="B18" s="2308"/>
      <c r="C18" s="3032"/>
      <c r="D18" s="3027" t="s">
        <v>3243</v>
      </c>
      <c r="E18" s="2355"/>
      <c r="F18" s="3028" t="s">
        <v>3246</v>
      </c>
      <c r="G18" s="3032">
        <f>ROUND(1-(1/(POWER(1+G24,E18))),4)</f>
        <v>0</v>
      </c>
      <c r="H18" s="3028" t="s">
        <v>3248</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8"/>
      <c r="B19" s="3039"/>
      <c r="C19" s="3040"/>
      <c r="D19" s="3040" t="s">
        <v>3244</v>
      </c>
      <c r="E19" s="3041"/>
      <c r="F19" s="3042" t="s">
        <v>3247</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4.25">
      <c r="A20" s="3393" t="s">
        <v>3249</v>
      </c>
      <c r="B20" s="158" t="s">
        <v>1994</v>
      </c>
      <c r="C20" s="3029">
        <f>ROUND(IF(F21="与级别开发程度一致",0,(G21-E21)/C21),0)</f>
        <v>-17</v>
      </c>
      <c r="D20" s="3044" t="s">
        <v>1998</v>
      </c>
      <c r="E20" s="3045"/>
      <c r="F20" s="3399" t="s">
        <v>1995</v>
      </c>
      <c r="G20" s="3400"/>
      <c r="H20" s="3030" t="s">
        <v>3532</v>
      </c>
      <c r="I20" s="3030" t="s">
        <v>3533</v>
      </c>
      <c r="J20" s="3031" t="s">
        <v>3534</v>
      </c>
      <c r="K20" s="1888" t="s">
        <v>3535</v>
      </c>
      <c r="L20" s="1888" t="s">
        <v>3536</v>
      </c>
      <c r="M20" s="1888" t="s">
        <v>3537</v>
      </c>
      <c r="N20" s="1888" t="s">
        <v>3538</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6.25" thickBot="1">
      <c r="A21" s="3394"/>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3539</v>
      </c>
      <c r="G21" s="1994">
        <f>SUM(H21:O21)</f>
        <v>315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50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0.9</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5" t="s">
        <v>2002</v>
      </c>
      <c r="E23" s="716">
        <v>44197</v>
      </c>
      <c r="F23" s="1895" t="s">
        <v>2003</v>
      </c>
      <c r="G23" s="717">
        <f>'数据-取费表'!B2</f>
        <v>45762</v>
      </c>
      <c r="H23" s="3046" t="s">
        <v>3251</v>
      </c>
      <c r="I23" s="3047" t="str">
        <f>IF(H23="季度增幅（自定义）",SUMIF(N25:N28,E2,O25:O28),"")</f>
        <v/>
      </c>
      <c r="J23" s="3138" t="s">
        <v>3250</v>
      </c>
      <c r="K23" s="1060"/>
      <c r="L23" s="1896" t="s">
        <v>2004</v>
      </c>
      <c r="M23" s="1240">
        <f>ROUND(SUMIF(地价!B2:G2,E2,地价!B16:G16),0)</f>
        <v>350</v>
      </c>
      <c r="N23" s="1897" t="s">
        <v>2005</v>
      </c>
      <c r="O23" s="718">
        <f>ROUNDDOWN(DATEDIF(E23,G23,"M")/3,0)</f>
        <v>17</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0.66620000000000001</v>
      </c>
      <c r="D24" s="1901" t="s">
        <v>2007</v>
      </c>
      <c r="E24" s="1247">
        <f>存贷款利率!E27/100</f>
        <v>4.3499999999999997E-2</v>
      </c>
      <c r="F24" s="1901" t="s">
        <v>1999</v>
      </c>
      <c r="G24" s="723">
        <f>SUMIF(M30:Q30,E2,M33:Q33)</f>
        <v>5.5E-2</v>
      </c>
      <c r="H24" s="1901" t="s">
        <v>2008</v>
      </c>
      <c r="I24" s="724">
        <f>SUMIF('数据-取费表'!C6:C15,E2,'数据-取费表'!F6:F15)/COUNTIF('数据-取费表'!C6:C15,E2)</f>
        <v>16.559999999999999</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3550</v>
      </c>
      <c r="C25" s="460">
        <f>IF(B25="容积率修正",IF(G3&lt;10,D26,J26),C27)</f>
        <v>0.89959999999999996</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3252</v>
      </c>
      <c r="D26" s="1262">
        <f>IF(E26=G26,F26,IF(G3&lt;10,ROUND(F26+(H26-F26)*(G3-E26)/(G26-E26),4),"——"))</f>
        <v>1</v>
      </c>
      <c r="E26" s="707">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0.89959999999999996</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1.0402</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9319</v>
      </c>
      <c r="D30" s="1924"/>
      <c r="E30" s="1841"/>
      <c r="F30" s="1925"/>
      <c r="G30" s="1841"/>
      <c r="H30" s="1841"/>
      <c r="I30" s="1841"/>
      <c r="J30" s="1926"/>
      <c r="K30" s="1055"/>
      <c r="L30" s="3053" t="s">
        <v>1936</v>
      </c>
      <c r="M30" s="3054" t="s">
        <v>1990</v>
      </c>
      <c r="N30" s="3054" t="s">
        <v>1991</v>
      </c>
      <c r="O30" s="3054" t="s">
        <v>1992</v>
      </c>
      <c r="P30" s="3054" t="s">
        <v>1993</v>
      </c>
      <c r="Q30" s="3057"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18918</v>
      </c>
      <c r="D33" s="1939"/>
      <c r="E33" s="726">
        <f>ROUND(C33*D33/10000,0)</f>
        <v>0</v>
      </c>
      <c r="F33" s="3048" t="s">
        <v>3255</v>
      </c>
      <c r="G33" s="1940"/>
      <c r="H33" s="1940"/>
      <c r="I33" s="1940"/>
      <c r="J33" s="1941"/>
      <c r="K33" s="1055"/>
      <c r="L33" s="3051" t="s">
        <v>3258</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1" t="s">
        <v>3259</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3260</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97"/>
      <c r="B37" s="1954" t="s">
        <v>2036</v>
      </c>
      <c r="C37" s="166">
        <f>ROUND(D5*C22*C23*C24*C28*F37,0)</f>
        <v>14721</v>
      </c>
      <c r="D37" s="1939"/>
      <c r="E37" s="162">
        <f>ROUND(C37*D37/10000,0)</f>
        <v>0</v>
      </c>
      <c r="F37" s="162">
        <f>SUMIF(修正!A57:A68,G2,修正!B57:B68)</f>
        <v>0.7</v>
      </c>
      <c r="G37" s="162">
        <f>ROUND(IF(E2="工业",C37*$M$42,C37*$M$41),0)</f>
        <v>3680</v>
      </c>
      <c r="H37" s="162">
        <f>D37</f>
        <v>0</v>
      </c>
      <c r="I37" s="162">
        <f>ROUND(G37*H37/10000,0)</f>
        <v>0</v>
      </c>
      <c r="J37" s="2752"/>
      <c r="K37" s="3059" t="s">
        <v>3261</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98"/>
      <c r="B38" s="1883" t="s">
        <v>2037</v>
      </c>
      <c r="C38" s="166">
        <f>ROUND(D5*C22*C23*C24*C28*F38,0)</f>
        <v>8412</v>
      </c>
      <c r="D38" s="1939"/>
      <c r="E38" s="162">
        <f t="shared" ref="E38:E42" si="4">ROUND(C38*D38/10000,0)</f>
        <v>0</v>
      </c>
      <c r="F38" s="162">
        <f>SUMIF(修正!A57:A68,G2,修正!C57:C68)</f>
        <v>0.4</v>
      </c>
      <c r="G38" s="162">
        <f>ROUND(IF(E2="工业",C38*$M$42,C38*$M$41),0)</f>
        <v>2103</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98"/>
      <c r="B39" s="1883" t="s">
        <v>3254</v>
      </c>
      <c r="C39" s="166">
        <f>ROUND(D5*C22*C23*C24*C28*F39,0)</f>
        <v>6309</v>
      </c>
      <c r="D39" s="1939"/>
      <c r="E39" s="162">
        <f t="shared" si="4"/>
        <v>0</v>
      </c>
      <c r="F39" s="162">
        <f>SUMIF(修正!A57:A68,G2,修正!D57:D68)</f>
        <v>0.3</v>
      </c>
      <c r="G39" s="162">
        <f>ROUND(IF(E2="工业",C39*$M$42,C39*$M$41),0)</f>
        <v>1577</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6309</v>
      </c>
      <c r="D40" s="1939"/>
      <c r="E40" s="162">
        <f t="shared" si="4"/>
        <v>0</v>
      </c>
      <c r="F40" s="166">
        <f>SUMIF(修正!A57:A68,G2,修正!E57:E68)</f>
        <v>0.3</v>
      </c>
      <c r="G40" s="162">
        <f>ROUND(IF(E2="工业",C40*$M$42,C40*$M$41),0)</f>
        <v>1577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0.3</v>
      </c>
      <c r="G41" s="162">
        <f>ROUND(IF(E2="工业",C41*$M$42,C41*$M$41),0)</f>
        <v>0</v>
      </c>
      <c r="H41" s="162">
        <f t="shared" si="5"/>
        <v>0</v>
      </c>
      <c r="I41" s="162">
        <f t="shared" si="6"/>
        <v>0</v>
      </c>
      <c r="J41" s="938"/>
      <c r="L41" s="3060" t="s">
        <v>3262</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0.2</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f>ROUND(POWER(1+E44,H44-G44)*(POWER(1+E44,G44)-1)/(POWER(1+E44,H44)-1),4)</f>
        <v>0</v>
      </c>
      <c r="D44" s="162" t="s">
        <v>1999</v>
      </c>
      <c r="E44" s="1990">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1.0402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t="s">
        <v>3430</v>
      </c>
      <c r="D50" s="1001">
        <f t="shared" ref="D50:D58" si="7">SUMIF($J$49:$N$49,C50,J50:N50)</f>
        <v>1.21E-2</v>
      </c>
      <c r="E50" s="701">
        <f>ROUND(SUM(D50:D58),4)</f>
        <v>4.02E-2</v>
      </c>
      <c r="F50" s="1674">
        <f>IF(E2="商业",SUMIF(L1:L12,G2,N1:N12),"——")</f>
        <v>8.1000000000000003E-2</v>
      </c>
      <c r="G50" s="999">
        <v>1.21E-2</v>
      </c>
      <c r="H50" s="1002">
        <f t="shared" ref="G50:H58" si="8">IFERROR(ROUNDDOWN($F$50*I50/2,4),"——")</f>
        <v>1.21E-2</v>
      </c>
      <c r="I50" s="3066">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有695、323、425路等公交路线经过，紧邻地铁4号线——人民大学站，交通便捷度较好</v>
      </c>
      <c r="C51" s="1886" t="s">
        <v>3430</v>
      </c>
      <c r="D51" s="1001">
        <f t="shared" si="7"/>
        <v>8.8999999999999999E-3</v>
      </c>
      <c r="E51" s="702"/>
      <c r="F51" s="1674"/>
      <c r="G51" s="999">
        <v>8.8999999999999999E-3</v>
      </c>
      <c r="H51" s="1002">
        <f t="shared" si="8"/>
        <v>8.8999999999999999E-3</v>
      </c>
      <c r="I51" s="3066">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36">
      <c r="A52" s="3068" t="s">
        <v>3264</v>
      </c>
      <c r="B52" s="1261">
        <f>估价对象房地状况!C19</f>
        <v>0</v>
      </c>
      <c r="C52" s="1886" t="s">
        <v>3430</v>
      </c>
      <c r="D52" s="1001">
        <f t="shared" si="7"/>
        <v>4.7999999999999996E-3</v>
      </c>
      <c r="E52" s="702"/>
      <c r="F52" s="1674"/>
      <c r="G52" s="999">
        <v>4.7999999999999996E-3</v>
      </c>
      <c r="H52" s="1002">
        <f t="shared" si="8"/>
        <v>4.7999999999999996E-3</v>
      </c>
      <c r="I52" s="3066">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6.75">
      <c r="A53" s="1969" t="s">
        <v>2054</v>
      </c>
      <c r="B53" s="1973" t="s">
        <v>2055</v>
      </c>
      <c r="C53" s="1886" t="s">
        <v>3430</v>
      </c>
      <c r="D53" s="1001">
        <f t="shared" si="7"/>
        <v>2E-3</v>
      </c>
      <c r="E53" s="702"/>
      <c r="F53" s="1674"/>
      <c r="G53" s="999">
        <v>2E-3</v>
      </c>
      <c r="H53" s="1002">
        <f t="shared" si="8"/>
        <v>2E-3</v>
      </c>
      <c r="I53" s="3066">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次干道-中关村南大街</v>
      </c>
      <c r="C54" s="1886" t="s">
        <v>3548</v>
      </c>
      <c r="D54" s="1001">
        <f t="shared" si="7"/>
        <v>0</v>
      </c>
      <c r="E54" s="702"/>
      <c r="F54" s="1674"/>
      <c r="G54" s="999">
        <v>3.2000000000000002E-3</v>
      </c>
      <c r="H54" s="1002">
        <f t="shared" si="8"/>
        <v>3.2000000000000002E-3</v>
      </c>
      <c r="I54" s="3066">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24">
      <c r="A55" s="1969" t="s">
        <v>2057</v>
      </c>
      <c r="B55" s="1974" t="s">
        <v>2058</v>
      </c>
      <c r="C55" s="1886" t="s">
        <v>3430</v>
      </c>
      <c r="D55" s="1001">
        <f t="shared" si="7"/>
        <v>2E-3</v>
      </c>
      <c r="E55" s="702"/>
      <c r="F55" s="1674"/>
      <c r="G55" s="999">
        <v>2E-3</v>
      </c>
      <c r="H55" s="1002">
        <f t="shared" si="8"/>
        <v>2E-3</v>
      </c>
      <c r="I55" s="3066">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估价对象所在区域公共配套设施较齐备</v>
      </c>
      <c r="C56" s="1886" t="s">
        <v>3430</v>
      </c>
      <c r="D56" s="1001">
        <f t="shared" si="7"/>
        <v>2E-3</v>
      </c>
      <c r="E56" s="702"/>
      <c r="F56" s="1674"/>
      <c r="G56" s="999">
        <v>2E-3</v>
      </c>
      <c r="H56" s="1002">
        <f t="shared" si="8"/>
        <v>2E-3</v>
      </c>
      <c r="I56" s="3066">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估价对象所在区域基础设施水平较好</v>
      </c>
      <c r="C57" s="1886" t="s">
        <v>3549</v>
      </c>
      <c r="D57" s="1001">
        <f t="shared" si="7"/>
        <v>6.4000000000000003E-3</v>
      </c>
      <c r="E57" s="702"/>
      <c r="F57" s="1674"/>
      <c r="G57" s="999">
        <v>3.2000000000000002E-3</v>
      </c>
      <c r="H57" s="1002">
        <f t="shared" si="8"/>
        <v>3.2000000000000002E-3</v>
      </c>
      <c r="I57" s="3066">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9" thickBot="1">
      <c r="A58" s="1976" t="s">
        <v>2061</v>
      </c>
      <c r="B58" s="1977" t="str">
        <f>估价对象房地状况!C20</f>
        <v>周边有动物园、北京艺术博物馆、双榆树公园等自然人文环境，质量较好</v>
      </c>
      <c r="C58" s="1886" t="s">
        <v>3430</v>
      </c>
      <c r="D58" s="1001">
        <f t="shared" si="7"/>
        <v>2E-3</v>
      </c>
      <c r="E58" s="703"/>
      <c r="F58" s="1674"/>
      <c r="G58" s="999">
        <v>2E-3</v>
      </c>
      <c r="H58" s="1002">
        <f t="shared" si="8"/>
        <v>2E-3</v>
      </c>
      <c r="I58" s="3067">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周边有铸诚大厦、天作国际等较多办公项目，办公集聚程度较好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有695、323、425路等公交路线经过，紧邻地铁4号线——人民大学站，交通便捷度较好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8" t="s">
        <v>3264</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次干道-中关村南大街</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估价对象所在区域公共配套设施较齐备</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估价对象所在区域基础设施水平较好</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9" thickBot="1">
      <c r="A69" s="1976" t="s">
        <v>2061</v>
      </c>
      <c r="B69" s="1978" t="str">
        <f>估价对象房地状况!C20</f>
        <v>周边有动物园、北京艺术博物馆、双榆树公园等自然人文环境，质量较好</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有695、323、425路等公交路线经过，紧邻地铁4号线——人民大学站，交通便捷度较好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8" t="s">
        <v>3264</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t="str">
        <f>估价对象房地状况!C24</f>
        <v>次干道-中关村南大街</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估价对象所在区域公共配套设施较齐备</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估价对象所在区域基础设施水平较好</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8.25">
      <c r="A79" s="1969" t="s">
        <v>2061</v>
      </c>
      <c r="B79" s="1972" t="str">
        <f>估价对象房地状况!C20</f>
        <v>周边有动物园、北京艺术博物馆、双榆树公园等自然人文环境，质量较好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36">
      <c r="A85" s="3068" t="s">
        <v>3265</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5">
      <c r="A91" s="3076" t="s">
        <v>2607</v>
      </c>
      <c r="B91" s="3077">
        <f>1+E93</f>
        <v>1</v>
      </c>
      <c r="C91" s="3070"/>
      <c r="D91" s="3071"/>
      <c r="E91" s="1674"/>
      <c r="F91" s="1674"/>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49" t="s">
        <v>3284</v>
      </c>
      <c r="K92" s="2149" t="s">
        <v>3285</v>
      </c>
      <c r="L92" s="2149" t="s">
        <v>3286</v>
      </c>
      <c r="M92" s="2149" t="s">
        <v>3287</v>
      </c>
      <c r="N92" s="2149" t="s">
        <v>3288</v>
      </c>
    </row>
    <row r="93" spans="1:37" ht="24">
      <c r="A93" s="3068" t="s">
        <v>3267</v>
      </c>
      <c r="B93" s="1220"/>
      <c r="C93" s="1886"/>
      <c r="D93" s="2308">
        <f>SUMIF($J$92:$N$92,C93,J93:N93)</f>
        <v>0</v>
      </c>
      <c r="E93" s="3081">
        <f>ROUND(SUM(D93:D101),4)</f>
        <v>0</v>
      </c>
      <c r="F93" s="1674" t="str">
        <f>IF(E2="公共服务",SUMIF(L1:L12,G2,N1:N12),"——")</f>
        <v>——</v>
      </c>
      <c r="G93" s="3072"/>
      <c r="H93" s="3116"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38.25">
      <c r="A94" s="3078" t="s">
        <v>3268</v>
      </c>
      <c r="B94" s="3069" t="str">
        <f>估价对象房地状况!C18</f>
        <v>有695、323、425路等公交路线经过，紧邻地铁4号线——人民大学站，交通便捷度较好</v>
      </c>
      <c r="C94" s="1886"/>
      <c r="D94" s="2308">
        <f t="shared" ref="D94:D101" si="30">SUMIF($J$60:$N$60,C94,J94:N94)</f>
        <v>0</v>
      </c>
      <c r="E94" s="3082"/>
      <c r="F94" s="1674"/>
      <c r="G94" s="3072"/>
      <c r="H94" s="3116" t="str">
        <f>IFERROR(ROUNDDOWN($F$93*I94/2,4),"——")</f>
        <v>——</v>
      </c>
      <c r="I94" s="3066">
        <v>0.26</v>
      </c>
      <c r="J94" s="1911">
        <f t="shared" si="27"/>
        <v>0</v>
      </c>
      <c r="K94" s="1911">
        <f t="shared" si="28"/>
        <v>0</v>
      </c>
      <c r="L94" s="1911">
        <v>0</v>
      </c>
      <c r="M94" s="1911">
        <f t="shared" si="29"/>
        <v>0</v>
      </c>
      <c r="N94" s="1911">
        <f t="shared" si="29"/>
        <v>0</v>
      </c>
    </row>
    <row r="95" spans="1:37" ht="36">
      <c r="A95" s="3068" t="s">
        <v>3264</v>
      </c>
      <c r="B95" s="3069">
        <f>估价对象房地状况!C19</f>
        <v>0</v>
      </c>
      <c r="C95" s="1886"/>
      <c r="D95" s="2308">
        <f t="shared" si="30"/>
        <v>0</v>
      </c>
      <c r="E95" s="3082"/>
      <c r="F95" s="1674"/>
      <c r="G95" s="3072"/>
      <c r="H95" s="3116"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3269</v>
      </c>
      <c r="B96" s="3084" t="s">
        <v>3280</v>
      </c>
      <c r="C96" s="1886"/>
      <c r="D96" s="2308">
        <f t="shared" si="30"/>
        <v>0</v>
      </c>
      <c r="E96" s="3082"/>
      <c r="F96" s="1674"/>
      <c r="G96" s="3072"/>
      <c r="H96" s="3116" t="str">
        <f t="shared" si="31"/>
        <v>——</v>
      </c>
      <c r="I96" s="3066">
        <v>0.05</v>
      </c>
      <c r="J96" s="1911">
        <f t="shared" si="27"/>
        <v>0</v>
      </c>
      <c r="K96" s="1911">
        <f t="shared" si="28"/>
        <v>0</v>
      </c>
      <c r="L96" s="1911">
        <v>0</v>
      </c>
      <c r="M96" s="1911">
        <f t="shared" si="29"/>
        <v>0</v>
      </c>
      <c r="N96" s="1911">
        <f t="shared" si="29"/>
        <v>0</v>
      </c>
    </row>
    <row r="97" spans="1:14" ht="24">
      <c r="A97" s="3078" t="s">
        <v>3270</v>
      </c>
      <c r="B97" s="3069" t="str">
        <f>估价对象房地状况!C24</f>
        <v>次干道-中关村南大街</v>
      </c>
      <c r="C97" s="1886"/>
      <c r="D97" s="2308">
        <f t="shared" si="30"/>
        <v>0</v>
      </c>
      <c r="E97" s="3082"/>
      <c r="F97" s="1674"/>
      <c r="G97" s="3072"/>
      <c r="H97" s="3116" t="str">
        <f t="shared" si="31"/>
        <v>——</v>
      </c>
      <c r="I97" s="3066">
        <v>0.05</v>
      </c>
      <c r="J97" s="1911">
        <f t="shared" si="27"/>
        <v>0</v>
      </c>
      <c r="K97" s="1911">
        <f t="shared" si="28"/>
        <v>0</v>
      </c>
      <c r="L97" s="1911">
        <v>0</v>
      </c>
      <c r="M97" s="1911">
        <f t="shared" si="29"/>
        <v>0</v>
      </c>
      <c r="N97" s="1911">
        <f t="shared" si="29"/>
        <v>0</v>
      </c>
    </row>
    <row r="98" spans="1:14" ht="24">
      <c r="A98" s="3078" t="s">
        <v>3271</v>
      </c>
      <c r="B98" s="3085" t="s">
        <v>3281</v>
      </c>
      <c r="C98" s="1886"/>
      <c r="D98" s="2308">
        <f t="shared" si="30"/>
        <v>0</v>
      </c>
      <c r="E98" s="3082"/>
      <c r="F98" s="1674"/>
      <c r="G98" s="3072"/>
      <c r="H98" s="3116" t="str">
        <f t="shared" si="31"/>
        <v>——</v>
      </c>
      <c r="I98" s="3066">
        <v>0.06</v>
      </c>
      <c r="J98" s="1911">
        <f t="shared" si="27"/>
        <v>0</v>
      </c>
      <c r="K98" s="1911">
        <f t="shared" si="28"/>
        <v>0</v>
      </c>
      <c r="L98" s="1911">
        <v>0</v>
      </c>
      <c r="M98" s="1911">
        <f t="shared" si="29"/>
        <v>0</v>
      </c>
      <c r="N98" s="1911">
        <f t="shared" si="29"/>
        <v>0</v>
      </c>
    </row>
    <row r="99" spans="1:14" ht="25.5">
      <c r="A99" s="3078" t="s">
        <v>3272</v>
      </c>
      <c r="B99" s="3069" t="str">
        <f>估价对象房地状况!C21</f>
        <v>估价对象所在区域公共配套设施较齐备</v>
      </c>
      <c r="C99" s="1886"/>
      <c r="D99" s="2308">
        <f t="shared" si="30"/>
        <v>0</v>
      </c>
      <c r="E99" s="3082"/>
      <c r="F99" s="1674"/>
      <c r="G99" s="3072"/>
      <c r="H99" s="3116" t="str">
        <f t="shared" si="31"/>
        <v>——</v>
      </c>
      <c r="I99" s="3066">
        <v>0.06</v>
      </c>
      <c r="J99" s="1911">
        <f t="shared" si="27"/>
        <v>0</v>
      </c>
      <c r="K99" s="1911">
        <f t="shared" si="28"/>
        <v>0</v>
      </c>
      <c r="L99" s="1911">
        <v>0</v>
      </c>
      <c r="M99" s="1911">
        <f t="shared" si="29"/>
        <v>0</v>
      </c>
      <c r="N99" s="1911">
        <f t="shared" si="29"/>
        <v>0</v>
      </c>
    </row>
    <row r="100" spans="1:14" ht="25.5">
      <c r="A100" s="3078" t="s">
        <v>3273</v>
      </c>
      <c r="B100" s="3069" t="str">
        <f>估价对象房地状况!C22</f>
        <v>估价对象所在区域基础设施水平较好</v>
      </c>
      <c r="C100" s="1886"/>
      <c r="D100" s="2308">
        <f t="shared" si="30"/>
        <v>0</v>
      </c>
      <c r="E100" s="3082"/>
      <c r="F100" s="1674"/>
      <c r="G100" s="3072"/>
      <c r="H100" s="3116" t="str">
        <f t="shared" si="31"/>
        <v>——</v>
      </c>
      <c r="I100" s="3066">
        <v>0.09</v>
      </c>
      <c r="J100" s="1911">
        <f t="shared" si="27"/>
        <v>0</v>
      </c>
      <c r="K100" s="1911">
        <f t="shared" si="28"/>
        <v>0</v>
      </c>
      <c r="L100" s="1911">
        <v>0</v>
      </c>
      <c r="M100" s="1911">
        <f t="shared" si="29"/>
        <v>0</v>
      </c>
      <c r="N100" s="1911">
        <f t="shared" si="29"/>
        <v>0</v>
      </c>
    </row>
    <row r="101" spans="1:14" ht="39" thickBot="1">
      <c r="A101" s="3079" t="s">
        <v>3274</v>
      </c>
      <c r="B101" s="3086" t="str">
        <f>估价对象房地状况!C20</f>
        <v>周边有动物园、北京艺术博物馆、双榆树公园等自然人文环境，质量较好</v>
      </c>
      <c r="C101" s="1886"/>
      <c r="D101" s="2308">
        <f t="shared" si="30"/>
        <v>0</v>
      </c>
      <c r="E101" s="3083"/>
      <c r="F101" s="1674"/>
      <c r="G101" s="3072"/>
      <c r="H101" s="3116" t="str">
        <f t="shared" si="31"/>
        <v>——</v>
      </c>
      <c r="I101" s="3067">
        <v>7.0000000000000007E-2</v>
      </c>
      <c r="J101" s="1911">
        <f t="shared" si="27"/>
        <v>0</v>
      </c>
      <c r="K101" s="1911">
        <f t="shared" si="28"/>
        <v>0</v>
      </c>
      <c r="L101" s="1911">
        <v>0</v>
      </c>
      <c r="M101" s="1911">
        <f t="shared" si="29"/>
        <v>0</v>
      </c>
      <c r="N101" s="1911">
        <f t="shared" si="29"/>
        <v>0</v>
      </c>
    </row>
    <row r="103" spans="1:14">
      <c r="A103" s="3395" t="s">
        <v>3289</v>
      </c>
      <c r="B103" s="3395"/>
      <c r="C103" s="3395"/>
      <c r="D103" s="3395"/>
      <c r="E103" s="3395"/>
      <c r="F103" s="3395"/>
      <c r="G103" s="3395"/>
      <c r="H103" s="3395"/>
      <c r="I103" s="3395"/>
      <c r="J103" s="3395"/>
      <c r="K103" s="1666"/>
      <c r="L103" s="1666"/>
      <c r="M103" s="1666"/>
      <c r="N103" s="1666"/>
    </row>
    <row r="104" spans="1:14">
      <c r="A104" s="3396" t="s">
        <v>3290</v>
      </c>
      <c r="B104" s="3396" t="s">
        <v>3291</v>
      </c>
      <c r="C104" s="3088" t="s">
        <v>3292</v>
      </c>
      <c r="D104" s="3089"/>
      <c r="E104" s="3089"/>
      <c r="F104" s="3089"/>
      <c r="G104" s="3089"/>
      <c r="H104" s="3089"/>
      <c r="I104" s="3089"/>
      <c r="J104" s="3090"/>
      <c r="K104" s="3091"/>
      <c r="L104" s="3091"/>
      <c r="M104" s="3091"/>
      <c r="N104" s="3091"/>
    </row>
    <row r="105" spans="1:14">
      <c r="A105" s="3396"/>
      <c r="B105" s="3396"/>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382"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3"/>
      <c r="B111" s="3092" t="s">
        <v>3263</v>
      </c>
      <c r="C111" s="3093">
        <f>$I$3</f>
        <v>5</v>
      </c>
      <c r="D111" s="3093">
        <f t="shared" ref="D111:M111" si="32">$I$3</f>
        <v>5</v>
      </c>
      <c r="E111" s="3093">
        <f t="shared" si="32"/>
        <v>5</v>
      </c>
      <c r="F111" s="3093">
        <f t="shared" si="32"/>
        <v>5</v>
      </c>
      <c r="G111" s="3093">
        <f t="shared" si="32"/>
        <v>5</v>
      </c>
      <c r="H111" s="3093">
        <f t="shared" si="32"/>
        <v>5</v>
      </c>
      <c r="I111" s="3093">
        <f t="shared" si="32"/>
        <v>5</v>
      </c>
      <c r="J111" s="3093">
        <f t="shared" si="32"/>
        <v>5</v>
      </c>
      <c r="K111" s="3093">
        <f t="shared" si="32"/>
        <v>5</v>
      </c>
      <c r="L111" s="3093">
        <f t="shared" si="32"/>
        <v>5</v>
      </c>
      <c r="M111" s="3093">
        <f t="shared" si="32"/>
        <v>5</v>
      </c>
      <c r="N111" s="3093">
        <f>$I$3</f>
        <v>5</v>
      </c>
    </row>
    <row r="112" spans="1:14">
      <c r="A112" s="3384"/>
      <c r="B112" s="3092">
        <v>6</v>
      </c>
      <c r="C112" s="3087">
        <f>(-0.5556*(C111^2)-0.2719*C111+8944)*(10^(-4))</f>
        <v>0.89287505</v>
      </c>
      <c r="D112" s="3087">
        <f>(-0.5556*(D111^2)-0.2719*D111+8944)*(10^(-4))</f>
        <v>0.89287505</v>
      </c>
      <c r="E112" s="3087">
        <f>(-0.7912*(E111^2)-11.3794*E111+8482)*(10^(-4))</f>
        <v>0.84053230000000012</v>
      </c>
      <c r="F112" s="3087">
        <f t="shared" ref="F112:I112" si="33">(-0.7912*(F111^2)-11.3794*F111+8482)*(10^(-4))</f>
        <v>0.84053230000000012</v>
      </c>
      <c r="G112" s="3087">
        <f t="shared" si="33"/>
        <v>0.84053230000000012</v>
      </c>
      <c r="H112" s="3087">
        <f t="shared" si="33"/>
        <v>0.84053230000000012</v>
      </c>
      <c r="I112" s="3087">
        <f t="shared" si="33"/>
        <v>0.84053230000000012</v>
      </c>
      <c r="J112" s="3087">
        <f>(-0.989*(J111^2)-63.78*J111+7771)*(10^(-4))</f>
        <v>0.74273750000000005</v>
      </c>
      <c r="K112" s="3087">
        <f t="shared" ref="K112:N112" si="34">(-0.989*(K111^2)-63.78*K111+7771)*(10^(-4))</f>
        <v>0.74273750000000005</v>
      </c>
      <c r="L112" s="3087">
        <f t="shared" si="34"/>
        <v>0.74273750000000005</v>
      </c>
      <c r="M112" s="3087">
        <f t="shared" si="34"/>
        <v>0.74273750000000005</v>
      </c>
      <c r="N112" s="3087">
        <f t="shared" si="34"/>
        <v>0.74273750000000005</v>
      </c>
    </row>
    <row r="113" spans="1:14">
      <c r="A113" s="3385" t="s">
        <v>3306</v>
      </c>
      <c r="B113" s="3385"/>
      <c r="C113" s="3385"/>
      <c r="D113" s="3385"/>
      <c r="E113" s="3385"/>
      <c r="F113" s="3385"/>
      <c r="G113" s="3385"/>
      <c r="H113" s="3385"/>
      <c r="I113" s="3385"/>
      <c r="J113" s="3385"/>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3307</v>
      </c>
      <c r="B116" s="3112">
        <f>G3</f>
        <v>3.5</v>
      </c>
      <c r="C116" s="3097" t="s">
        <v>3308</v>
      </c>
      <c r="D116" s="3098">
        <f>SUMPRODUCT((A118:A122=F116)*(B117:M117=H116)*B118:M122)</f>
        <v>0.95830000000000004</v>
      </c>
      <c r="E116" s="161" t="s">
        <v>3309</v>
      </c>
      <c r="F116" s="3099" t="str">
        <f>E2</f>
        <v>商业</v>
      </c>
      <c r="G116" s="161" t="s">
        <v>3310</v>
      </c>
      <c r="H116" s="3099" t="str">
        <f>G2</f>
        <v>一级</v>
      </c>
      <c r="I116" s="161"/>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5">I118</f>
        <v>0.78559999999999997</v>
      </c>
      <c r="K118" s="3087">
        <f t="shared" si="35"/>
        <v>0.78559999999999997</v>
      </c>
      <c r="L118" s="3087">
        <f t="shared" si="35"/>
        <v>0.78559999999999997</v>
      </c>
      <c r="M118" s="3107">
        <f t="shared" si="35"/>
        <v>0.78559999999999997</v>
      </c>
      <c r="N118" s="3095"/>
    </row>
    <row r="119" spans="1:14">
      <c r="A119" s="3055" t="s">
        <v>3324</v>
      </c>
      <c r="B119" s="3087">
        <f>ROUND(0.993-0.0112*B116,4)</f>
        <v>0.95379999999999998</v>
      </c>
      <c r="C119" s="3087">
        <f>B119</f>
        <v>0.95379999999999998</v>
      </c>
      <c r="D119" s="3087">
        <f>ROUND(0.9415-0.0142*B116,4)</f>
        <v>0.89180000000000004</v>
      </c>
      <c r="E119" s="3087">
        <f t="shared" ref="E119:H120" si="36">D119</f>
        <v>0.89180000000000004</v>
      </c>
      <c r="F119" s="3087">
        <f t="shared" si="36"/>
        <v>0.89180000000000004</v>
      </c>
      <c r="G119" s="3087">
        <f t="shared" si="36"/>
        <v>0.89180000000000004</v>
      </c>
      <c r="H119" s="3087">
        <f t="shared" si="36"/>
        <v>0.89180000000000004</v>
      </c>
      <c r="I119" s="3087">
        <f>ROUND(0.838-0.0182*B116,4)</f>
        <v>0.77429999999999999</v>
      </c>
      <c r="J119" s="3087">
        <f t="shared" si="35"/>
        <v>0.77429999999999999</v>
      </c>
      <c r="K119" s="3087">
        <f t="shared" si="35"/>
        <v>0.77429999999999999</v>
      </c>
      <c r="L119" s="3087">
        <f t="shared" si="35"/>
        <v>0.77429999999999999</v>
      </c>
      <c r="M119" s="3107">
        <f t="shared" si="35"/>
        <v>0.77429999999999999</v>
      </c>
      <c r="N119" s="3095"/>
    </row>
    <row r="120" spans="1:14">
      <c r="A120" s="3055" t="s">
        <v>3325</v>
      </c>
      <c r="B120" s="3087">
        <f>ROUND(0.9448-0.0115*B116,4)</f>
        <v>0.90459999999999996</v>
      </c>
      <c r="C120" s="3087">
        <f>B120</f>
        <v>0.90459999999999996</v>
      </c>
      <c r="D120" s="3087">
        <f>ROUND(0.937-0.0145*B116,4)</f>
        <v>0.88629999999999998</v>
      </c>
      <c r="E120" s="3087">
        <f t="shared" si="36"/>
        <v>0.88629999999999998</v>
      </c>
      <c r="F120" s="3087">
        <f t="shared" si="36"/>
        <v>0.88629999999999998</v>
      </c>
      <c r="G120" s="3087">
        <f t="shared" si="36"/>
        <v>0.88629999999999998</v>
      </c>
      <c r="H120" s="3087">
        <f t="shared" si="36"/>
        <v>0.88629999999999998</v>
      </c>
      <c r="I120" s="3087">
        <f>ROUND(0.7965-0.0185*B116,4)</f>
        <v>0.73180000000000001</v>
      </c>
      <c r="J120" s="3087">
        <f t="shared" si="35"/>
        <v>0.73180000000000001</v>
      </c>
      <c r="K120" s="3087">
        <f t="shared" si="35"/>
        <v>0.73180000000000001</v>
      </c>
      <c r="L120" s="3087">
        <f t="shared" si="35"/>
        <v>0.73180000000000001</v>
      </c>
      <c r="M120" s="3107">
        <f t="shared" si="35"/>
        <v>0.73180000000000001</v>
      </c>
      <c r="N120" s="3095"/>
    </row>
    <row r="121" spans="1:14" ht="13.5" thickBot="1">
      <c r="A121" s="3108" t="s">
        <v>3326</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5"/>
        <v>0.52400000000000002</v>
      </c>
      <c r="K121" s="3109">
        <f t="shared" si="35"/>
        <v>0.52400000000000002</v>
      </c>
      <c r="L121" s="3109">
        <f t="shared" si="35"/>
        <v>0.52400000000000002</v>
      </c>
      <c r="M121" s="3110">
        <f t="shared" si="35"/>
        <v>0.52400000000000002</v>
      </c>
      <c r="N121" s="3095"/>
    </row>
    <row r="122" spans="1:14">
      <c r="A122" s="3111" t="s">
        <v>2607</v>
      </c>
      <c r="B122" s="3087">
        <f>ROUND(0.9404-0.0106*B116,4)</f>
        <v>0.90329999999999999</v>
      </c>
      <c r="C122" s="3087">
        <f>B122</f>
        <v>0.90329999999999999</v>
      </c>
      <c r="D122" s="3087">
        <f>ROUND(0.8955-0.0135*B116,4)</f>
        <v>0.84830000000000005</v>
      </c>
      <c r="E122" s="3087">
        <f t="shared" ref="E122:H122" si="37">D122</f>
        <v>0.84830000000000005</v>
      </c>
      <c r="F122" s="3087">
        <f t="shared" si="37"/>
        <v>0.84830000000000005</v>
      </c>
      <c r="G122" s="3087">
        <f t="shared" si="37"/>
        <v>0.84830000000000005</v>
      </c>
      <c r="H122" s="3087">
        <f t="shared" si="37"/>
        <v>0.84830000000000005</v>
      </c>
      <c r="I122" s="3087">
        <f>ROUND(0.7632-0.0166*B116,4)</f>
        <v>0.70509999999999995</v>
      </c>
      <c r="J122" s="3087">
        <f t="shared" si="35"/>
        <v>0.70509999999999995</v>
      </c>
      <c r="K122" s="3087">
        <f t="shared" si="35"/>
        <v>0.70509999999999995</v>
      </c>
      <c r="L122" s="3087">
        <f t="shared" si="35"/>
        <v>0.70509999999999995</v>
      </c>
      <c r="M122" s="3107">
        <f t="shared" si="35"/>
        <v>0.70509999999999995</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16658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33533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9702</v>
      </c>
      <c r="D5" s="202" t="s">
        <v>1469</v>
      </c>
      <c r="E5" s="203" t="s">
        <v>1470</v>
      </c>
      <c r="F5" s="203" t="s">
        <v>1471</v>
      </c>
      <c r="G5" s="204"/>
    </row>
    <row r="6" spans="1:9" s="205" customFormat="1" ht="13.5" customHeight="1">
      <c r="A6" s="731" t="s">
        <v>1472</v>
      </c>
      <c r="B6" s="206" t="s">
        <v>1473</v>
      </c>
      <c r="C6" s="207">
        <f>基准地价修正!B2</f>
        <v>9319</v>
      </c>
      <c r="D6" s="208"/>
      <c r="E6" s="209"/>
      <c r="F6" s="209"/>
      <c r="G6" s="210"/>
    </row>
    <row r="7" spans="1:9" s="205" customFormat="1" ht="13.5" customHeight="1">
      <c r="A7" s="731" t="s">
        <v>1474</v>
      </c>
      <c r="B7" s="206" t="s">
        <v>1475</v>
      </c>
      <c r="C7" s="211">
        <f>ROUND(C6*F7,0)</f>
        <v>284</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99</v>
      </c>
      <c r="D8" s="213"/>
      <c r="E8" s="211"/>
      <c r="F8" s="212"/>
      <c r="G8" s="1713" t="s">
        <v>3541</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3542</v>
      </c>
      <c r="H9" s="1069"/>
      <c r="I9" s="1715" t="s">
        <v>1479</v>
      </c>
    </row>
    <row r="10" spans="1:9" s="205" customFormat="1" ht="13.5" customHeight="1">
      <c r="A10" s="732" t="s">
        <v>356</v>
      </c>
      <c r="B10" s="215" t="s">
        <v>1480</v>
      </c>
      <c r="C10" s="216">
        <f ca="1">ROUND(D10*E10/10000,0)</f>
        <v>99</v>
      </c>
      <c r="D10" s="794">
        <f ca="1">IF(B1="",'数据-汇总表'!E6,IF(INDIRECT("'数据-取费表'!c"&amp;$G$1)="住宅",INDIRECT("'数据-取费表'!s"&amp;$G$1),INDIRECT("'数据-取费表'!k"&amp;$G$1)+INDIRECT("'数据-取费表'!s"&amp;$G$1)))</f>
        <v>4967.6099999999997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4967.6099999999997</v>
      </c>
      <c r="E19" s="202">
        <f>'数据-取费表'!B31</f>
        <v>200</v>
      </c>
      <c r="F19" s="222"/>
      <c r="G19" s="1713" t="s">
        <v>3543</v>
      </c>
    </row>
    <row r="20" spans="1:7" s="205" customFormat="1" ht="13.5" customHeight="1">
      <c r="A20" s="246" t="s">
        <v>1493</v>
      </c>
      <c r="B20" s="201" t="s">
        <v>1494</v>
      </c>
      <c r="C20" s="223">
        <f>ROUND((C5+C19)*F20,0)</f>
        <v>291</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780</v>
      </c>
      <c r="D22" s="226">
        <f ca="1">C26</f>
        <v>8.0000000000000004E-4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769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11</v>
      </c>
      <c r="D25" s="229"/>
      <c r="E25" s="232"/>
      <c r="F25" s="230"/>
      <c r="G25" s="233" t="s">
        <v>1510</v>
      </c>
    </row>
    <row r="26" spans="1:7" s="205" customFormat="1">
      <c r="A26" s="733" t="s">
        <v>350</v>
      </c>
      <c r="B26" s="206" t="s">
        <v>1511</v>
      </c>
      <c r="C26" s="229">
        <f ca="1">ROUND(IF('数据-取费表'!B22&lt;=1,F21*F22*'数据-取费表'!B23/2,F21*(POWER((1+F22),'数据-取费表'!B23/2)-1)),4)</f>
        <v>8.0000000000000004E-4</v>
      </c>
      <c r="D26" s="229"/>
      <c r="E26" s="232"/>
      <c r="F26" s="230"/>
      <c r="G26" s="234"/>
    </row>
    <row r="27" spans="1:7" s="205" customFormat="1" ht="24.75">
      <c r="A27" s="246" t="s">
        <v>1512</v>
      </c>
      <c r="B27" s="235" t="s">
        <v>1513</v>
      </c>
      <c r="C27" s="236">
        <f ca="1">C28</f>
        <v>1499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1499</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13297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3289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2981</v>
      </c>
      <c r="D34" s="208"/>
      <c r="E34" s="211"/>
      <c r="F34" s="248">
        <f ca="1">IF('数据-取费表'!B24=0,1,IF(B1="",'数据-取费表'!N16,INDIRECT("'数据-取费表'!n"&amp;$G$1)))</f>
        <v>1</v>
      </c>
      <c r="G34" s="210" t="s">
        <v>1526</v>
      </c>
    </row>
    <row r="35" spans="1:7" ht="13.5" customHeight="1">
      <c r="A35" s="733" t="s">
        <v>351</v>
      </c>
      <c r="B35" s="206" t="s">
        <v>1527</v>
      </c>
      <c r="C35" s="211">
        <f ca="1">ROUND(C34*F35,0)</f>
        <v>149</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99</v>
      </c>
      <c r="D37" s="208">
        <f ca="1">D19</f>
        <v>4967.6099999999997</v>
      </c>
      <c r="E37" s="240">
        <f>'数据-取费表'!B35</f>
        <v>200</v>
      </c>
      <c r="F37" s="250"/>
      <c r="G37" s="252" t="s">
        <v>1532</v>
      </c>
    </row>
    <row r="38" spans="1:7" ht="13.5" customHeight="1">
      <c r="A38" s="733" t="s">
        <v>354</v>
      </c>
      <c r="B38" s="206" t="s">
        <v>1533</v>
      </c>
      <c r="C38" s="211">
        <f ca="1">ROUND(C34*F38,0)</f>
        <v>60</v>
      </c>
      <c r="D38" s="211"/>
      <c r="E38" s="211"/>
      <c r="F38" s="250">
        <f>'数据-取费表'!B36</f>
        <v>0.02</v>
      </c>
      <c r="G38" s="210" t="s">
        <v>1528</v>
      </c>
    </row>
    <row r="39" spans="1:7" s="205" customFormat="1" ht="13.5" customHeight="1">
      <c r="A39" s="246" t="s">
        <v>1534</v>
      </c>
      <c r="B39" s="201" t="s">
        <v>1535</v>
      </c>
      <c r="C39" s="223">
        <f ca="1">ROUND(C33*F20,0)</f>
        <v>99</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132</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128</v>
      </c>
      <c r="D42" s="229"/>
      <c r="E42" s="229"/>
      <c r="F42" s="230"/>
      <c r="G42" s="3401" t="s">
        <v>1544</v>
      </c>
    </row>
    <row r="43" spans="1:7" ht="13.5" customHeight="1">
      <c r="A43" s="733" t="s">
        <v>347</v>
      </c>
      <c r="B43" s="206" t="s">
        <v>1545</v>
      </c>
      <c r="C43" s="229">
        <f ca="1">ROUND(IF('数据-取费表'!B22&lt;=1,C39*F22*'数据-取费表'!B21/2,C39*(POWER((1+F22),'数据-取费表'!B21/2)-1)),0)</f>
        <v>4</v>
      </c>
      <c r="D43" s="229"/>
      <c r="E43" s="229"/>
      <c r="F43" s="230"/>
      <c r="G43" s="3402"/>
    </row>
    <row r="44" spans="1:7" ht="13.5" customHeight="1">
      <c r="A44" s="733" t="s">
        <v>348</v>
      </c>
      <c r="B44" s="206" t="s">
        <v>1546</v>
      </c>
      <c r="C44" s="229">
        <f ca="1">ROUND(IF('数据-取费表'!B22&lt;=1,C40*F22*'数据-取费表'!B21/2,C40*(POWER((1+F22),'数据-取费表'!B21/2)-1)),4)</f>
        <v>8.0000000000000004E-4</v>
      </c>
      <c r="D44" s="229"/>
      <c r="E44" s="229"/>
      <c r="F44" s="230"/>
      <c r="G44" s="3403"/>
    </row>
    <row r="45" spans="1:7" s="205" customFormat="1" ht="13.5" customHeight="1">
      <c r="A45" s="246" t="s">
        <v>1547</v>
      </c>
      <c r="B45" s="235" t="s">
        <v>1513</v>
      </c>
      <c r="C45" s="236">
        <f ca="1">C46</f>
        <v>508</v>
      </c>
      <c r="D45" s="226">
        <f ca="1">C47</f>
        <v>3.0000000000000001E-3</v>
      </c>
      <c r="E45" s="227" t="s">
        <v>1539</v>
      </c>
      <c r="F45" s="237">
        <f ca="1">F27</f>
        <v>0.15</v>
      </c>
      <c r="G45" s="238" t="s">
        <v>1548</v>
      </c>
    </row>
    <row r="46" spans="1:7" s="205" customFormat="1" ht="13.5" customHeight="1">
      <c r="A46" s="733" t="s">
        <v>346</v>
      </c>
      <c r="B46" s="239" t="s">
        <v>1549</v>
      </c>
      <c r="C46" s="240">
        <f ca="1">ROUND((C33+C39)*F27,0)</f>
        <v>508</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4365</v>
      </c>
      <c r="D49" s="223"/>
      <c r="E49" s="223"/>
      <c r="F49" s="255"/>
      <c r="G49" s="225" t="s">
        <v>1554</v>
      </c>
    </row>
    <row r="50" spans="1:7" s="249" customFormat="1" ht="24">
      <c r="A50" s="246" t="s">
        <v>1555</v>
      </c>
      <c r="B50" s="201" t="s">
        <v>1556</v>
      </c>
      <c r="C50" s="223"/>
      <c r="D50" s="223"/>
      <c r="E50" s="223"/>
      <c r="F50" s="255">
        <f>IF('数据-取费表'!B24=0,'数据-取费表'!N16,1)</f>
        <v>0.77</v>
      </c>
      <c r="G50" s="238" t="s">
        <v>1557</v>
      </c>
    </row>
    <row r="51" spans="1:7" ht="16.5" customHeight="1">
      <c r="A51" s="246" t="s">
        <v>1558</v>
      </c>
      <c r="B51" s="201" t="s">
        <v>1559</v>
      </c>
      <c r="C51" s="223">
        <f ca="1">ROUND(C49*F50,0)</f>
        <v>3361</v>
      </c>
      <c r="D51" s="223"/>
      <c r="E51" s="223"/>
      <c r="F51" s="255"/>
      <c r="G51" s="225" t="s">
        <v>1560</v>
      </c>
    </row>
    <row r="52" spans="1:7" s="199" customFormat="1" ht="16.5" thickBot="1">
      <c r="A52" s="256" t="s">
        <v>1561</v>
      </c>
      <c r="B52" s="257"/>
      <c r="C52" s="258">
        <f ca="1">C31+C51</f>
        <v>16658</v>
      </c>
      <c r="D52" s="257"/>
      <c r="E52" s="257"/>
      <c r="F52" s="257"/>
      <c r="G52" s="259"/>
    </row>
    <row r="55" spans="1:7" ht="15">
      <c r="B55" s="261" t="s">
        <v>1562</v>
      </c>
      <c r="C55" s="262"/>
    </row>
    <row r="56" spans="1:7">
      <c r="B56" s="264" t="s">
        <v>802</v>
      </c>
      <c r="C56" s="266">
        <f ca="1">1-C57</f>
        <v>0.79800000000000004</v>
      </c>
    </row>
    <row r="57" spans="1:7">
      <c r="B57" s="264" t="s">
        <v>803</v>
      </c>
      <c r="C57" s="265">
        <f ca="1">ROUND(C51/C52,3)</f>
        <v>0.20200000000000001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3632.2350000000001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7312</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993522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993522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993522</v>
      </c>
      <c r="D10" s="794">
        <f ca="1">IF(B1="",'数据-汇总表'!E6,IF(INDIRECT("'数据-取费表'!c"&amp;$G$1)="住宅",INDIRECT("'数据-取费表'!s"&amp;$G$1),INDIRECT("'数据-取费表'!k"&amp;$G$1)+INDIRECT("'数据-取费表'!s"&amp;$G$1)))</f>
        <v>4967.6099999999997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993522</v>
      </c>
      <c r="D19" s="203">
        <f ca="1">D9+D10</f>
        <v>4967.6099999999997</v>
      </c>
      <c r="E19" s="202">
        <f>'数据-取费表'!B31</f>
        <v>200</v>
      </c>
      <c r="F19" s="222"/>
      <c r="G19" s="1713"/>
    </row>
    <row r="20" spans="1:7" s="205" customFormat="1" ht="13.5" customHeight="1">
      <c r="A20" s="246" t="s">
        <v>1574</v>
      </c>
      <c r="B20" s="201" t="s">
        <v>1575</v>
      </c>
      <c r="C20" s="223">
        <f ca="1">ROUND((C5+C19)*F20,0)</f>
        <v>59611</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159913</v>
      </c>
      <c r="D22" s="226">
        <f ca="1">C26</f>
        <v>8.0000000000000004E-4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78797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78797</v>
      </c>
      <c r="D24" s="229"/>
      <c r="E24" s="229"/>
      <c r="F24" s="230"/>
      <c r="G24" s="231" t="s">
        <v>1586</v>
      </c>
    </row>
    <row r="25" spans="1:7" s="205" customFormat="1" ht="24">
      <c r="A25" s="733" t="s">
        <v>1476</v>
      </c>
      <c r="B25" s="206" t="s">
        <v>1587</v>
      </c>
      <c r="C25" s="229">
        <f ca="1">ROUND(IF('数据-取费表'!B22&lt;=1,C20*F22*'数据-取费表'!B22/2,C20*(POWER((1+F22),'数据-取费表'!B22/2)-1)),0)</f>
        <v>2319</v>
      </c>
      <c r="D25" s="229"/>
      <c r="E25" s="232"/>
      <c r="F25" s="230"/>
      <c r="G25" s="233" t="s">
        <v>1588</v>
      </c>
    </row>
    <row r="26" spans="1:7" s="205" customFormat="1">
      <c r="A26" s="733" t="s">
        <v>350</v>
      </c>
      <c r="B26" s="206" t="s">
        <v>1511</v>
      </c>
      <c r="C26" s="229">
        <f ca="1">ROUND(IF('数据-取费表'!B22&lt;=1,F21*F22*'数据-取费表'!B22/2,F21*(POWER((1+F22),'数据-取费表'!B22/2)-1)),4)</f>
        <v>8.0000000000000004E-4</v>
      </c>
      <c r="D26" s="229"/>
      <c r="E26" s="232"/>
      <c r="F26" s="230"/>
      <c r="G26" s="234"/>
    </row>
    <row r="27" spans="1:7" s="205" customFormat="1" ht="24.75">
      <c r="A27" s="246" t="s">
        <v>1512</v>
      </c>
      <c r="B27" s="235" t="s">
        <v>1513</v>
      </c>
      <c r="C27" s="236">
        <f ca="1">C28</f>
        <v>306998</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306998</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2723552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32885578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29805660</v>
      </c>
      <c r="D34" s="208"/>
      <c r="E34" s="211"/>
      <c r="F34" s="248"/>
      <c r="G34" s="210"/>
    </row>
    <row r="35" spans="1:7" ht="13.5" customHeight="1">
      <c r="A35" s="733" t="s">
        <v>351</v>
      </c>
      <c r="B35" s="206" t="s">
        <v>1527</v>
      </c>
      <c r="C35" s="211">
        <f ca="1">ROUND(C34*F35,0)</f>
        <v>1490283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993522</v>
      </c>
      <c r="D37" s="208">
        <f ca="1">D19</f>
        <v>4967.6099999999997</v>
      </c>
      <c r="E37" s="240">
        <f>'数据-取费表'!B35</f>
        <v>200</v>
      </c>
      <c r="F37" s="250"/>
      <c r="G37" s="252"/>
    </row>
    <row r="38" spans="1:7" ht="13.5" customHeight="1">
      <c r="A38" s="733" t="s">
        <v>354</v>
      </c>
      <c r="B38" s="206" t="s">
        <v>1533</v>
      </c>
      <c r="C38" s="211">
        <f ca="1">ROUND(C34*F38,0)</f>
        <v>596113</v>
      </c>
      <c r="D38" s="211"/>
      <c r="E38" s="211"/>
      <c r="F38" s="250">
        <f>'数据-取费表'!B36</f>
        <v>0.02</v>
      </c>
      <c r="G38" s="210" t="s">
        <v>1528</v>
      </c>
    </row>
    <row r="39" spans="1:7" s="205" customFormat="1" ht="13.5" customHeight="1">
      <c r="A39" s="246" t="s">
        <v>1534</v>
      </c>
      <c r="B39" s="201" t="s">
        <v>1535</v>
      </c>
      <c r="C39" s="223">
        <f ca="1">ROUND(C33*F20,0)</f>
        <v>986567</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1317592</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1279216</v>
      </c>
      <c r="D42" s="229"/>
      <c r="E42" s="229"/>
      <c r="F42" s="230"/>
      <c r="G42" s="3401" t="s">
        <v>1591</v>
      </c>
    </row>
    <row r="43" spans="1:7" ht="13.5" customHeight="1">
      <c r="A43" s="733" t="s">
        <v>347</v>
      </c>
      <c r="B43" s="206" t="s">
        <v>1545</v>
      </c>
      <c r="C43" s="229">
        <f ca="1">ROUND(IF('数据-取费表'!B22&lt;=1,C39*F22*'数据-取费表'!B20/2,C39*(POWER((1+F22),'数据-取费表'!B20/2)-1)),0)</f>
        <v>38376</v>
      </c>
      <c r="D43" s="229"/>
      <c r="E43" s="229"/>
      <c r="F43" s="230"/>
      <c r="G43" s="3402"/>
    </row>
    <row r="44" spans="1:7" ht="13.5" customHeight="1">
      <c r="A44" s="733" t="s">
        <v>348</v>
      </c>
      <c r="B44" s="206" t="s">
        <v>1546</v>
      </c>
      <c r="C44" s="229">
        <f ca="1">ROUND(IF('数据-取费表'!B22&lt;=1,C40*F22*'数据-取费表'!B20/2,C40*(POWER((1+F22),'数据-取费表'!B20/2)-1)),4)</f>
        <v>8.0000000000000004E-4</v>
      </c>
      <c r="D44" s="229"/>
      <c r="E44" s="229"/>
      <c r="F44" s="230"/>
      <c r="G44" s="3403"/>
    </row>
    <row r="45" spans="1:7" s="205" customFormat="1" ht="13.5" customHeight="1">
      <c r="A45" s="246" t="s">
        <v>1547</v>
      </c>
      <c r="B45" s="235" t="s">
        <v>1513</v>
      </c>
      <c r="C45" s="236">
        <f ca="1">C46</f>
        <v>5080822</v>
      </c>
      <c r="D45" s="226">
        <f ca="1">C47</f>
        <v>3.0000000000000001E-3</v>
      </c>
      <c r="E45" s="227" t="s">
        <v>1539</v>
      </c>
      <c r="F45" s="237">
        <f ca="1">F27</f>
        <v>0.15</v>
      </c>
      <c r="G45" s="238" t="s">
        <v>1548</v>
      </c>
    </row>
    <row r="46" spans="1:7" s="205" customFormat="1" ht="13.5" customHeight="1">
      <c r="A46" s="733" t="s">
        <v>346</v>
      </c>
      <c r="B46" s="239" t="s">
        <v>1549</v>
      </c>
      <c r="C46" s="240">
        <f ca="1">ROUND((C33+C39)*F27,0)</f>
        <v>5080822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43634802</v>
      </c>
      <c r="D49" s="223"/>
      <c r="E49" s="223"/>
      <c r="F49" s="255"/>
      <c r="G49" s="225" t="s">
        <v>1554</v>
      </c>
    </row>
    <row r="50" spans="1:7" s="249" customFormat="1">
      <c r="A50" s="246" t="s">
        <v>1555</v>
      </c>
      <c r="B50" s="201" t="s">
        <v>1556</v>
      </c>
      <c r="C50" s="223"/>
      <c r="D50" s="223"/>
      <c r="E50" s="223"/>
      <c r="F50" s="255">
        <f>IF('数据-取费表'!B24=0,'数据-取费表'!N16,1)</f>
        <v>0.77</v>
      </c>
      <c r="G50" s="238"/>
    </row>
    <row r="51" spans="1:7" ht="16.5" customHeight="1">
      <c r="A51" s="246" t="s">
        <v>1558</v>
      </c>
      <c r="B51" s="201" t="s">
        <v>1593</v>
      </c>
      <c r="C51" s="223">
        <f ca="1">ROUND(C49*F50,0)</f>
        <v>33598798</v>
      </c>
      <c r="D51" s="223"/>
      <c r="E51" s="223"/>
      <c r="F51" s="255"/>
      <c r="G51" s="225" t="s">
        <v>1560</v>
      </c>
    </row>
    <row r="52" spans="1:7" s="199" customFormat="1" ht="16.5" thickBot="1">
      <c r="A52" s="256" t="s">
        <v>1561</v>
      </c>
      <c r="B52" s="257"/>
      <c r="C52" s="258">
        <f ca="1">C31+C51</f>
        <v>36322350</v>
      </c>
      <c r="D52" s="257"/>
      <c r="E52" s="257"/>
      <c r="F52" s="257"/>
      <c r="G52" s="259"/>
    </row>
    <row r="55" spans="1:7" ht="15">
      <c r="B55" s="261" t="s">
        <v>1562</v>
      </c>
      <c r="C55" s="262"/>
    </row>
    <row r="56" spans="1:7">
      <c r="B56" s="264" t="s">
        <v>802</v>
      </c>
      <c r="C56" s="266">
        <f ca="1">1-C57</f>
        <v>7.4999999999999956E-2</v>
      </c>
    </row>
    <row r="57" spans="1:7">
      <c r="B57" s="264" t="s">
        <v>803</v>
      </c>
      <c r="C57" s="265">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4967.6099999999997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4967.6099999999997</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99</v>
      </c>
      <c r="D20" s="795">
        <f ca="1">IF(C1="",'数据-汇总表'!E6,IF(INDIRECT("'数据-取费表'!c"&amp;$K$1)="住宅",INDIRECT("'数据-取费表'!s"&amp;$K$1),INDIRECT("'数据-取费表'!k"&amp;$K$1)+INDIRECT("'数据-取费表'!s"&amp;$K$1)))</f>
        <v>4967.6099999999997</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K40" sqref="K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3528</v>
      </c>
      <c r="D1" s="1270" t="s">
        <v>43</v>
      </c>
      <c r="E1" s="1271" t="s">
        <v>678</v>
      </c>
      <c r="F1" s="998">
        <f ca="1">J53</f>
        <v>16.559999999999999</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8279</v>
      </c>
      <c r="C2" s="1288" t="s">
        <v>805</v>
      </c>
      <c r="D2" s="1288"/>
      <c r="E2" s="1294"/>
      <c r="F2" s="1295"/>
      <c r="G2" s="2476"/>
      <c r="H2" s="2466"/>
      <c r="I2" s="2466"/>
      <c r="J2" s="2466"/>
      <c r="K2" s="2467"/>
      <c r="L2" s="2466"/>
      <c r="M2" s="2466"/>
    </row>
    <row r="3" spans="1:37" ht="18" customHeight="1" thickBot="1">
      <c r="A3" s="1296" t="s">
        <v>806</v>
      </c>
      <c r="B3" s="1297">
        <f ca="1">IF(ISERROR(B2*10000/F43),0,ROUND(B2*10000/F43,0))</f>
        <v>16666</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784</v>
      </c>
      <c r="D5" s="1272" t="s">
        <v>693</v>
      </c>
      <c r="E5" s="1007"/>
      <c r="F5" s="1008"/>
      <c r="G5" s="1291"/>
      <c r="H5" s="290">
        <v>1</v>
      </c>
      <c r="I5" s="291" t="s">
        <v>692</v>
      </c>
      <c r="J5" s="1006">
        <f ca="1">J6+J10+J12</f>
        <v>0</v>
      </c>
      <c r="K5" s="1272" t="s">
        <v>693</v>
      </c>
      <c r="L5" s="1007"/>
      <c r="M5" s="1008"/>
    </row>
    <row r="6" spans="1:37" ht="18" customHeight="1">
      <c r="A6" s="1005" t="s">
        <v>398</v>
      </c>
      <c r="B6" s="3406" t="s">
        <v>694</v>
      </c>
      <c r="C6" s="1010">
        <f ca="1">ROUND(F6*F8*F7*(1-F9)/10000,0)</f>
        <v>783</v>
      </c>
      <c r="D6" s="146" t="s">
        <v>2108</v>
      </c>
      <c r="E6" s="293" t="s">
        <v>696</v>
      </c>
      <c r="F6" s="294">
        <f ca="1">INDIRECT("'数据-取费表'!u"&amp;$G$1)</f>
        <v>4.8</v>
      </c>
      <c r="G6" s="1291"/>
      <c r="H6" s="1005" t="s">
        <v>398</v>
      </c>
      <c r="I6" s="3406" t="s">
        <v>694</v>
      </c>
      <c r="J6" s="292">
        <f ca="1">ROUND(M6*M8*M7*(1-M9)/10000,0)</f>
        <v>0</v>
      </c>
      <c r="K6" s="146" t="s">
        <v>2107</v>
      </c>
      <c r="L6" s="293" t="s">
        <v>696</v>
      </c>
      <c r="M6" s="294">
        <f ca="1">INDIRECT("'数据-取费表'!z"&amp;$G$1)</f>
        <v>0</v>
      </c>
    </row>
    <row r="7" spans="1:37" ht="18" customHeight="1">
      <c r="A7" s="1009"/>
      <c r="B7" s="3407"/>
      <c r="C7" s="1011"/>
      <c r="D7" s="298"/>
      <c r="E7" s="1012" t="s">
        <v>697</v>
      </c>
      <c r="F7" s="294">
        <f ca="1">IF(INDIRECT("'数据-取费表'!ah"&amp;$G$1)="",INDIRECT("'数据-取费表'!k"&amp;$G$1),INDIRECT("'数据-取费表'!ah"&amp;$G$1))</f>
        <v>4967.6099999999997</v>
      </c>
      <c r="G7" s="1291"/>
      <c r="H7" s="295"/>
      <c r="I7" s="3407"/>
      <c r="J7" s="297"/>
      <c r="K7" s="298"/>
      <c r="L7" s="293" t="s">
        <v>697</v>
      </c>
      <c r="M7" s="294">
        <f ca="1">F7</f>
        <v>4967.6099999999997</v>
      </c>
    </row>
    <row r="8" spans="1:37" ht="18" customHeight="1">
      <c r="A8" s="295"/>
      <c r="B8" s="3407"/>
      <c r="C8" s="297"/>
      <c r="D8" s="298"/>
      <c r="E8" s="293" t="s">
        <v>698</v>
      </c>
      <c r="F8" s="294">
        <f ca="1">INDIRECT("'数据-取费表'!ai"&amp;$G$1)</f>
        <v>365</v>
      </c>
      <c r="G8" s="1291"/>
      <c r="H8" s="295"/>
      <c r="I8" s="3407"/>
      <c r="J8" s="297"/>
      <c r="K8" s="298"/>
      <c r="L8" s="293" t="s">
        <v>698</v>
      </c>
      <c r="M8" s="294">
        <f ca="1">INDIRECT("'数据-取费表'!ai"&amp;$G$1)</f>
        <v>365</v>
      </c>
    </row>
    <row r="9" spans="1:37" ht="18" customHeight="1">
      <c r="A9" s="295"/>
      <c r="B9" s="3408"/>
      <c r="C9" s="297"/>
      <c r="D9" s="298"/>
      <c r="E9" s="293" t="s">
        <v>699</v>
      </c>
      <c r="F9" s="303">
        <f ca="1">INDIRECT("'数据-取费表'!w"&amp;$G$1)</f>
        <v>0.1</v>
      </c>
      <c r="G9" s="1291"/>
      <c r="H9" s="295"/>
      <c r="I9" s="3408"/>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3414</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3361</v>
      </c>
      <c r="D13" s="1017" t="s">
        <v>705</v>
      </c>
      <c r="E13" s="1017" t="s">
        <v>706</v>
      </c>
      <c r="F13" s="1018">
        <f ca="1">INDIRECT("'数据-取费表'!y"&amp;$G$1)</f>
        <v>0.77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2981</v>
      </c>
      <c r="D14" s="1256" t="s">
        <v>708</v>
      </c>
      <c r="E14" s="1254"/>
      <c r="F14" s="310"/>
      <c r="G14" s="1291"/>
      <c r="H14" s="927" t="s">
        <v>398</v>
      </c>
      <c r="I14" s="293" t="s">
        <v>709</v>
      </c>
      <c r="J14" s="21">
        <f ca="1">C29</f>
        <v>4365</v>
      </c>
      <c r="K14" s="12"/>
      <c r="L14" s="758"/>
      <c r="M14" s="759"/>
    </row>
    <row r="15" spans="1:37" s="1303" customFormat="1" ht="18" customHeight="1" thickBot="1">
      <c r="A15" s="927" t="s">
        <v>399</v>
      </c>
      <c r="B15" s="293" t="s">
        <v>710</v>
      </c>
      <c r="C15" s="21">
        <f ca="1">ROUND(C14*F15,0)</f>
        <v>149</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22</v>
      </c>
      <c r="K16" s="1023" t="s">
        <v>715</v>
      </c>
      <c r="L16" s="1024"/>
      <c r="M16" s="1008"/>
    </row>
    <row r="17" spans="1:37" s="1303" customFormat="1" ht="18" customHeight="1">
      <c r="A17" s="927" t="s">
        <v>681</v>
      </c>
      <c r="B17" s="293" t="s">
        <v>716</v>
      </c>
      <c r="C17" s="21">
        <f ca="1">ROUND(F17*(F43+INDIRECT("'数据-取费表'!S"&amp;$G$1))/10000,0)</f>
        <v>99</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3289</v>
      </c>
      <c r="D19" s="122" t="s">
        <v>726</v>
      </c>
      <c r="E19" s="1268"/>
      <c r="F19" s="23"/>
      <c r="G19" s="1291"/>
      <c r="H19" s="927" t="s">
        <v>399</v>
      </c>
      <c r="I19" s="293" t="s">
        <v>727</v>
      </c>
      <c r="J19" s="21">
        <f ca="1">IF(K19="按租金收入计税",ROUND(J6*M19/(1+'数据-取费表'!C42),2),ROUND(C29*M19*0.7,2))</f>
        <v>0</v>
      </c>
      <c r="K19" s="1277" t="s">
        <v>3330</v>
      </c>
      <c r="L19" s="293" t="s">
        <v>712</v>
      </c>
      <c r="M19" s="313">
        <f>IF(K19="按租金收入计税",'数据-取费表'!B51,'数据-取费表'!B50)</f>
        <v>0.12</v>
      </c>
    </row>
    <row r="20" spans="1:37" s="1303" customFormat="1" ht="18" customHeight="1">
      <c r="A20" s="927" t="s">
        <v>402</v>
      </c>
      <c r="B20" s="293" t="s">
        <v>728</v>
      </c>
      <c r="C20" s="21">
        <f ca="1">ROUND(C19*F20,0)</f>
        <v>99</v>
      </c>
      <c r="D20" s="314" t="s">
        <v>729</v>
      </c>
      <c r="E20" s="293" t="s">
        <v>712</v>
      </c>
      <c r="F20" s="313">
        <f>'数据-取费表'!B37</f>
        <v>0.03</v>
      </c>
      <c r="G20" s="1302"/>
      <c r="H20" s="927" t="s">
        <v>680</v>
      </c>
      <c r="I20" s="146" t="s">
        <v>730</v>
      </c>
      <c r="J20" s="22">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21.83</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132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-22</v>
      </c>
      <c r="K25" s="1031" t="s">
        <v>753</v>
      </c>
      <c r="L25" s="1032"/>
      <c r="M25" s="1033"/>
    </row>
    <row r="26" spans="1:37">
      <c r="A26" s="927" t="s">
        <v>397</v>
      </c>
      <c r="B26" s="293" t="s">
        <v>754</v>
      </c>
      <c r="C26" s="21">
        <f ca="1">ROUND((C19+C20)*F26,0)</f>
        <v>508</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4365</v>
      </c>
      <c r="D29" s="1028"/>
      <c r="E29" s="1026"/>
      <c r="F29" s="1029"/>
      <c r="G29" s="1302"/>
      <c r="H29" s="324" t="s">
        <v>396</v>
      </c>
      <c r="I29" s="325" t="s">
        <v>768</v>
      </c>
      <c r="J29" s="326">
        <f ca="1">ROUND(J26/(1+F40)^F41,0)</f>
        <v>0</v>
      </c>
      <c r="K29" s="327" t="s">
        <v>769</v>
      </c>
      <c r="L29" s="328"/>
      <c r="M29" s="329">
        <f ca="1">INDIRECT("'数据-取费表'!k"&amp;$G$1)</f>
        <v>4967.6099999999997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160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131.25</v>
      </c>
      <c r="D31" s="1256" t="s">
        <v>720</v>
      </c>
      <c r="E31" s="1255" t="s">
        <v>770</v>
      </c>
      <c r="F31" s="2138" t="str">
        <f>IF(项目基本情况!B11="企业","——",IF(M47="住宅",IF(F6*F7*F8/12/(1+'数据-取费表'!F30)&gt;100000,4%,2.5%),IF(F6*F7*F8/12/(1+'数据-取费表'!F30)&gt;100000,12%,7%)))</f>
        <v>——</v>
      </c>
      <c r="G31" s="1291"/>
      <c r="H31" s="2567" t="s">
        <v>2301</v>
      </c>
      <c r="I31" s="1304"/>
      <c r="J31" s="1305"/>
      <c r="K31" s="120"/>
      <c r="L31" s="2469"/>
      <c r="M31" s="2470"/>
    </row>
    <row r="32" spans="1:37" ht="18" customHeight="1">
      <c r="A32" s="927" t="s">
        <v>397</v>
      </c>
      <c r="B32" s="293" t="s">
        <v>723</v>
      </c>
      <c r="C32" s="21">
        <f ca="1">IF(项目基本情况!B11="自然人","——",ROUND(C6*F32/(1+'数据-取费表'!C42),2))</f>
        <v>41.76</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89.49</v>
      </c>
      <c r="D33" s="1277" t="s">
        <v>3330</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18</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21.83</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1">
        <f ca="1">ROUND(C13*F37,2)</f>
        <v>3.36</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ROUND(C5*F38,2)</f>
        <v>3.92</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624</v>
      </c>
      <c r="D39" s="1031" t="s">
        <v>773</v>
      </c>
      <c r="E39" s="1032"/>
      <c r="F39" s="1033"/>
      <c r="G39" s="1291"/>
      <c r="H39" s="2471"/>
      <c r="I39" s="1304"/>
      <c r="J39" s="1305"/>
      <c r="K39" s="2469"/>
      <c r="L39" s="2471"/>
      <c r="M39" s="2471"/>
    </row>
    <row r="40" spans="1:18" ht="18" customHeight="1">
      <c r="A40" s="290" t="s">
        <v>395</v>
      </c>
      <c r="B40" s="291" t="s">
        <v>774</v>
      </c>
      <c r="C40" s="292">
        <f ca="1">ROUND(C39*(1-((1+F42)/(1+F40))^F41)/(F40-F42),0)</f>
        <v>7632</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16.559999999999999</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ROUND(C40*10000/F43,0)</f>
        <v>15364</v>
      </c>
      <c r="D43" s="327" t="s">
        <v>777</v>
      </c>
      <c r="E43" s="328" t="s">
        <v>778</v>
      </c>
      <c r="F43" s="329">
        <f ca="1">INDIRECT("'数据-取费表'!k"&amp;$G$1)</f>
        <v>4967.6099999999997</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f ca="1">C68-C40</f>
        <v>-7899</v>
      </c>
      <c r="D46" s="1312" t="str">
        <f>C2</f>
        <v>万元</v>
      </c>
      <c r="E46" s="1306"/>
      <c r="F46" s="1306"/>
      <c r="I46" s="1313" t="s">
        <v>810</v>
      </c>
      <c r="J46" s="1314"/>
      <c r="K46" s="1315"/>
      <c r="L46" s="1316">
        <f ca="1">IF(M47="住宅",0,IF(L48&gt;J51,L60,J60))</f>
        <v>647</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3415</v>
      </c>
      <c r="K47" s="1322" t="s">
        <v>816</v>
      </c>
      <c r="L47" s="1323">
        <f ca="1">INDIRECT("'数据-取费表'!d"&amp;$G$1)</f>
        <v>40</v>
      </c>
      <c r="M47" s="1287" t="str">
        <f>IF(ISNUMBER(FIND("住宅",C1)),"住宅","非住宅")</f>
        <v>非住宅</v>
      </c>
      <c r="O47" s="1324" t="s">
        <v>403</v>
      </c>
      <c r="P47" s="1325" t="s">
        <v>817</v>
      </c>
      <c r="Q47" s="1326">
        <f ca="1">C40+J29</f>
        <v>7632</v>
      </c>
      <c r="R47" s="1326" t="s">
        <v>818</v>
      </c>
    </row>
    <row r="48" spans="1:18" s="1291" customFormat="1" ht="28.5" thickBot="1">
      <c r="A48" s="1046" t="s">
        <v>438</v>
      </c>
      <c r="B48" s="291" t="s">
        <v>692</v>
      </c>
      <c r="C48" s="1267">
        <f ca="1">C49+C53+C55</f>
        <v>0</v>
      </c>
      <c r="D48" s="1048"/>
      <c r="E48" s="1049"/>
      <c r="F48" s="907"/>
      <c r="G48" s="680"/>
      <c r="H48" s="681"/>
      <c r="I48" s="1327" t="s">
        <v>819</v>
      </c>
      <c r="J48" s="1328" t="s">
        <v>3416</v>
      </c>
      <c r="K48" s="1329" t="s">
        <v>820</v>
      </c>
      <c r="L48" s="1330">
        <f ca="1">INDIRECT("'数据-取费表'!f"&amp;$G$1)</f>
        <v>16.559999999999999</v>
      </c>
      <c r="O48" s="1324" t="s">
        <v>404</v>
      </c>
      <c r="P48" s="1325" t="s">
        <v>821</v>
      </c>
      <c r="Q48" s="1326">
        <f ca="1">J60</f>
        <v>647</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f>Sheet1!C54</f>
        <v>2011</v>
      </c>
      <c r="K49" s="1329" t="s">
        <v>824</v>
      </c>
      <c r="L49" s="1332"/>
      <c r="O49" s="1333" t="s">
        <v>405</v>
      </c>
      <c r="P49" s="1325" t="s">
        <v>825</v>
      </c>
      <c r="Q49" s="1326">
        <f ca="1">C29</f>
        <v>4365</v>
      </c>
      <c r="R49" s="1326" t="s">
        <v>818</v>
      </c>
    </row>
    <row r="50" spans="1:18" s="1291" customFormat="1" ht="13.5" thickBot="1">
      <c r="A50" s="921"/>
      <c r="B50" s="924"/>
      <c r="C50" s="1054"/>
      <c r="D50" s="898"/>
      <c r="E50" s="992" t="s">
        <v>697</v>
      </c>
      <c r="F50" s="993">
        <f ca="1">F7</f>
        <v>4967.6099999999997</v>
      </c>
      <c r="H50" s="681"/>
      <c r="I50" s="1327" t="s">
        <v>826</v>
      </c>
      <c r="J50" s="1334">
        <f>SUMPRODUCT((I63:I65=J47)*(J62:L62=J48)*(J63:L65))</f>
        <v>60</v>
      </c>
      <c r="K50" s="1329" t="s">
        <v>827</v>
      </c>
      <c r="L50" s="1332"/>
      <c r="M50" s="1335"/>
      <c r="O50" s="1333" t="s">
        <v>406</v>
      </c>
      <c r="P50" s="1325" t="s">
        <v>828</v>
      </c>
      <c r="Q50" s="1336">
        <f ca="1">J58</f>
        <v>0.49099999999999999</v>
      </c>
      <c r="R50" s="1326"/>
    </row>
    <row r="51" spans="1:18" s="1291" customFormat="1" ht="13.5" thickBot="1">
      <c r="A51" s="922"/>
      <c r="B51" s="924"/>
      <c r="C51" s="925"/>
      <c r="D51" s="898"/>
      <c r="E51" s="926" t="s">
        <v>698</v>
      </c>
      <c r="F51" s="294">
        <f ca="1">F8</f>
        <v>365</v>
      </c>
      <c r="I51" s="1337" t="s">
        <v>829</v>
      </c>
      <c r="J51" s="1330">
        <f>IF(J49="",J50,J49+J50-YEAR('数据-取费表'!B2))</f>
        <v>46</v>
      </c>
      <c r="K51" s="1338" t="s">
        <v>830</v>
      </c>
      <c r="L51" s="1339">
        <f ca="1">ROUND(-PV(INDIRECT("'数据-取费表'!h"&amp;$G$1),J51,(C39-C13*C76),0),0)</f>
        <v>6951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16.559999999999999</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16.559999999999999</v>
      </c>
      <c r="K53" s="3404" t="s">
        <v>837</v>
      </c>
      <c r="L53" s="3405"/>
      <c r="O53" s="1324" t="s">
        <v>409</v>
      </c>
      <c r="P53" s="1325" t="s">
        <v>838</v>
      </c>
      <c r="Q53" s="1326">
        <f ca="1">Q47+Q48</f>
        <v>8279</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0.49099999999999999</v>
      </c>
      <c r="K55" s="1349" t="s">
        <v>841</v>
      </c>
      <c r="L55" s="1350"/>
      <c r="O55" s="1317" t="s">
        <v>811</v>
      </c>
      <c r="P55" s="1318" t="s">
        <v>812</v>
      </c>
      <c r="Q55" s="1319" t="s">
        <v>813</v>
      </c>
      <c r="R55" s="1319" t="s">
        <v>814</v>
      </c>
    </row>
    <row r="56" spans="1:18" s="1291" customFormat="1" ht="25.5" thickTop="1" thickBot="1">
      <c r="A56" s="902">
        <v>2</v>
      </c>
      <c r="B56" s="903" t="s">
        <v>704</v>
      </c>
      <c r="C56" s="223">
        <f ca="1">C13</f>
        <v>3361</v>
      </c>
      <c r="D56" s="1351"/>
      <c r="E56" s="1352"/>
      <c r="F56" s="1344"/>
      <c r="I56" s="1353" t="s">
        <v>842</v>
      </c>
      <c r="J56" s="1354" t="s">
        <v>3411</v>
      </c>
      <c r="K56" s="1327" t="s">
        <v>843</v>
      </c>
      <c r="L56" s="1330" t="str">
        <f ca="1">IF(L48&lt;J51,"——",L48-J53)</f>
        <v>——</v>
      </c>
      <c r="O56" s="1324" t="s">
        <v>403</v>
      </c>
      <c r="P56" s="1325" t="s">
        <v>817</v>
      </c>
      <c r="Q56" s="1326">
        <f ca="1">C40+J29</f>
        <v>7632</v>
      </c>
      <c r="R56" s="1326" t="s">
        <v>818</v>
      </c>
    </row>
    <row r="57" spans="1:18" s="1291" customFormat="1" ht="24.75" thickBot="1">
      <c r="A57" s="1355"/>
      <c r="B57" s="895" t="s">
        <v>767</v>
      </c>
      <c r="C57" s="229">
        <f ca="1">C29</f>
        <v>4365</v>
      </c>
      <c r="D57" s="1356"/>
      <c r="E57" s="1357"/>
      <c r="F57" s="1358"/>
      <c r="I57" s="1359" t="s">
        <v>844</v>
      </c>
      <c r="J57" s="1360">
        <f ca="1">IF(OR(M47="住宅",J51&lt;L48,J56="是"),"——",J51-L48)</f>
        <v>29.44</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25</v>
      </c>
      <c r="D58" s="905" t="s">
        <v>715</v>
      </c>
      <c r="E58" s="906"/>
      <c r="F58" s="907"/>
      <c r="I58" s="1359" t="s">
        <v>848</v>
      </c>
      <c r="J58" s="1361">
        <f ca="1">IF(J55&lt;0.4,0.4,J55)</f>
        <v>0.49099999999999999</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2143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647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3330</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18</v>
      </c>
      <c r="I62" s="1366" t="s">
        <v>858</v>
      </c>
      <c r="J62" s="609" t="s">
        <v>859</v>
      </c>
      <c r="K62" s="609" t="s">
        <v>860</v>
      </c>
      <c r="L62" s="609" t="s">
        <v>861</v>
      </c>
      <c r="M62" s="1367" t="s">
        <v>862</v>
      </c>
      <c r="O62" s="1324" t="s">
        <v>409</v>
      </c>
      <c r="P62" s="1325" t="s">
        <v>863</v>
      </c>
      <c r="Q62" s="1326">
        <f ca="1">Q56+Q57</f>
        <v>7632</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21.83</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3.36</v>
      </c>
      <c r="D65" s="909" t="s">
        <v>743</v>
      </c>
      <c r="E65" s="895" t="s">
        <v>744</v>
      </c>
      <c r="F65" s="320">
        <f t="shared" ca="1" si="0"/>
        <v>1E-3</v>
      </c>
      <c r="I65" s="1366" t="s">
        <v>867</v>
      </c>
      <c r="J65" s="609">
        <v>40</v>
      </c>
      <c r="K65" s="609">
        <v>30</v>
      </c>
      <c r="L65" s="609">
        <v>50</v>
      </c>
      <c r="M65" s="1368">
        <v>0.02</v>
      </c>
      <c r="O65" s="1324" t="s">
        <v>403</v>
      </c>
      <c r="P65" s="1325" t="s">
        <v>868</v>
      </c>
      <c r="Q65" s="1326">
        <f ca="1">C40+J29</f>
        <v>7632</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-25</v>
      </c>
      <c r="D67" s="908" t="s">
        <v>753</v>
      </c>
      <c r="E67" s="913"/>
      <c r="F67" s="914"/>
      <c r="O67" s="1333" t="s">
        <v>405</v>
      </c>
      <c r="P67" s="1325" t="s">
        <v>850</v>
      </c>
      <c r="Q67" s="1369">
        <f ca="1">L51</f>
        <v>6951</v>
      </c>
      <c r="R67" s="1326" t="s">
        <v>870</v>
      </c>
    </row>
    <row r="68" spans="1:18" s="1291" customFormat="1" ht="16.5" thickBot="1">
      <c r="A68" s="892" t="s">
        <v>395</v>
      </c>
      <c r="B68" s="893" t="s">
        <v>774</v>
      </c>
      <c r="C68" s="292">
        <f ca="1">ROUND(C67*(1-((1+F70)/(1+F68))^F69)/(F68-F70),0)</f>
        <v>-267</v>
      </c>
      <c r="D68" s="910" t="s">
        <v>758</v>
      </c>
      <c r="E68" s="895" t="s">
        <v>759</v>
      </c>
      <c r="F68" s="303">
        <f ca="1">F40</f>
        <v>5.5E-2</v>
      </c>
      <c r="O68" s="1333" t="s">
        <v>406</v>
      </c>
      <c r="P68" s="1370" t="s">
        <v>871</v>
      </c>
      <c r="Q68" s="1326">
        <f ca="1">ROUND(Q69-Q70*Q71,0)</f>
        <v>389</v>
      </c>
      <c r="R68" s="1326" t="s">
        <v>414</v>
      </c>
    </row>
    <row r="69" spans="1:18" s="1291" customFormat="1" ht="13.5" thickBot="1">
      <c r="A69" s="896"/>
      <c r="B69" s="897"/>
      <c r="C69" s="297"/>
      <c r="D69" s="915" t="s">
        <v>762</v>
      </c>
      <c r="E69" s="895" t="s">
        <v>763</v>
      </c>
      <c r="F69" s="323">
        <f ca="1">F41</f>
        <v>16.559999999999999</v>
      </c>
      <c r="O69" s="1333" t="s">
        <v>411</v>
      </c>
      <c r="P69" s="1370" t="s">
        <v>872</v>
      </c>
      <c r="Q69" s="1326">
        <f ca="1">C39</f>
        <v>624</v>
      </c>
      <c r="R69" s="1326" t="s">
        <v>818</v>
      </c>
    </row>
    <row r="70" spans="1:18" s="1291" customFormat="1" ht="13.5" thickBot="1">
      <c r="A70" s="899"/>
      <c r="B70" s="900"/>
      <c r="C70" s="301"/>
      <c r="D70" s="911"/>
      <c r="E70" s="895" t="s">
        <v>766</v>
      </c>
      <c r="F70" s="990"/>
      <c r="O70" s="1333" t="s">
        <v>412</v>
      </c>
      <c r="P70" s="1370" t="s">
        <v>873</v>
      </c>
      <c r="Q70" s="1326">
        <f ca="1">C13</f>
        <v>3361</v>
      </c>
      <c r="R70" s="1326" t="s">
        <v>818</v>
      </c>
    </row>
    <row r="71" spans="1:18" s="1291" customFormat="1" ht="13.5" thickBot="1">
      <c r="A71" s="916" t="s">
        <v>396</v>
      </c>
      <c r="B71" s="917" t="s">
        <v>776</v>
      </c>
      <c r="C71" s="326">
        <f ca="1">ROUND(C68*10000/F71,0)</f>
        <v>-537</v>
      </c>
      <c r="D71" s="918" t="s">
        <v>777</v>
      </c>
      <c r="E71" s="919" t="s">
        <v>778</v>
      </c>
      <c r="F71" s="329">
        <f ca="1">F43</f>
        <v>4967.6099999999997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235</v>
      </c>
      <c r="D75" s="1291"/>
      <c r="E75" s="1291"/>
      <c r="F75" s="1291"/>
      <c r="K75" s="1308"/>
      <c r="L75" s="1291"/>
      <c r="O75" s="1324" t="s">
        <v>409</v>
      </c>
      <c r="P75" s="1325" t="s">
        <v>838</v>
      </c>
      <c r="Q75" s="1326">
        <f ca="1">Q65+Q66</f>
        <v>7632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0.623</v>
      </c>
    </row>
    <row r="80" spans="1:18">
      <c r="B80" s="330" t="s">
        <v>800</v>
      </c>
      <c r="C80" s="265">
        <f ca="1">ROUND(C75/C39,3)</f>
        <v>0.377</v>
      </c>
    </row>
    <row r="81" spans="2:3">
      <c r="B81" s="261" t="s">
        <v>801</v>
      </c>
      <c r="C81" s="229"/>
    </row>
    <row r="82" spans="2:3">
      <c r="B82" s="264" t="s">
        <v>802</v>
      </c>
      <c r="C82" s="266">
        <f ca="1">1-C83</f>
        <v>0.56000000000000005</v>
      </c>
    </row>
    <row r="83" spans="2:3">
      <c r="B83" s="264" t="s">
        <v>803</v>
      </c>
      <c r="C83" s="265">
        <f ca="1">ROUND(C13/C40,3)</f>
        <v>0.44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M15" sqref="M15"/>
    </sheetView>
  </sheetViews>
  <sheetFormatPr defaultColWidth="9" defaultRowHeight="14.25"/>
  <cols>
    <col min="1" max="1" width="10.5" style="346" customWidth="1"/>
    <col min="2" max="2" width="15.75" style="346" customWidth="1"/>
    <col min="3" max="3" width="19.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21</v>
      </c>
      <c r="E1" s="3128" t="s">
        <v>3417</v>
      </c>
      <c r="F1" s="1734" t="s">
        <v>3418</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41811</v>
      </c>
      <c r="C3" s="343" t="s">
        <v>1768</v>
      </c>
      <c r="D3" s="342">
        <f>IF(D1="",'数据-汇总表'!E3,SUMIF('数据-汇总表'!$C19:$C33,D1,'数据-汇总表'!$E19:$E33))</f>
        <v>0</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5">
      <c r="A4" s="344" t="s">
        <v>1769</v>
      </c>
      <c r="B4" s="345"/>
      <c r="C4" s="3429" t="s">
        <v>1770</v>
      </c>
      <c r="D4" s="3430"/>
      <c r="E4" s="3431" t="s">
        <v>1771</v>
      </c>
      <c r="F4" s="3432"/>
      <c r="G4" s="3429" t="s">
        <v>1772</v>
      </c>
      <c r="H4" s="3430"/>
      <c r="I4" s="3429" t="s">
        <v>1773</v>
      </c>
      <c r="J4" s="3430"/>
      <c r="K4" s="536" t="s">
        <v>1774</v>
      </c>
      <c r="L4" s="2484"/>
      <c r="M4" s="2485"/>
      <c r="N4" s="2485"/>
      <c r="O4" s="2485"/>
      <c r="P4" s="3433" t="s">
        <v>1775</v>
      </c>
      <c r="Q4" s="3434"/>
      <c r="R4" s="3414" t="s">
        <v>1771</v>
      </c>
      <c r="S4" s="3415"/>
      <c r="T4" s="3414" t="s">
        <v>1772</v>
      </c>
      <c r="U4" s="3415"/>
      <c r="V4" s="3441" t="s">
        <v>1773</v>
      </c>
      <c r="W4" s="3441"/>
      <c r="X4" s="1808"/>
      <c r="Y4" s="3414" t="s">
        <v>1775</v>
      </c>
      <c r="Z4" s="3415"/>
      <c r="AA4" s="3409" t="s">
        <v>1771</v>
      </c>
      <c r="AB4" s="3409" t="s">
        <v>1772</v>
      </c>
      <c r="AC4" s="3426" t="s">
        <v>1773</v>
      </c>
    </row>
    <row r="5" spans="1:29" ht="13.9" customHeight="1">
      <c r="A5" s="347"/>
      <c r="B5" s="348"/>
      <c r="C5" s="3420" t="s">
        <v>1673</v>
      </c>
      <c r="D5" s="3419"/>
      <c r="E5" s="3418" t="s">
        <v>3429</v>
      </c>
      <c r="F5" s="3419"/>
      <c r="G5" s="3418" t="s">
        <v>3429</v>
      </c>
      <c r="H5" s="3419"/>
      <c r="I5" s="3418" t="s">
        <v>3452</v>
      </c>
      <c r="J5" s="3419"/>
      <c r="K5" s="536"/>
      <c r="L5" s="2484"/>
      <c r="M5" s="2485"/>
      <c r="N5" s="2485"/>
      <c r="O5" s="2485"/>
      <c r="P5" s="3435"/>
      <c r="Q5" s="3436"/>
      <c r="R5" s="3416"/>
      <c r="S5" s="3417"/>
      <c r="T5" s="3416"/>
      <c r="U5" s="3417"/>
      <c r="V5" s="3442"/>
      <c r="W5" s="3442"/>
      <c r="X5" s="1264"/>
      <c r="Y5" s="3416"/>
      <c r="Z5" s="3417"/>
      <c r="AA5" s="3410"/>
      <c r="AB5" s="3410"/>
      <c r="AC5" s="3427"/>
    </row>
    <row r="6" spans="1:29" ht="15.75" thickBot="1">
      <c r="A6" s="349"/>
      <c r="B6" s="350"/>
      <c r="C6" s="3421" t="s">
        <v>1677</v>
      </c>
      <c r="D6" s="3422"/>
      <c r="E6" s="3423" t="s">
        <v>1677</v>
      </c>
      <c r="F6" s="3424"/>
      <c r="G6" s="3421" t="s">
        <v>1677</v>
      </c>
      <c r="H6" s="3422"/>
      <c r="I6" s="3421" t="s">
        <v>1677</v>
      </c>
      <c r="J6" s="3422"/>
      <c r="K6" s="536" t="s">
        <v>1678</v>
      </c>
      <c r="L6" s="2484"/>
      <c r="M6" s="2485"/>
      <c r="N6" s="2485"/>
      <c r="O6" s="2485"/>
      <c r="P6" s="3437"/>
      <c r="Q6" s="3438"/>
      <c r="R6" s="3416"/>
      <c r="S6" s="3417"/>
      <c r="T6" s="3439"/>
      <c r="U6" s="3440"/>
      <c r="V6" s="3442"/>
      <c r="W6" s="3442"/>
      <c r="X6" s="1264"/>
      <c r="Y6" s="3439"/>
      <c r="Z6" s="3440"/>
      <c r="AA6" s="3411"/>
      <c r="AB6" s="3411"/>
      <c r="AC6" s="3428"/>
    </row>
    <row r="7" spans="1:29" s="102" customFormat="1" ht="15.75" thickBot="1">
      <c r="A7" s="351" t="s">
        <v>1679</v>
      </c>
      <c r="B7" s="352"/>
      <c r="C7" s="353">
        <f>'数据-取费表'!B2</f>
        <v>45762</v>
      </c>
      <c r="D7" s="354">
        <v>100</v>
      </c>
      <c r="E7" s="355">
        <v>45748</v>
      </c>
      <c r="F7" s="356">
        <f>SUMIF(59:59,YEAR(E7)&amp;"-"&amp;MONTH(E7),60:60)</f>
        <v>100</v>
      </c>
      <c r="G7" s="355">
        <v>45748</v>
      </c>
      <c r="H7" s="354">
        <f>SUMIF(59:59,YEAR(G7)&amp;"-"&amp;MONTH(G7),60:60)</f>
        <v>100</v>
      </c>
      <c r="I7" s="355">
        <v>45748</v>
      </c>
      <c r="J7" s="354">
        <f>SUMIF(59:59,YEAR(I7)&amp;"-"&amp;MONTH(I7),60:60)</f>
        <v>100</v>
      </c>
      <c r="K7" s="38"/>
      <c r="L7" s="2486"/>
      <c r="M7" s="2438"/>
      <c r="N7" s="2438"/>
      <c r="O7" s="2438"/>
      <c r="P7" s="3443" t="s">
        <v>1680</v>
      </c>
      <c r="Q7" s="3444"/>
      <c r="R7" s="663" t="s">
        <v>14</v>
      </c>
      <c r="S7" s="664">
        <f t="shared" ref="S7:S15" si="0">F7</f>
        <v>100</v>
      </c>
      <c r="T7" s="663" t="s">
        <v>14</v>
      </c>
      <c r="U7" s="664">
        <f t="shared" ref="U7:U15" si="1">H7</f>
        <v>100</v>
      </c>
      <c r="V7" s="663" t="s">
        <v>14</v>
      </c>
      <c r="W7" s="664">
        <f t="shared" ref="W7:W15" si="2">J7</f>
        <v>100</v>
      </c>
      <c r="X7" s="665"/>
      <c r="Y7" s="3412" t="s">
        <v>1680</v>
      </c>
      <c r="Z7" s="3413"/>
      <c r="AA7" s="50">
        <f>D7/F7</f>
        <v>1</v>
      </c>
      <c r="AB7" s="50">
        <f>D7/H7</f>
        <v>1</v>
      </c>
      <c r="AC7" s="801">
        <f>D7/J7</f>
        <v>1</v>
      </c>
    </row>
    <row r="8" spans="1:29" s="102" customFormat="1" ht="15.75" thickBot="1">
      <c r="A8" s="351" t="s">
        <v>1681</v>
      </c>
      <c r="B8" s="352"/>
      <c r="C8" s="357" t="s">
        <v>3421</v>
      </c>
      <c r="D8" s="354">
        <v>100</v>
      </c>
      <c r="E8" s="357" t="s">
        <v>3422</v>
      </c>
      <c r="F8" s="356">
        <f>SUMIF(62:62,E8,63:63)-SUMIF(62:62,C8,63:63)+100</f>
        <v>103</v>
      </c>
      <c r="G8" s="357" t="s">
        <v>3422</v>
      </c>
      <c r="H8" s="354">
        <f>SUMIF(62:62,G8,63:63)-SUMIF(62:62,C8,63:63)+100</f>
        <v>103</v>
      </c>
      <c r="I8" s="357" t="s">
        <v>3422</v>
      </c>
      <c r="J8" s="354">
        <f>SUMIF(62:62,I8,63:63)-SUMIF(62:62,C8,63:63)+100</f>
        <v>103</v>
      </c>
      <c r="K8" s="38"/>
      <c r="L8" s="2486"/>
      <c r="M8" s="2438"/>
      <c r="N8" s="2438"/>
      <c r="O8" s="2438"/>
      <c r="P8" s="3443" t="s">
        <v>1683</v>
      </c>
      <c r="Q8" s="3413"/>
      <c r="R8" s="663" t="s">
        <v>14</v>
      </c>
      <c r="S8" s="664">
        <f t="shared" si="0"/>
        <v>103</v>
      </c>
      <c r="T8" s="663" t="s">
        <v>14</v>
      </c>
      <c r="U8" s="664">
        <f t="shared" si="1"/>
        <v>103</v>
      </c>
      <c r="V8" s="663" t="s">
        <v>14</v>
      </c>
      <c r="W8" s="664">
        <f t="shared" si="2"/>
        <v>103</v>
      </c>
      <c r="X8" s="665"/>
      <c r="Y8" s="3412" t="s">
        <v>1683</v>
      </c>
      <c r="Z8" s="3413"/>
      <c r="AA8" s="50">
        <f t="shared" ref="AA8:AA47" si="3">D8/F8</f>
        <v>0.970873786407767</v>
      </c>
      <c r="AB8" s="50">
        <f t="shared" ref="AB8:AB47" si="4">D8/H8</f>
        <v>0.970873786407767</v>
      </c>
      <c r="AC8" s="801">
        <f t="shared" ref="AC8:AC47" si="5">D8/J8</f>
        <v>0.970873786407767</v>
      </c>
    </row>
    <row r="9" spans="1:29" s="102" customFormat="1">
      <c r="A9" s="358" t="s">
        <v>1684</v>
      </c>
      <c r="B9" s="60" t="s">
        <v>1685</v>
      </c>
      <c r="C9" s="3161" t="s">
        <v>3420</v>
      </c>
      <c r="D9" s="59">
        <v>100</v>
      </c>
      <c r="E9" s="361"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25" t="s">
        <v>1686</v>
      </c>
      <c r="Q9" s="529" t="str">
        <f t="shared" ref="Q9:Q15" si="6">B9</f>
        <v>用途</v>
      </c>
      <c r="R9" s="663" t="s">
        <v>14</v>
      </c>
      <c r="S9" s="664">
        <f t="shared" si="0"/>
        <v>100</v>
      </c>
      <c r="T9" s="663" t="s">
        <v>14</v>
      </c>
      <c r="U9" s="664">
        <f t="shared" si="1"/>
        <v>100</v>
      </c>
      <c r="V9" s="663" t="s">
        <v>14</v>
      </c>
      <c r="W9" s="664">
        <f t="shared" si="2"/>
        <v>100</v>
      </c>
      <c r="X9" s="665"/>
      <c r="Y9" s="3358" t="s">
        <v>1687</v>
      </c>
      <c r="Z9" s="50" t="str">
        <f t="shared" ref="Z9:Z15" si="7">Q9</f>
        <v>用途</v>
      </c>
      <c r="AA9" s="50">
        <f t="shared" si="3"/>
        <v>1</v>
      </c>
      <c r="AB9" s="50">
        <f t="shared" si="4"/>
        <v>1</v>
      </c>
      <c r="AC9" s="801">
        <f t="shared" si="5"/>
        <v>1</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7"/>
      <c r="M10" s="2488"/>
      <c r="N10" s="2488"/>
      <c r="O10" s="2488"/>
      <c r="P10" s="3425"/>
      <c r="Q10" s="529" t="str">
        <f t="shared" si="6"/>
        <v>土地使用年限（年）</v>
      </c>
      <c r="R10" s="663" t="s">
        <v>14</v>
      </c>
      <c r="S10" s="664">
        <f t="shared" si="0"/>
        <v>100</v>
      </c>
      <c r="T10" s="663" t="s">
        <v>14</v>
      </c>
      <c r="U10" s="664">
        <f t="shared" si="1"/>
        <v>100</v>
      </c>
      <c r="V10" s="663" t="s">
        <v>14</v>
      </c>
      <c r="W10" s="664">
        <f t="shared" si="2"/>
        <v>100</v>
      </c>
      <c r="X10" s="665"/>
      <c r="Y10" s="335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25"/>
      <c r="Q11" s="529" t="str">
        <f t="shared" si="6"/>
        <v>容积率</v>
      </c>
      <c r="R11" s="663" t="s">
        <v>14</v>
      </c>
      <c r="S11" s="664">
        <f t="shared" si="0"/>
        <v>100</v>
      </c>
      <c r="T11" s="663" t="s">
        <v>14</v>
      </c>
      <c r="U11" s="664">
        <f t="shared" si="1"/>
        <v>100</v>
      </c>
      <c r="V11" s="663" t="s">
        <v>14</v>
      </c>
      <c r="W11" s="664">
        <f t="shared" si="2"/>
        <v>100</v>
      </c>
      <c r="X11" s="665"/>
      <c r="Y11" s="3358"/>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25"/>
      <c r="Q12" s="529">
        <f t="shared" si="6"/>
        <v>111</v>
      </c>
      <c r="R12" s="663" t="s">
        <v>14</v>
      </c>
      <c r="S12" s="664">
        <f t="shared" si="0"/>
        <v>100</v>
      </c>
      <c r="T12" s="663" t="s">
        <v>14</v>
      </c>
      <c r="U12" s="664">
        <f t="shared" si="1"/>
        <v>100</v>
      </c>
      <c r="V12" s="663" t="s">
        <v>14</v>
      </c>
      <c r="W12" s="664">
        <f t="shared" si="2"/>
        <v>100</v>
      </c>
      <c r="X12" s="665"/>
      <c r="Y12" s="335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25"/>
      <c r="Q13" s="529">
        <f t="shared" si="6"/>
        <v>111</v>
      </c>
      <c r="R13" s="663" t="s">
        <v>14</v>
      </c>
      <c r="S13" s="664">
        <f t="shared" si="0"/>
        <v>100</v>
      </c>
      <c r="T13" s="663" t="s">
        <v>14</v>
      </c>
      <c r="U13" s="664">
        <f t="shared" si="1"/>
        <v>100</v>
      </c>
      <c r="V13" s="663" t="s">
        <v>14</v>
      </c>
      <c r="W13" s="664">
        <f t="shared" si="2"/>
        <v>100</v>
      </c>
      <c r="X13" s="665"/>
      <c r="Y13" s="3358"/>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25"/>
      <c r="Q14" s="529">
        <f t="shared" si="6"/>
        <v>111</v>
      </c>
      <c r="R14" s="663" t="s">
        <v>14</v>
      </c>
      <c r="S14" s="664">
        <f t="shared" si="0"/>
        <v>100</v>
      </c>
      <c r="T14" s="663" t="s">
        <v>14</v>
      </c>
      <c r="U14" s="664">
        <f t="shared" si="1"/>
        <v>100</v>
      </c>
      <c r="V14" s="663" t="s">
        <v>14</v>
      </c>
      <c r="W14" s="664">
        <f t="shared" si="2"/>
        <v>100</v>
      </c>
      <c r="X14" s="665"/>
      <c r="Y14" s="3358"/>
      <c r="Z14" s="50">
        <f t="shared" si="7"/>
        <v>111</v>
      </c>
      <c r="AA14" s="50">
        <f t="shared" si="3"/>
        <v>1</v>
      </c>
      <c r="AB14" s="50">
        <f t="shared" si="4"/>
        <v>1</v>
      </c>
      <c r="AC14" s="801">
        <f t="shared" si="5"/>
        <v>1</v>
      </c>
    </row>
    <row r="15" spans="1:29" ht="65.45" customHeight="1">
      <c r="A15" s="378" t="s">
        <v>1690</v>
      </c>
      <c r="B15" s="553" t="s">
        <v>1811</v>
      </c>
      <c r="C15" s="1810" t="str">
        <f>估价对象房地状况!C5</f>
        <v>周边有铸诚大厦、天作国际等较多办公项目，办公集聚程度较好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45" t="s">
        <v>1691</v>
      </c>
      <c r="Q15" s="1262" t="str">
        <f t="shared" si="6"/>
        <v>办公集聚程度</v>
      </c>
      <c r="R15" s="666" t="s">
        <v>14</v>
      </c>
      <c r="S15" s="667">
        <f t="shared" si="0"/>
        <v>100</v>
      </c>
      <c r="T15" s="666" t="s">
        <v>14</v>
      </c>
      <c r="U15" s="667">
        <f t="shared" si="1"/>
        <v>100</v>
      </c>
      <c r="V15" s="666" t="s">
        <v>14</v>
      </c>
      <c r="W15" s="667">
        <f t="shared" si="2"/>
        <v>100</v>
      </c>
      <c r="X15" s="1264"/>
      <c r="Y15" s="3447" t="s">
        <v>1691</v>
      </c>
      <c r="Z15" s="1263" t="str">
        <f t="shared" si="7"/>
        <v>办公集聚程度</v>
      </c>
      <c r="AA15" s="1263">
        <f t="shared" si="3"/>
        <v>1</v>
      </c>
      <c r="AB15" s="1263">
        <f t="shared" si="4"/>
        <v>1</v>
      </c>
      <c r="AC15" s="1811">
        <f t="shared" si="5"/>
        <v>1</v>
      </c>
    </row>
    <row r="16" spans="1:29" ht="15">
      <c r="A16" s="366"/>
      <c r="B16" s="554"/>
      <c r="C16" s="1757" t="s">
        <v>3430</v>
      </c>
      <c r="D16" s="386"/>
      <c r="E16" s="1757" t="s">
        <v>3430</v>
      </c>
      <c r="F16" s="386"/>
      <c r="G16" s="1757" t="s">
        <v>3430</v>
      </c>
      <c r="H16" s="388"/>
      <c r="I16" s="1757" t="s">
        <v>3430</v>
      </c>
      <c r="J16" s="386"/>
      <c r="K16" s="540"/>
      <c r="L16" s="2490"/>
      <c r="M16" s="2485"/>
      <c r="N16" s="2485"/>
      <c r="O16" s="2485"/>
      <c r="P16" s="3446"/>
      <c r="Q16" s="1262"/>
      <c r="R16" s="666"/>
      <c r="S16" s="667"/>
      <c r="T16" s="666"/>
      <c r="U16" s="667"/>
      <c r="V16" s="666"/>
      <c r="W16" s="667"/>
      <c r="X16" s="1264"/>
      <c r="Y16" s="3448"/>
      <c r="Z16" s="1263"/>
      <c r="AA16" s="1263">
        <v>1</v>
      </c>
      <c r="AB16" s="1263">
        <v>1</v>
      </c>
      <c r="AC16" s="1811">
        <v>1</v>
      </c>
    </row>
    <row r="17" spans="1:29" ht="71.25">
      <c r="A17" s="366"/>
      <c r="B17" s="555" t="s">
        <v>1259</v>
      </c>
      <c r="C17" s="1812" t="str">
        <f>估价对象房地状况!C6</f>
        <v>有695、323、425路等公交路线经过，紧邻地铁4号线——人民大学站，交通便捷度较好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46"/>
      <c r="Q17" s="1262" t="str">
        <f>B17</f>
        <v>交通便捷度</v>
      </c>
      <c r="R17" s="666" t="s">
        <v>14</v>
      </c>
      <c r="S17" s="667">
        <f>F17</f>
        <v>100</v>
      </c>
      <c r="T17" s="666" t="s">
        <v>14</v>
      </c>
      <c r="U17" s="667">
        <f>H17</f>
        <v>100</v>
      </c>
      <c r="V17" s="666" t="s">
        <v>14</v>
      </c>
      <c r="W17" s="667">
        <f>J17</f>
        <v>100</v>
      </c>
      <c r="X17" s="1264"/>
      <c r="Y17" s="3448"/>
      <c r="Z17" s="1263" t="str">
        <f>Q17</f>
        <v>交通便捷度</v>
      </c>
      <c r="AA17" s="1263">
        <f t="shared" si="3"/>
        <v>1</v>
      </c>
      <c r="AB17" s="1263">
        <f t="shared" si="4"/>
        <v>1</v>
      </c>
      <c r="AC17" s="1811">
        <f t="shared" si="5"/>
        <v>1</v>
      </c>
    </row>
    <row r="18" spans="1:29" ht="15">
      <c r="A18" s="366"/>
      <c r="B18" s="400"/>
      <c r="C18" s="1757" t="s">
        <v>3430</v>
      </c>
      <c r="D18" s="388"/>
      <c r="E18" s="1757" t="s">
        <v>3430</v>
      </c>
      <c r="F18" s="388"/>
      <c r="G18" s="1757" t="s">
        <v>3430</v>
      </c>
      <c r="H18" s="386"/>
      <c r="I18" s="1757" t="s">
        <v>3430</v>
      </c>
      <c r="J18" s="386"/>
      <c r="K18" s="540"/>
      <c r="L18" s="2490"/>
      <c r="M18" s="2485"/>
      <c r="N18" s="2485"/>
      <c r="O18" s="2485"/>
      <c r="P18" s="3446"/>
      <c r="Q18" s="1262"/>
      <c r="R18" s="666"/>
      <c r="S18" s="667"/>
      <c r="T18" s="666"/>
      <c r="U18" s="667"/>
      <c r="V18" s="666"/>
      <c r="W18" s="667"/>
      <c r="X18" s="1264"/>
      <c r="Y18" s="3448"/>
      <c r="Z18" s="1263"/>
      <c r="AA18" s="1263">
        <v>1</v>
      </c>
      <c r="AB18" s="1263">
        <v>1</v>
      </c>
      <c r="AC18" s="1811">
        <v>1</v>
      </c>
    </row>
    <row r="19" spans="1:29" ht="28.5">
      <c r="A19" s="366"/>
      <c r="B19" s="555" t="s">
        <v>1812</v>
      </c>
      <c r="C19" s="1812" t="str">
        <f>估价对象房地状况!C7</f>
        <v>估价对象所在区域公共配套设施较齐备</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46"/>
      <c r="Q19" s="1262" t="str">
        <f>B19</f>
        <v>公共配套设施</v>
      </c>
      <c r="R19" s="666" t="s">
        <v>14</v>
      </c>
      <c r="S19" s="667">
        <f>F19</f>
        <v>100</v>
      </c>
      <c r="T19" s="666" t="s">
        <v>14</v>
      </c>
      <c r="U19" s="667">
        <f>H19</f>
        <v>100</v>
      </c>
      <c r="V19" s="666" t="s">
        <v>14</v>
      </c>
      <c r="W19" s="667">
        <f>J19</f>
        <v>100</v>
      </c>
      <c r="X19" s="1264"/>
      <c r="Y19" s="3448"/>
      <c r="Z19" s="1263" t="str">
        <f>Q19</f>
        <v>公共配套设施</v>
      </c>
      <c r="AA19" s="1263">
        <f t="shared" si="3"/>
        <v>1</v>
      </c>
      <c r="AB19" s="1263">
        <f t="shared" si="4"/>
        <v>1</v>
      </c>
      <c r="AC19" s="1811">
        <f t="shared" si="5"/>
        <v>1</v>
      </c>
    </row>
    <row r="20" spans="1:29" ht="15">
      <c r="A20" s="366"/>
      <c r="B20" s="400"/>
      <c r="C20" s="1757" t="s">
        <v>3430</v>
      </c>
      <c r="D20" s="386"/>
      <c r="E20" s="1757" t="s">
        <v>3430</v>
      </c>
      <c r="F20" s="386"/>
      <c r="G20" s="1757" t="s">
        <v>3430</v>
      </c>
      <c r="H20" s="386"/>
      <c r="I20" s="1757" t="s">
        <v>3430</v>
      </c>
      <c r="J20" s="386"/>
      <c r="K20" s="540"/>
      <c r="L20" s="2490"/>
      <c r="M20" s="2485"/>
      <c r="N20" s="2485"/>
      <c r="O20" s="2485"/>
      <c r="P20" s="3446"/>
      <c r="Q20" s="1262"/>
      <c r="R20" s="666"/>
      <c r="S20" s="667"/>
      <c r="T20" s="666"/>
      <c r="U20" s="667"/>
      <c r="V20" s="666"/>
      <c r="W20" s="667"/>
      <c r="X20" s="1264"/>
      <c r="Y20" s="3448"/>
      <c r="Z20" s="1263"/>
      <c r="AA20" s="1263">
        <v>1</v>
      </c>
      <c r="AB20" s="1263">
        <v>1</v>
      </c>
      <c r="AC20" s="1811">
        <v>1</v>
      </c>
    </row>
    <row r="21" spans="1:29" ht="28.5">
      <c r="A21" s="366"/>
      <c r="B21" s="556" t="s">
        <v>1813</v>
      </c>
      <c r="C21" s="1812" t="str">
        <f>估价对象房地状况!C8</f>
        <v>估价对象所在区域基础设施水平较好</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46"/>
      <c r="Q21" s="1262" t="str">
        <f>B21</f>
        <v>基础设施水平</v>
      </c>
      <c r="R21" s="666" t="s">
        <v>14</v>
      </c>
      <c r="S21" s="667">
        <f>F21</f>
        <v>100</v>
      </c>
      <c r="T21" s="666" t="s">
        <v>14</v>
      </c>
      <c r="U21" s="667">
        <f>H21</f>
        <v>100</v>
      </c>
      <c r="V21" s="666" t="s">
        <v>14</v>
      </c>
      <c r="W21" s="667">
        <f>J21</f>
        <v>100</v>
      </c>
      <c r="X21" s="1264"/>
      <c r="Y21" s="3448"/>
      <c r="Z21" s="1263" t="str">
        <f>Q21</f>
        <v>基础设施水平</v>
      </c>
      <c r="AA21" s="1263">
        <f t="shared" ref="AA21" si="8">D21/F21</f>
        <v>1</v>
      </c>
      <c r="AB21" s="1263">
        <f t="shared" ref="AB21" si="9">D21/H21</f>
        <v>1</v>
      </c>
      <c r="AC21" s="1811">
        <f t="shared" ref="AC21" si="10">D21/J21</f>
        <v>1</v>
      </c>
    </row>
    <row r="22" spans="1:29" ht="15">
      <c r="A22" s="366"/>
      <c r="B22" s="556"/>
      <c r="C22" s="1813" t="s">
        <v>3431</v>
      </c>
      <c r="D22" s="386"/>
      <c r="E22" s="1813" t="s">
        <v>3431</v>
      </c>
      <c r="F22" s="386"/>
      <c r="G22" s="1813" t="s">
        <v>3431</v>
      </c>
      <c r="H22" s="386"/>
      <c r="I22" s="1813" t="s">
        <v>3431</v>
      </c>
      <c r="J22" s="386"/>
      <c r="K22" s="1063"/>
      <c r="L22" s="2490"/>
      <c r="M22" s="2485"/>
      <c r="N22" s="2485"/>
      <c r="O22" s="2485"/>
      <c r="P22" s="3446"/>
      <c r="Q22" s="1262"/>
      <c r="R22" s="666"/>
      <c r="S22" s="667"/>
      <c r="T22" s="666"/>
      <c r="U22" s="667"/>
      <c r="V22" s="666"/>
      <c r="W22" s="667"/>
      <c r="X22" s="1264"/>
      <c r="Y22" s="3448"/>
      <c r="Z22" s="1263"/>
      <c r="AA22" s="1263">
        <v>1</v>
      </c>
      <c r="AB22" s="1263">
        <v>1</v>
      </c>
      <c r="AC22" s="1811">
        <v>1</v>
      </c>
    </row>
    <row r="23" spans="1:29" ht="57">
      <c r="A23" s="366"/>
      <c r="B23" s="555" t="s">
        <v>1814</v>
      </c>
      <c r="C23" s="1812" t="str">
        <f>估价对象房地状况!C9</f>
        <v>周边有动物园、北京艺术博物馆、双榆树公园等自然人文环境，质量较好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46"/>
      <c r="Q23" s="1262" t="str">
        <f>B23</f>
        <v>环境质量</v>
      </c>
      <c r="R23" s="666" t="s">
        <v>14</v>
      </c>
      <c r="S23" s="667">
        <f>F23</f>
        <v>100</v>
      </c>
      <c r="T23" s="666" t="s">
        <v>14</v>
      </c>
      <c r="U23" s="667">
        <f>H23</f>
        <v>100</v>
      </c>
      <c r="V23" s="666" t="s">
        <v>14</v>
      </c>
      <c r="W23" s="667">
        <f>J23</f>
        <v>100</v>
      </c>
      <c r="X23" s="1264"/>
      <c r="Y23" s="3448"/>
      <c r="Z23" s="1263" t="str">
        <f>Q23</f>
        <v>环境质量</v>
      </c>
      <c r="AA23" s="1263">
        <f t="shared" si="3"/>
        <v>1</v>
      </c>
      <c r="AB23" s="1263">
        <f t="shared" si="4"/>
        <v>1</v>
      </c>
      <c r="AC23" s="1811">
        <f t="shared" si="5"/>
        <v>1</v>
      </c>
    </row>
    <row r="24" spans="1:29" ht="15">
      <c r="A24" s="366"/>
      <c r="B24" s="556"/>
      <c r="C24" s="1757" t="s">
        <v>3430</v>
      </c>
      <c r="D24" s="386"/>
      <c r="E24" s="1757" t="s">
        <v>3430</v>
      </c>
      <c r="F24" s="386"/>
      <c r="G24" s="1757" t="s">
        <v>3430</v>
      </c>
      <c r="H24" s="386"/>
      <c r="I24" s="1757" t="s">
        <v>3430</v>
      </c>
      <c r="J24" s="386"/>
      <c r="K24" s="540"/>
      <c r="L24" s="2490"/>
      <c r="M24" s="2485"/>
      <c r="N24" s="2485"/>
      <c r="O24" s="2485"/>
      <c r="P24" s="3446"/>
      <c r="Q24" s="1262"/>
      <c r="R24" s="666"/>
      <c r="S24" s="667"/>
      <c r="T24" s="666"/>
      <c r="U24" s="667"/>
      <c r="V24" s="666"/>
      <c r="W24" s="667"/>
      <c r="X24" s="1264"/>
      <c r="Y24" s="3448"/>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46"/>
      <c r="Q25" s="1262" t="str">
        <f>B25</f>
        <v>毗邻道路的类型与等级</v>
      </c>
      <c r="R25" s="666" t="s">
        <v>14</v>
      </c>
      <c r="S25" s="667">
        <f>F25</f>
        <v>100</v>
      </c>
      <c r="T25" s="666" t="s">
        <v>14</v>
      </c>
      <c r="U25" s="667">
        <f>H25</f>
        <v>100</v>
      </c>
      <c r="V25" s="666" t="s">
        <v>14</v>
      </c>
      <c r="W25" s="667">
        <f>J25</f>
        <v>100</v>
      </c>
      <c r="X25" s="1264"/>
      <c r="Y25" s="344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46"/>
      <c r="Q26" s="1262"/>
      <c r="R26" s="666"/>
      <c r="S26" s="667"/>
      <c r="T26" s="666"/>
      <c r="U26" s="667"/>
      <c r="V26" s="666"/>
      <c r="W26" s="667"/>
      <c r="X26" s="1264"/>
      <c r="Y26" s="3448"/>
      <c r="Z26" s="1263"/>
      <c r="AA26" s="1263">
        <v>1</v>
      </c>
      <c r="AB26" s="1263">
        <v>1</v>
      </c>
      <c r="AC26" s="1811">
        <v>1</v>
      </c>
    </row>
    <row r="27" spans="1:29" ht="15">
      <c r="A27" s="366"/>
      <c r="B27" s="400" t="s">
        <v>1783</v>
      </c>
      <c r="C27" s="557" t="s">
        <v>3451</v>
      </c>
      <c r="D27" s="373">
        <v>100</v>
      </c>
      <c r="E27" s="557" t="s">
        <v>3451</v>
      </c>
      <c r="F27" s="373">
        <f>SUMIF(89:89,E27,90:90)-SUMIF(89:89,C27,90:90)+100</f>
        <v>100</v>
      </c>
      <c r="G27" s="557" t="s">
        <v>3451</v>
      </c>
      <c r="H27" s="373">
        <f>SUMIF(89:89,G27,90:90)-SUMIF(89:89,C27,90:90)+100</f>
        <v>100</v>
      </c>
      <c r="I27" s="541" t="s">
        <v>3453</v>
      </c>
      <c r="J27" s="373">
        <f>SUMIF(89:89,I27,90:90)-SUMIF(89:89,C27,90:90)+100</f>
        <v>98</v>
      </c>
      <c r="K27" s="537">
        <v>2</v>
      </c>
      <c r="L27" s="2490"/>
      <c r="M27" s="2485"/>
      <c r="N27" s="2485"/>
      <c r="O27" s="2485"/>
      <c r="P27" s="3446"/>
      <c r="Q27" s="1262" t="str">
        <f t="shared" ref="Q27:Q47" si="11">B27</f>
        <v>楼层</v>
      </c>
      <c r="R27" s="666" t="s">
        <v>14</v>
      </c>
      <c r="S27" s="667">
        <f>F27</f>
        <v>100</v>
      </c>
      <c r="T27" s="666" t="s">
        <v>14</v>
      </c>
      <c r="U27" s="667">
        <f>H27</f>
        <v>100</v>
      </c>
      <c r="V27" s="666" t="s">
        <v>14</v>
      </c>
      <c r="W27" s="667">
        <f>J27</f>
        <v>98</v>
      </c>
      <c r="X27" s="1264"/>
      <c r="Y27" s="3448"/>
      <c r="Z27" s="1263" t="str">
        <f>Q27</f>
        <v>楼层</v>
      </c>
      <c r="AA27" s="1263">
        <f t="shared" si="3"/>
        <v>1</v>
      </c>
      <c r="AB27" s="1263">
        <f t="shared" si="4"/>
        <v>1</v>
      </c>
      <c r="AC27" s="1811">
        <f t="shared" si="5"/>
        <v>1.0204081632653061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46"/>
      <c r="Q28" s="529" t="str">
        <f t="shared" si="11"/>
        <v>朝向</v>
      </c>
      <c r="R28" s="663" t="s">
        <v>14</v>
      </c>
      <c r="S28" s="664">
        <f>F28</f>
        <v>100</v>
      </c>
      <c r="T28" s="663" t="s">
        <v>14</v>
      </c>
      <c r="U28" s="664">
        <f>H28</f>
        <v>100</v>
      </c>
      <c r="V28" s="663" t="s">
        <v>14</v>
      </c>
      <c r="W28" s="664">
        <f>J28</f>
        <v>100</v>
      </c>
      <c r="X28" s="665"/>
      <c r="Y28" s="344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46"/>
      <c r="Q29" s="1262">
        <f t="shared" si="11"/>
        <v>111</v>
      </c>
      <c r="R29" s="666" t="s">
        <v>14</v>
      </c>
      <c r="S29" s="667">
        <f t="shared" ref="S29:S47" si="12">F29</f>
        <v>100</v>
      </c>
      <c r="T29" s="666" t="s">
        <v>14</v>
      </c>
      <c r="U29" s="667">
        <f t="shared" ref="U29:U47" si="13">H29</f>
        <v>100</v>
      </c>
      <c r="V29" s="666" t="s">
        <v>14</v>
      </c>
      <c r="W29" s="667">
        <f t="shared" ref="W29:W47" si="14">J29</f>
        <v>100</v>
      </c>
      <c r="X29" s="1264"/>
      <c r="Y29" s="344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46"/>
      <c r="Q30" s="1262">
        <f t="shared" si="11"/>
        <v>111</v>
      </c>
      <c r="R30" s="666" t="s">
        <v>14</v>
      </c>
      <c r="S30" s="667">
        <f t="shared" si="12"/>
        <v>100</v>
      </c>
      <c r="T30" s="666" t="s">
        <v>14</v>
      </c>
      <c r="U30" s="667">
        <f t="shared" si="13"/>
        <v>100</v>
      </c>
      <c r="V30" s="666" t="s">
        <v>14</v>
      </c>
      <c r="W30" s="667">
        <f t="shared" si="14"/>
        <v>100</v>
      </c>
      <c r="X30" s="1264"/>
      <c r="Y30" s="344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46"/>
      <c r="Q31" s="1262">
        <f t="shared" si="11"/>
        <v>111</v>
      </c>
      <c r="R31" s="666" t="s">
        <v>14</v>
      </c>
      <c r="S31" s="667">
        <f t="shared" si="12"/>
        <v>100</v>
      </c>
      <c r="T31" s="666" t="s">
        <v>14</v>
      </c>
      <c r="U31" s="667">
        <f t="shared" si="13"/>
        <v>100</v>
      </c>
      <c r="V31" s="666" t="s">
        <v>14</v>
      </c>
      <c r="W31" s="667">
        <f t="shared" si="14"/>
        <v>100</v>
      </c>
      <c r="X31" s="1264"/>
      <c r="Y31" s="3448"/>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46"/>
      <c r="Q32" s="1262">
        <f t="shared" si="11"/>
        <v>111</v>
      </c>
      <c r="R32" s="666" t="s">
        <v>14</v>
      </c>
      <c r="S32" s="667">
        <f t="shared" si="12"/>
        <v>100</v>
      </c>
      <c r="T32" s="666" t="s">
        <v>14</v>
      </c>
      <c r="U32" s="667">
        <f t="shared" si="13"/>
        <v>100</v>
      </c>
      <c r="V32" s="666" t="s">
        <v>14</v>
      </c>
      <c r="W32" s="667">
        <f t="shared" si="14"/>
        <v>100</v>
      </c>
      <c r="X32" s="1264"/>
      <c r="Y32" s="3448"/>
      <c r="Z32" s="1263">
        <f t="shared" si="15"/>
        <v>111</v>
      </c>
      <c r="AA32" s="1263">
        <f t="shared" si="3"/>
        <v>1</v>
      </c>
      <c r="AB32" s="1263">
        <f t="shared" si="4"/>
        <v>1</v>
      </c>
      <c r="AC32" s="1811">
        <f t="shared" si="5"/>
        <v>1</v>
      </c>
    </row>
    <row r="33" spans="1:29" ht="15">
      <c r="A33" s="378" t="s">
        <v>1694</v>
      </c>
      <c r="B33" s="60" t="s">
        <v>1817</v>
      </c>
      <c r="C33" s="1763" t="s">
        <v>3456</v>
      </c>
      <c r="D33" s="404">
        <v>100</v>
      </c>
      <c r="E33" s="1763" t="s">
        <v>3456</v>
      </c>
      <c r="F33" s="399">
        <f>SUMIF(101:101,E33,102:102)-SUMIF(101:101,C33,102:102)+100</f>
        <v>100</v>
      </c>
      <c r="G33" s="1763" t="s">
        <v>3456</v>
      </c>
      <c r="H33" s="373">
        <f>SUMIF(101:101,G33,102:102)-SUMIF(101:101,C33,102:102)+100</f>
        <v>100</v>
      </c>
      <c r="I33" s="1763" t="s">
        <v>3456</v>
      </c>
      <c r="J33" s="404">
        <f>SUMIF(101:101,I33,102:102)-SUMIF(101:101,C33,102:102)+100</f>
        <v>100</v>
      </c>
      <c r="K33" s="537">
        <v>0</v>
      </c>
      <c r="L33" s="2490"/>
      <c r="M33" s="2485"/>
      <c r="N33" s="2485"/>
      <c r="O33" s="2485"/>
      <c r="P33" s="3449" t="s">
        <v>1696</v>
      </c>
      <c r="Q33" s="1262" t="str">
        <f t="shared" si="11"/>
        <v>建筑类型</v>
      </c>
      <c r="R33" s="666" t="s">
        <v>14</v>
      </c>
      <c r="S33" s="667">
        <f t="shared" si="12"/>
        <v>100</v>
      </c>
      <c r="T33" s="666" t="s">
        <v>14</v>
      </c>
      <c r="U33" s="667">
        <f t="shared" si="13"/>
        <v>100</v>
      </c>
      <c r="V33" s="666" t="s">
        <v>14</v>
      </c>
      <c r="W33" s="667">
        <f t="shared" si="14"/>
        <v>100</v>
      </c>
      <c r="X33" s="1264"/>
      <c r="Y33" s="3452" t="s">
        <v>1696</v>
      </c>
      <c r="Z33" s="1263" t="str">
        <f t="shared" si="15"/>
        <v>建筑类型</v>
      </c>
      <c r="AA33" s="1263">
        <f t="shared" si="3"/>
        <v>1</v>
      </c>
      <c r="AB33" s="1263">
        <f t="shared" si="4"/>
        <v>1</v>
      </c>
      <c r="AC33" s="1811">
        <f t="shared" si="5"/>
        <v>1</v>
      </c>
    </row>
    <row r="34" spans="1:29" s="407" customFormat="1" ht="15">
      <c r="A34" s="405"/>
      <c r="B34" s="363" t="s">
        <v>1697</v>
      </c>
      <c r="C34" s="406">
        <f>'数据-基础表'!I13</f>
        <v>185.19</v>
      </c>
      <c r="D34" s="118">
        <v>100</v>
      </c>
      <c r="E34" s="406">
        <v>585.62</v>
      </c>
      <c r="F34" s="363">
        <f>LOOKUP(E34,104:104,105:105)-LOOKUP(C34,104:104,105:105)+100</f>
        <v>100</v>
      </c>
      <c r="G34" s="406">
        <v>350</v>
      </c>
      <c r="H34" s="118">
        <f>LOOKUP(G34,104:104,105:105)-LOOKUP(C34,104:104,105:105)+100</f>
        <v>101</v>
      </c>
      <c r="I34" s="406">
        <v>174.15</v>
      </c>
      <c r="J34" s="118">
        <f>LOOKUP(I34,104:104,105:105)-LOOKUP(C34,104:104,105:105)+100</f>
        <v>100</v>
      </c>
      <c r="K34" s="538"/>
      <c r="L34" s="2489"/>
      <c r="M34" s="2491"/>
      <c r="N34" s="2491"/>
      <c r="O34" s="2491"/>
      <c r="P34" s="3450"/>
      <c r="Q34" s="530" t="str">
        <f t="shared" si="11"/>
        <v>项目建筑规模</v>
      </c>
      <c r="R34" s="668" t="s">
        <v>14</v>
      </c>
      <c r="S34" s="669">
        <f t="shared" si="12"/>
        <v>100</v>
      </c>
      <c r="T34" s="668" t="s">
        <v>14</v>
      </c>
      <c r="U34" s="669">
        <f t="shared" si="13"/>
        <v>101</v>
      </c>
      <c r="V34" s="668" t="s">
        <v>14</v>
      </c>
      <c r="W34" s="669">
        <f t="shared" si="14"/>
        <v>100</v>
      </c>
      <c r="X34" s="670"/>
      <c r="Y34" s="3452"/>
      <c r="Z34" s="671" t="str">
        <f t="shared" si="15"/>
        <v>项目建筑规模</v>
      </c>
      <c r="AA34" s="1263">
        <f t="shared" si="3"/>
        <v>1</v>
      </c>
      <c r="AB34" s="1263">
        <f t="shared" si="4"/>
        <v>0.99009900990099009</v>
      </c>
      <c r="AC34" s="1811">
        <f t="shared" si="5"/>
        <v>1</v>
      </c>
    </row>
    <row r="35" spans="1:29" ht="15">
      <c r="A35" s="408"/>
      <c r="B35" s="363" t="s">
        <v>1698</v>
      </c>
      <c r="C35" s="398" t="s">
        <v>3415</v>
      </c>
      <c r="D35" s="373">
        <v>100</v>
      </c>
      <c r="E35" s="398" t="s">
        <v>3415</v>
      </c>
      <c r="F35" s="399">
        <f>SUMIF(106:106,E35,107:107)-SUMIF(106:106,C35,107:107)+100</f>
        <v>100</v>
      </c>
      <c r="G35" s="398" t="s">
        <v>3415</v>
      </c>
      <c r="H35" s="373">
        <f>SUMIF(106:106,G35,107:107)-SUMIF(106:106,C35,107:107)+100</f>
        <v>100</v>
      </c>
      <c r="I35" s="398" t="s">
        <v>3415</v>
      </c>
      <c r="J35" s="373">
        <f>SUMIF(106:106,I35,107:107)-SUMIF(106:106,C35,107:107)+100</f>
        <v>100</v>
      </c>
      <c r="K35" s="537">
        <v>2</v>
      </c>
      <c r="L35" s="2490"/>
      <c r="M35" s="2485"/>
      <c r="N35" s="2485"/>
      <c r="O35" s="2485"/>
      <c r="P35" s="3450"/>
      <c r="Q35" s="1262" t="str">
        <f t="shared" si="11"/>
        <v>建筑结构</v>
      </c>
      <c r="R35" s="666" t="s">
        <v>14</v>
      </c>
      <c r="S35" s="667">
        <f t="shared" si="12"/>
        <v>100</v>
      </c>
      <c r="T35" s="666" t="s">
        <v>14</v>
      </c>
      <c r="U35" s="667">
        <f t="shared" si="13"/>
        <v>100</v>
      </c>
      <c r="V35" s="666" t="s">
        <v>14</v>
      </c>
      <c r="W35" s="667">
        <f t="shared" si="14"/>
        <v>100</v>
      </c>
      <c r="X35" s="1264"/>
      <c r="Y35" s="345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50"/>
      <c r="Q36" s="1262" t="str">
        <f t="shared" si="11"/>
        <v>公共部分装修</v>
      </c>
      <c r="R36" s="666" t="s">
        <v>14</v>
      </c>
      <c r="S36" s="667">
        <f t="shared" si="12"/>
        <v>100</v>
      </c>
      <c r="T36" s="666" t="s">
        <v>14</v>
      </c>
      <c r="U36" s="667">
        <f t="shared" si="13"/>
        <v>100</v>
      </c>
      <c r="V36" s="666" t="s">
        <v>14</v>
      </c>
      <c r="W36" s="667">
        <f t="shared" si="14"/>
        <v>100</v>
      </c>
      <c r="X36" s="1264"/>
      <c r="Y36" s="3452"/>
      <c r="Z36" s="1263" t="str">
        <f t="shared" si="15"/>
        <v>公共部分装修</v>
      </c>
      <c r="AA36" s="1263">
        <f t="shared" si="3"/>
        <v>1</v>
      </c>
      <c r="AB36" s="1263">
        <f t="shared" si="4"/>
        <v>1</v>
      </c>
      <c r="AC36" s="1811">
        <f t="shared" si="5"/>
        <v>1</v>
      </c>
    </row>
    <row r="37" spans="1:29" ht="15">
      <c r="A37" s="408"/>
      <c r="B37" s="363" t="s">
        <v>1786</v>
      </c>
      <c r="C37" s="410">
        <f>'数据-取费表'!N6</f>
        <v>0.77</v>
      </c>
      <c r="D37" s="373">
        <v>100</v>
      </c>
      <c r="E37" s="3168">
        <v>0.69</v>
      </c>
      <c r="F37" s="399">
        <f>LOOKUP(E37,111:111,112:112)-LOOKUP(C37,111:111,112:112)+100</f>
        <v>98</v>
      </c>
      <c r="G37" s="3168">
        <v>0.69</v>
      </c>
      <c r="H37" s="399">
        <f>LOOKUP(G37,111:111,112:112)-LOOKUP(C37,111:111,112:112)+100</f>
        <v>98</v>
      </c>
      <c r="I37" s="3168">
        <f>ROUND(1-(2025-2009)/60,2)</f>
        <v>0.73</v>
      </c>
      <c r="J37" s="373">
        <f>LOOKUP(I37,111:111,112:112)-LOOKUP(C37,111:111,112:112)+100</f>
        <v>100</v>
      </c>
      <c r="K37" s="537">
        <v>2</v>
      </c>
      <c r="L37" s="2490"/>
      <c r="M37" s="2485"/>
      <c r="N37" s="2485"/>
      <c r="O37" s="2485"/>
      <c r="P37" s="3450"/>
      <c r="Q37" s="1262" t="str">
        <f t="shared" si="11"/>
        <v>成新度</v>
      </c>
      <c r="R37" s="666" t="s">
        <v>14</v>
      </c>
      <c r="S37" s="667">
        <f t="shared" si="12"/>
        <v>98</v>
      </c>
      <c r="T37" s="666" t="s">
        <v>14</v>
      </c>
      <c r="U37" s="667">
        <f t="shared" si="13"/>
        <v>98</v>
      </c>
      <c r="V37" s="666" t="s">
        <v>14</v>
      </c>
      <c r="W37" s="667">
        <f t="shared" si="14"/>
        <v>100</v>
      </c>
      <c r="X37" s="1264"/>
      <c r="Y37" s="3452"/>
      <c r="Z37" s="1263" t="str">
        <f t="shared" si="15"/>
        <v>成新度</v>
      </c>
      <c r="AA37" s="1263">
        <f t="shared" si="3"/>
        <v>1.0204081632653061</v>
      </c>
      <c r="AB37" s="1263">
        <f t="shared" si="4"/>
        <v>1.0204081632653061</v>
      </c>
      <c r="AC37" s="1811">
        <f t="shared" si="5"/>
        <v>1</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50"/>
      <c r="Q38" s="529" t="str">
        <f t="shared" si="11"/>
        <v>写字楼等级</v>
      </c>
      <c r="R38" s="663" t="s">
        <v>14</v>
      </c>
      <c r="S38" s="664">
        <f t="shared" si="12"/>
        <v>100</v>
      </c>
      <c r="T38" s="663" t="s">
        <v>14</v>
      </c>
      <c r="U38" s="664">
        <f t="shared" si="13"/>
        <v>100</v>
      </c>
      <c r="V38" s="663" t="s">
        <v>14</v>
      </c>
      <c r="W38" s="664">
        <f t="shared" si="14"/>
        <v>100</v>
      </c>
      <c r="X38" s="665"/>
      <c r="Y38" s="3452"/>
      <c r="Z38" s="50" t="str">
        <f t="shared" si="15"/>
        <v>写字楼等级</v>
      </c>
      <c r="AA38" s="50">
        <f t="shared" si="3"/>
        <v>1</v>
      </c>
      <c r="AB38" s="50">
        <f t="shared" si="4"/>
        <v>1</v>
      </c>
      <c r="AC38" s="801">
        <f t="shared" si="5"/>
        <v>1</v>
      </c>
    </row>
    <row r="39" spans="1:29" ht="15">
      <c r="A39" s="408"/>
      <c r="B39" s="363" t="s">
        <v>1819</v>
      </c>
      <c r="C39" s="398" t="s">
        <v>3448</v>
      </c>
      <c r="D39" s="373">
        <v>100</v>
      </c>
      <c r="E39" s="398" t="s">
        <v>3448</v>
      </c>
      <c r="F39" s="399">
        <f>SUMIF(115:115,E39,116:116)-SUMIF(115:115,C39,116:116)+100</f>
        <v>100</v>
      </c>
      <c r="G39" s="398" t="s">
        <v>3448</v>
      </c>
      <c r="H39" s="373">
        <f>SUMIF(115:115,G39,116:116)-SUMIF(115:115,C39,116:116)+100</f>
        <v>100</v>
      </c>
      <c r="I39" s="398" t="s">
        <v>3448</v>
      </c>
      <c r="J39" s="373">
        <f>SUMIF(115:115,I39,116:116)-SUMIF(115:115,C39,116:116)+100</f>
        <v>100</v>
      </c>
      <c r="K39" s="537">
        <v>2</v>
      </c>
      <c r="L39" s="2490"/>
      <c r="M39" s="2485"/>
      <c r="N39" s="2485"/>
      <c r="O39" s="2485"/>
      <c r="P39" s="3450" t="s">
        <v>1696</v>
      </c>
      <c r="Q39" s="1262" t="str">
        <f t="shared" si="11"/>
        <v>物业管理</v>
      </c>
      <c r="R39" s="666" t="s">
        <v>14</v>
      </c>
      <c r="S39" s="667">
        <f t="shared" si="12"/>
        <v>100</v>
      </c>
      <c r="T39" s="666" t="s">
        <v>14</v>
      </c>
      <c r="U39" s="667">
        <f t="shared" si="13"/>
        <v>100</v>
      </c>
      <c r="V39" s="666" t="s">
        <v>14</v>
      </c>
      <c r="W39" s="667">
        <f t="shared" si="14"/>
        <v>100</v>
      </c>
      <c r="X39" s="1264"/>
      <c r="Y39" s="3452" t="s">
        <v>1696</v>
      </c>
      <c r="Z39" s="1263" t="str">
        <f t="shared" si="15"/>
        <v>物业管理</v>
      </c>
      <c r="AA39" s="1263">
        <f t="shared" si="3"/>
        <v>1</v>
      </c>
      <c r="AB39" s="1263">
        <f t="shared" si="4"/>
        <v>1</v>
      </c>
      <c r="AC39" s="1811">
        <f t="shared" si="5"/>
        <v>1</v>
      </c>
    </row>
    <row r="40" spans="1:29" ht="15">
      <c r="A40" s="408"/>
      <c r="B40" s="363" t="s">
        <v>1787</v>
      </c>
      <c r="C40" s="398" t="s">
        <v>3443</v>
      </c>
      <c r="D40" s="373">
        <v>100</v>
      </c>
      <c r="E40" s="398" t="s">
        <v>3443</v>
      </c>
      <c r="F40" s="399">
        <f>SUMIF(117:117,E40,118:118)-SUMIF(117:117,C40,118:118)+100</f>
        <v>100</v>
      </c>
      <c r="G40" s="398" t="s">
        <v>3443</v>
      </c>
      <c r="H40" s="373">
        <f>SUMIF(117:117,G40,118:118)-SUMIF(117:117,C40,118:118)+100</f>
        <v>100</v>
      </c>
      <c r="I40" s="398" t="s">
        <v>3443</v>
      </c>
      <c r="J40" s="373">
        <f>SUMIF(117:117,I40,118:118)-SUMIF(117:117,C40,118:118)+100</f>
        <v>100</v>
      </c>
      <c r="K40" s="537">
        <v>1</v>
      </c>
      <c r="L40" s="2490"/>
      <c r="M40" s="2485"/>
      <c r="N40" s="2485"/>
      <c r="O40" s="2485"/>
      <c r="P40" s="3450"/>
      <c r="Q40" s="1262" t="str">
        <f t="shared" si="11"/>
        <v>市政基础设施</v>
      </c>
      <c r="R40" s="666" t="s">
        <v>14</v>
      </c>
      <c r="S40" s="667">
        <f t="shared" si="12"/>
        <v>100</v>
      </c>
      <c r="T40" s="666" t="s">
        <v>14</v>
      </c>
      <c r="U40" s="667">
        <f t="shared" si="13"/>
        <v>100</v>
      </c>
      <c r="V40" s="666" t="s">
        <v>14</v>
      </c>
      <c r="W40" s="667">
        <f t="shared" si="14"/>
        <v>100</v>
      </c>
      <c r="X40" s="1264"/>
      <c r="Y40" s="3452"/>
      <c r="Z40" s="1263" t="str">
        <f t="shared" si="15"/>
        <v>市政基础设施</v>
      </c>
      <c r="AA40" s="1263">
        <f t="shared" si="3"/>
        <v>1</v>
      </c>
      <c r="AB40" s="1263">
        <f t="shared" si="4"/>
        <v>1</v>
      </c>
      <c r="AC40" s="1811">
        <f t="shared" si="5"/>
        <v>1</v>
      </c>
    </row>
    <row r="41" spans="1:29" ht="15">
      <c r="A41" s="408"/>
      <c r="B41" s="363" t="s">
        <v>1789</v>
      </c>
      <c r="C41" s="541" t="s">
        <v>3449</v>
      </c>
      <c r="D41" s="373">
        <v>100</v>
      </c>
      <c r="E41" s="541" t="s">
        <v>3449</v>
      </c>
      <c r="F41" s="399">
        <f>SUMIF(119:119,E41,120:120)-SUMIF(119:119,C41,120:120)+100</f>
        <v>100</v>
      </c>
      <c r="G41" s="541" t="s">
        <v>3449</v>
      </c>
      <c r="H41" s="373">
        <f>SUMIF(119:119,G41,120:120)-SUMIF(119:119,C41,120:120)+100</f>
        <v>100</v>
      </c>
      <c r="I41" s="541" t="s">
        <v>3449</v>
      </c>
      <c r="J41" s="373">
        <f>SUMIF(119:119,I41,120:120)-SUMIF(119:119,C41,120:120)+100</f>
        <v>100</v>
      </c>
      <c r="K41" s="537">
        <v>2</v>
      </c>
      <c r="L41" s="2490"/>
      <c r="M41" s="2485"/>
      <c r="N41" s="2485"/>
      <c r="O41" s="2485"/>
      <c r="P41" s="3450"/>
      <c r="Q41" s="1262" t="str">
        <f t="shared" si="11"/>
        <v>层高</v>
      </c>
      <c r="R41" s="666" t="s">
        <v>14</v>
      </c>
      <c r="S41" s="667">
        <f t="shared" si="12"/>
        <v>100</v>
      </c>
      <c r="T41" s="666" t="s">
        <v>14</v>
      </c>
      <c r="U41" s="667">
        <f t="shared" si="13"/>
        <v>100</v>
      </c>
      <c r="V41" s="666" t="s">
        <v>14</v>
      </c>
      <c r="W41" s="667">
        <f t="shared" si="14"/>
        <v>100</v>
      </c>
      <c r="X41" s="1264"/>
      <c r="Y41" s="345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50"/>
      <c r="Q42" s="530" t="str">
        <f t="shared" si="11"/>
        <v>单套建筑面积</v>
      </c>
      <c r="R42" s="668" t="s">
        <v>14</v>
      </c>
      <c r="S42" s="669">
        <f t="shared" si="12"/>
        <v>100</v>
      </c>
      <c r="T42" s="668" t="s">
        <v>14</v>
      </c>
      <c r="U42" s="669">
        <f t="shared" si="13"/>
        <v>100</v>
      </c>
      <c r="V42" s="668" t="s">
        <v>14</v>
      </c>
      <c r="W42" s="669">
        <f t="shared" si="14"/>
        <v>100</v>
      </c>
      <c r="X42" s="670"/>
      <c r="Y42" s="3452"/>
      <c r="Z42" s="671" t="str">
        <f t="shared" si="15"/>
        <v>单套建筑面积</v>
      </c>
      <c r="AA42" s="1263">
        <f t="shared" si="3"/>
        <v>1</v>
      </c>
      <c r="AB42" s="1263">
        <f t="shared" si="4"/>
        <v>1</v>
      </c>
      <c r="AC42" s="1811">
        <f t="shared" si="5"/>
        <v>1</v>
      </c>
    </row>
    <row r="43" spans="1:29" ht="15">
      <c r="A43" s="408"/>
      <c r="B43" s="363" t="s">
        <v>1792</v>
      </c>
      <c r="C43" s="398" t="s">
        <v>3446</v>
      </c>
      <c r="D43" s="373">
        <v>100</v>
      </c>
      <c r="E43" s="398" t="s">
        <v>3446</v>
      </c>
      <c r="F43" s="399">
        <f>SUMIF(123:123,E43,124:124)-SUMIF(123:123,C43,124:124)+100</f>
        <v>100</v>
      </c>
      <c r="G43" s="398" t="s">
        <v>3446</v>
      </c>
      <c r="H43" s="373">
        <f>SUMIF(123:123,G43,124:124)-SUMIF(123:123,C43,124:124)+100</f>
        <v>100</v>
      </c>
      <c r="I43" s="398" t="s">
        <v>3446</v>
      </c>
      <c r="J43" s="373">
        <f>SUMIF(123:123,I43,124:124)-SUMIF(123:123,C43,124:124)+100</f>
        <v>100</v>
      </c>
      <c r="K43" s="537">
        <v>2</v>
      </c>
      <c r="L43" s="2490"/>
      <c r="M43" s="2485"/>
      <c r="N43" s="2485"/>
      <c r="O43" s="2485"/>
      <c r="P43" s="3450"/>
      <c r="Q43" s="1262" t="str">
        <f t="shared" si="11"/>
        <v>内部装修</v>
      </c>
      <c r="R43" s="666" t="s">
        <v>14</v>
      </c>
      <c r="S43" s="667">
        <f t="shared" si="12"/>
        <v>100</v>
      </c>
      <c r="T43" s="666" t="s">
        <v>14</v>
      </c>
      <c r="U43" s="667">
        <f t="shared" si="13"/>
        <v>100</v>
      </c>
      <c r="V43" s="666" t="s">
        <v>14</v>
      </c>
      <c r="W43" s="667">
        <f t="shared" si="14"/>
        <v>100</v>
      </c>
      <c r="X43" s="1264"/>
      <c r="Y43" s="3452"/>
      <c r="Z43" s="1263" t="str">
        <f t="shared" si="15"/>
        <v>内部装修</v>
      </c>
      <c r="AA43" s="1263">
        <f t="shared" si="3"/>
        <v>1</v>
      </c>
      <c r="AB43" s="1263">
        <f t="shared" si="4"/>
        <v>1</v>
      </c>
      <c r="AC43" s="1811">
        <f t="shared" si="5"/>
        <v>1</v>
      </c>
    </row>
    <row r="44" spans="1:29" ht="15">
      <c r="A44" s="408"/>
      <c r="B44" s="363" t="s">
        <v>1707</v>
      </c>
      <c r="C44" s="398" t="s">
        <v>3430</v>
      </c>
      <c r="D44" s="373">
        <v>100</v>
      </c>
      <c r="E44" s="398" t="s">
        <v>3430</v>
      </c>
      <c r="F44" s="399">
        <f>SUMIF(125:125,E44,126:126)-SUMIF(125:125,C44,126:126)+100</f>
        <v>100</v>
      </c>
      <c r="G44" s="398" t="s">
        <v>3430</v>
      </c>
      <c r="H44" s="373">
        <f>SUMIF(125:125,G44,126:126)-SUMIF(125:125,C44,126:126)+100</f>
        <v>100</v>
      </c>
      <c r="I44" s="398" t="s">
        <v>3430</v>
      </c>
      <c r="J44" s="373">
        <f>SUMIF(125:125,I44,126:126)-SUMIF(125:125,C44,126:126)+100</f>
        <v>100</v>
      </c>
      <c r="K44" s="537">
        <v>2</v>
      </c>
      <c r="L44" s="2490"/>
      <c r="M44" s="2485"/>
      <c r="N44" s="2485"/>
      <c r="O44" s="2485"/>
      <c r="P44" s="3450"/>
      <c r="Q44" s="1262" t="str">
        <f t="shared" si="11"/>
        <v>内部装修维护情况</v>
      </c>
      <c r="R44" s="666" t="s">
        <v>14</v>
      </c>
      <c r="S44" s="667">
        <f t="shared" si="12"/>
        <v>100</v>
      </c>
      <c r="T44" s="666" t="s">
        <v>14</v>
      </c>
      <c r="U44" s="667">
        <f t="shared" si="13"/>
        <v>100</v>
      </c>
      <c r="V44" s="666" t="s">
        <v>14</v>
      </c>
      <c r="W44" s="667">
        <f t="shared" si="14"/>
        <v>100</v>
      </c>
      <c r="X44" s="1264"/>
      <c r="Y44" s="3452"/>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50"/>
      <c r="Q45" s="529">
        <f t="shared" si="11"/>
        <v>111</v>
      </c>
      <c r="R45" s="663" t="s">
        <v>14</v>
      </c>
      <c r="S45" s="664">
        <f t="shared" si="12"/>
        <v>100</v>
      </c>
      <c r="T45" s="663" t="s">
        <v>14</v>
      </c>
      <c r="U45" s="664">
        <f t="shared" si="13"/>
        <v>100</v>
      </c>
      <c r="V45" s="663" t="s">
        <v>14</v>
      </c>
      <c r="W45" s="664">
        <f t="shared" si="14"/>
        <v>100</v>
      </c>
      <c r="X45" s="665"/>
      <c r="Y45" s="345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50"/>
      <c r="Q46" s="1262">
        <f t="shared" si="11"/>
        <v>111</v>
      </c>
      <c r="R46" s="666" t="s">
        <v>14</v>
      </c>
      <c r="S46" s="667">
        <f t="shared" si="12"/>
        <v>100</v>
      </c>
      <c r="T46" s="666" t="s">
        <v>14</v>
      </c>
      <c r="U46" s="667">
        <f t="shared" si="13"/>
        <v>100</v>
      </c>
      <c r="V46" s="666" t="s">
        <v>14</v>
      </c>
      <c r="W46" s="667">
        <f t="shared" si="14"/>
        <v>100</v>
      </c>
      <c r="X46" s="1264"/>
      <c r="Y46" s="3452"/>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51"/>
      <c r="Q47" s="1262">
        <f t="shared" si="11"/>
        <v>111</v>
      </c>
      <c r="R47" s="666" t="s">
        <v>14</v>
      </c>
      <c r="S47" s="667">
        <f t="shared" si="12"/>
        <v>100</v>
      </c>
      <c r="T47" s="666" t="s">
        <v>14</v>
      </c>
      <c r="U47" s="667">
        <f t="shared" si="13"/>
        <v>100</v>
      </c>
      <c r="V47" s="666" t="s">
        <v>14</v>
      </c>
      <c r="W47" s="667">
        <f t="shared" si="14"/>
        <v>100</v>
      </c>
      <c r="X47" s="1264"/>
      <c r="Y47" s="3453"/>
      <c r="Z47" s="1263">
        <f t="shared" si="15"/>
        <v>111</v>
      </c>
      <c r="AA47" s="1263">
        <f t="shared" si="3"/>
        <v>1</v>
      </c>
      <c r="AB47" s="1263">
        <f t="shared" si="4"/>
        <v>1</v>
      </c>
      <c r="AC47" s="1811">
        <f t="shared" si="5"/>
        <v>1</v>
      </c>
    </row>
    <row r="48" spans="1:29" ht="15">
      <c r="A48" s="415" t="s">
        <v>1708</v>
      </c>
      <c r="B48" s="416"/>
      <c r="C48" s="1080" t="s">
        <v>0</v>
      </c>
      <c r="D48" s="417"/>
      <c r="E48" s="418">
        <v>42007</v>
      </c>
      <c r="F48" s="419"/>
      <c r="G48" s="420">
        <v>40000</v>
      </c>
      <c r="H48" s="421"/>
      <c r="I48" s="418">
        <v>45000</v>
      </c>
      <c r="J48" s="421"/>
      <c r="K48" s="673"/>
      <c r="L48" s="2492"/>
      <c r="M48" s="2485"/>
      <c r="N48" s="2485"/>
      <c r="O48" s="2485"/>
      <c r="P48" s="3425" t="str">
        <f>A48</f>
        <v>成交单价（元/平方米）</v>
      </c>
      <c r="Q48" s="3454"/>
      <c r="R48" s="3442">
        <f>E48</f>
        <v>42007</v>
      </c>
      <c r="S48" s="3442"/>
      <c r="T48" s="3442">
        <f>G48</f>
        <v>40000</v>
      </c>
      <c r="U48" s="3442"/>
      <c r="V48" s="3442">
        <f>I48</f>
        <v>45000</v>
      </c>
      <c r="W48" s="3442"/>
      <c r="X48" s="384"/>
      <c r="Y48" s="672"/>
      <c r="Z48" s="384"/>
      <c r="AA48" s="384"/>
      <c r="AB48" s="384"/>
      <c r="AC48" s="554"/>
    </row>
    <row r="49" spans="1:29" ht="15.75" thickBot="1">
      <c r="A49" s="422" t="s">
        <v>1793</v>
      </c>
      <c r="B49" s="423"/>
      <c r="C49" s="1081">
        <f>R50</f>
        <v>41811</v>
      </c>
      <c r="D49" s="2140" t="s">
        <v>2137</v>
      </c>
      <c r="E49" s="1082">
        <f>R49</f>
        <v>41616</v>
      </c>
      <c r="F49" s="2141"/>
      <c r="G49" s="1081">
        <f>T49</f>
        <v>39235</v>
      </c>
      <c r="H49" s="2141"/>
      <c r="I49" s="1082">
        <f>V49</f>
        <v>44581</v>
      </c>
      <c r="J49" s="2141"/>
      <c r="K49" s="2143">
        <f>F49+H49+J49</f>
        <v>0</v>
      </c>
      <c r="L49" s="2492"/>
      <c r="M49" s="2485"/>
      <c r="N49" s="2485"/>
      <c r="O49" s="2485"/>
      <c r="P49" s="3425" t="str">
        <f>A49</f>
        <v>比较价值（元/平方米）</v>
      </c>
      <c r="Q49" s="3454"/>
      <c r="R49" s="3442">
        <f>IF(F1="售价",ROUND(PRODUCT(R48,AA7:AA47),0),ROUND(PRODUCT(R48,AA7:AA47),1))</f>
        <v>41616</v>
      </c>
      <c r="S49" s="3442"/>
      <c r="T49" s="3442">
        <f>IF(F1="售价",ROUND(PRODUCT(T48,AB7:AB47),0),ROUND(PRODUCT(T48,AB7:AB47),1))</f>
        <v>39235</v>
      </c>
      <c r="U49" s="3442"/>
      <c r="V49" s="3442">
        <f>IF(F1="售价",ROUND(PRODUCT(V48,AC7:AC47),0),ROUND(PRODUCT(V48,AC7:AC47),1))</f>
        <v>44581</v>
      </c>
      <c r="W49" s="3442"/>
      <c r="X49" s="384"/>
      <c r="Y49" s="384"/>
      <c r="Z49" s="384"/>
      <c r="AA49" s="384"/>
      <c r="AB49" s="384"/>
      <c r="AC49" s="554"/>
    </row>
    <row r="50" spans="1:29" ht="15.75" thickBot="1">
      <c r="A50" s="426" t="s">
        <v>1794</v>
      </c>
      <c r="B50" s="427"/>
      <c r="C50" s="350">
        <f>R50</f>
        <v>41811</v>
      </c>
      <c r="D50" s="350"/>
      <c r="E50" s="350"/>
      <c r="F50" s="350"/>
      <c r="G50" s="350"/>
      <c r="H50" s="350"/>
      <c r="I50" s="350"/>
      <c r="J50" s="428"/>
      <c r="K50" s="674"/>
      <c r="L50" s="2492"/>
      <c r="M50" s="2485"/>
      <c r="N50" s="2485"/>
      <c r="O50" s="2485"/>
      <c r="P50" s="3455" t="str">
        <f>A50</f>
        <v>估价对象XX用房的比较价值（楼面单价，元/平方米）</v>
      </c>
      <c r="Q50" s="3456"/>
      <c r="R50" s="3457">
        <f>IF(F1="售价",ROUND(IF(D49="简单平均",AVERAGE(R49:V49),R49*F49+T49*H49+V49*J49),0),ROUND(IF(D49="简单平均",AVERAGE(R49:V49),R49*F49+T49*H49+V49*J49),1))</f>
        <v>41811</v>
      </c>
      <c r="S50" s="3457"/>
      <c r="T50" s="3457"/>
      <c r="U50" s="3457"/>
      <c r="V50" s="3457"/>
      <c r="W50" s="3457"/>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f>IF(E48&lt;E49,E49/E48-1,E48/E49-1)</f>
        <v>9.3954248366012738E-3</v>
      </c>
      <c r="F53" s="434" t="str">
        <f>IF(OR(E53&gt;=0.3,E53&lt;=-0.3),"超过30%","")</f>
        <v/>
      </c>
      <c r="G53" s="433">
        <f>IF(G48&lt;G49,G49/G48-1,G48/G49-1)</f>
        <v>1.9497897285586818E-2</v>
      </c>
      <c r="H53" s="434" t="str">
        <f>IF(OR(G53&gt;=0.3,G53&lt;=-0.3),"超过30%","")</f>
        <v/>
      </c>
      <c r="I53" s="433">
        <f>IF(I48&lt;I49,I49/I48-1,I48/I49-1)</f>
        <v>9.3986227316569249E-3</v>
      </c>
      <c r="J53" s="434"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f>IF(E49&lt;G49,G49/E49-1,E49/G49-1)</f>
        <v>6.068561233592451E-2</v>
      </c>
      <c r="F54" s="434" t="str">
        <f>IF(OR(E54&gt;=0.2,E54&lt;=-0.2),"超过20%","")</f>
        <v/>
      </c>
      <c r="G54" s="433">
        <f>IF(G49&lt;I49,I49/G49-1,G49/I49-1)</f>
        <v>0.13625589397221871</v>
      </c>
      <c r="H54" s="434" t="str">
        <f>IF(OR(G54&gt;=0.2,G54&lt;=-0.2),"超过20%","")</f>
        <v/>
      </c>
      <c r="I54" s="433">
        <f>IF(I49&lt;E49,E49/I49-1,I49/E49-1)</f>
        <v>7.124663590926561E-2</v>
      </c>
      <c r="J54" s="434"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f>IF(E48&lt;G48,G48/E48-1,E48/G48-1)</f>
        <v>5.0175000000000081E-2</v>
      </c>
      <c r="F55" s="434" t="str">
        <f>IF(OR(E55&gt;=0.3,E55&lt;=-0.3),"超过30%","")</f>
        <v/>
      </c>
      <c r="G55" s="433">
        <f>IF(G48&lt;I48,I48/G48-1,G48/I48-1)</f>
        <v>0.125</v>
      </c>
      <c r="H55" s="434" t="str">
        <f>IF(OR(G55&gt;=0.3,G55&lt;=-0.3),"超过30%","")</f>
        <v/>
      </c>
      <c r="I55" s="433">
        <f>IF(I48&lt;E48,E48/I48-1,I48/E48-1)</f>
        <v>7.1250029756945166E-2</v>
      </c>
      <c r="J55" s="434"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5"/>
      <c r="Q59" s="2508"/>
      <c r="R59" s="2508"/>
      <c r="S59" s="2508"/>
      <c r="T59" s="2508"/>
      <c r="U59" s="2508"/>
      <c r="V59" s="2508"/>
      <c r="W59" s="2508"/>
      <c r="X59" s="2508"/>
      <c r="Y59" s="2508"/>
      <c r="Z59" s="2508"/>
      <c r="AA59" s="2508"/>
      <c r="AB59" s="2508"/>
      <c r="AC59" s="2508"/>
    </row>
    <row r="60" spans="1:29" s="102" customFormat="1" ht="15">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2" customFormat="1" ht="15.7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2" customFormat="1" ht="15">
      <c r="A62" s="454" t="s">
        <v>1681</v>
      </c>
      <c r="B62" s="443"/>
      <c r="C62" s="455" t="s">
        <v>1776</v>
      </c>
      <c r="D62" s="3160" t="s">
        <v>3419</v>
      </c>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2" customFormat="1" ht="15.75" thickBot="1">
      <c r="A63" s="454"/>
      <c r="B63" s="443"/>
      <c r="C63" s="444">
        <v>100</v>
      </c>
      <c r="D63" s="445">
        <v>103</v>
      </c>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c r="A64" s="378" t="s">
        <v>1719</v>
      </c>
      <c r="B64" s="459" t="s">
        <v>1685</v>
      </c>
      <c r="C64" s="460" t="str">
        <f>C9</f>
        <v>办公</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2" customFormat="1" ht="27.75" thickTop="1">
      <c r="A87" s="369"/>
      <c r="B87" s="468" t="s">
        <v>1823</v>
      </c>
      <c r="C87" s="3166" t="s">
        <v>3432</v>
      </c>
      <c r="D87" s="3166" t="s">
        <v>3433</v>
      </c>
      <c r="E87" s="3166" t="s">
        <v>3434</v>
      </c>
      <c r="F87" s="3166" t="s">
        <v>3435</v>
      </c>
      <c r="G87" s="3166" t="s">
        <v>3436</v>
      </c>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69"/>
      <c r="B89" s="468" t="str">
        <f>B27</f>
        <v>楼层</v>
      </c>
      <c r="C89" s="3166" t="s">
        <v>3437</v>
      </c>
      <c r="D89" s="3166" t="s">
        <v>3438</v>
      </c>
      <c r="E89" s="3166" t="s">
        <v>3439</v>
      </c>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2"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20"/>
      <c r="O90" s="2520"/>
      <c r="P90" s="2528"/>
      <c r="Q90" s="2506"/>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3165" t="s">
        <v>3457</v>
      </c>
      <c r="D101" s="3165"/>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0(含)-300</v>
      </c>
      <c r="D103" s="508" t="str">
        <f t="shared" ref="D103:L103" si="23">D104&amp;"(含)"&amp;"-"&amp;E104</f>
        <v>300(含)-500</v>
      </c>
      <c r="E103" s="508" t="str">
        <f t="shared" si="23"/>
        <v>500(含)-800</v>
      </c>
      <c r="F103" s="508" t="str">
        <f t="shared" si="23"/>
        <v>800(含)-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v>0</v>
      </c>
      <c r="D104" s="6">
        <v>300</v>
      </c>
      <c r="E104" s="6">
        <v>500</v>
      </c>
      <c r="F104" s="6">
        <v>800</v>
      </c>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v>99</v>
      </c>
      <c r="D105" s="466">
        <v>100</v>
      </c>
      <c r="E105" s="466">
        <v>99</v>
      </c>
      <c r="F105" s="466">
        <v>98</v>
      </c>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3166" t="s">
        <v>3440</v>
      </c>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3166" t="s">
        <v>3441</v>
      </c>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3166"/>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3166" t="s">
        <v>3442</v>
      </c>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t="s">
        <v>3443</v>
      </c>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3167" t="s">
        <v>3450</v>
      </c>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98</v>
      </c>
      <c r="E120" s="474">
        <f t="shared" ref="E120:M120" si="29">D120-$K41</f>
        <v>96</v>
      </c>
      <c r="F120" s="474">
        <f t="shared" si="29"/>
        <v>94</v>
      </c>
      <c r="G120" s="474">
        <f t="shared" si="29"/>
        <v>92</v>
      </c>
      <c r="H120" s="474">
        <f t="shared" si="29"/>
        <v>90</v>
      </c>
      <c r="I120" s="474">
        <f t="shared" si="29"/>
        <v>88</v>
      </c>
      <c r="J120" s="474">
        <f t="shared" si="29"/>
        <v>86</v>
      </c>
      <c r="K120" s="474">
        <f t="shared" si="29"/>
        <v>84</v>
      </c>
      <c r="L120" s="474">
        <f t="shared" si="29"/>
        <v>82</v>
      </c>
      <c r="M120" s="474">
        <f t="shared" si="29"/>
        <v>80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3166" t="s">
        <v>3441</v>
      </c>
      <c r="D123" s="3166" t="s">
        <v>3447</v>
      </c>
      <c r="E123" s="3166" t="s">
        <v>3444</v>
      </c>
      <c r="F123" s="3166" t="s">
        <v>3445</v>
      </c>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F7:F47 H7:H47 J7:J47">
    <cfRule type="cellIs" dxfId="118" priority="1" operator="notEqual">
      <formula>100</formula>
    </cfRule>
  </conditionalFormatting>
  <conditionalFormatting sqref="F49">
    <cfRule type="expression" dxfId="117" priority="4">
      <formula>$D$49="简单平均"</formula>
    </cfRule>
  </conditionalFormatting>
  <conditionalFormatting sqref="F53:F55 H53:H55">
    <cfRule type="containsText" dxfId="116" priority="17" stopIfTrue="1" operator="containsText" text="超过">
      <formula>NOT(ISERROR(SEARCH("超过",F53)))</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G55">
    <cfRule type="expression" dxfId="113" priority="13" stopIfTrue="1">
      <formula>$H$55="超过30%"</formula>
    </cfRule>
  </conditionalFormatting>
  <conditionalFormatting sqref="H49">
    <cfRule type="expression" dxfId="112" priority="3">
      <formula>$D$49="简单平均"</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J49">
    <cfRule type="expression" dxfId="108" priority="2">
      <formula>$D$49="简单平均"</formula>
    </cfRule>
  </conditionalFormatting>
  <conditionalFormatting sqref="J53:J55">
    <cfRule type="containsText" dxfId="10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t="e">
        <f ca="1">J53</f>
        <v>#N/A</v>
      </c>
      <c r="G1" s="1285" t="e">
        <f>MATCH(C1,'数据-取费表'!A6:A16,0)+5</f>
        <v>#N/A</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#N/A</v>
      </c>
      <c r="C2" s="1288" t="s">
        <v>879</v>
      </c>
      <c r="D2" s="1374" t="e">
        <f ca="1">C40+J29+L46</f>
        <v>#N/A</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t="e">
        <f ca="1">C6+C10+C12</f>
        <v>#N/A</v>
      </c>
      <c r="D5" s="1272" t="s">
        <v>889</v>
      </c>
      <c r="E5" s="1007"/>
      <c r="F5" s="1008"/>
      <c r="G5" s="1291"/>
      <c r="H5" s="290">
        <v>1</v>
      </c>
      <c r="I5" s="291" t="s">
        <v>888</v>
      </c>
      <c r="J5" s="1006" t="e">
        <f ca="1">J6+J10+J12</f>
        <v>#N/A</v>
      </c>
      <c r="K5" s="1272" t="s">
        <v>889</v>
      </c>
      <c r="L5" s="1007"/>
      <c r="M5" s="1008"/>
    </row>
    <row r="6" spans="1:37" ht="18" customHeight="1">
      <c r="A6" s="1005" t="s">
        <v>398</v>
      </c>
      <c r="B6" s="3406" t="s">
        <v>694</v>
      </c>
      <c r="C6" s="1010" t="e">
        <f ca="1">ROUND(F6*F8*F7*(1-F9),0)</f>
        <v>#N/A</v>
      </c>
      <c r="D6" s="146" t="s">
        <v>2105</v>
      </c>
      <c r="E6" s="293" t="s">
        <v>696</v>
      </c>
      <c r="F6" s="294" t="e">
        <f ca="1">INDIRECT("'数据-取费表'!u"&amp;$G$1)</f>
        <v>#N/A</v>
      </c>
      <c r="G6" s="1291"/>
      <c r="H6" s="1005" t="s">
        <v>398</v>
      </c>
      <c r="I6" s="3406" t="s">
        <v>694</v>
      </c>
      <c r="J6" s="292" t="e">
        <f ca="1">ROUND(M6*M8*M7*(1-M9),0)</f>
        <v>#N/A</v>
      </c>
      <c r="K6" s="1283" t="s">
        <v>2106</v>
      </c>
      <c r="L6" s="293" t="s">
        <v>696</v>
      </c>
      <c r="M6" s="294" t="e">
        <f ca="1">INDIRECT("'数据-取费表'!z"&amp;$G$1)</f>
        <v>#N/A</v>
      </c>
    </row>
    <row r="7" spans="1:37" ht="18" customHeight="1">
      <c r="A7" s="1009"/>
      <c r="B7" s="3407"/>
      <c r="C7" s="1011"/>
      <c r="D7" s="298"/>
      <c r="E7" s="1012" t="s">
        <v>697</v>
      </c>
      <c r="F7" s="294" t="e">
        <f ca="1">IF(INDIRECT("'数据-取费表'!ah"&amp;$G$1)="",INDIRECT("'数据-取费表'!k"&amp;$G$1),INDIRECT("'数据-取费表'!ah"&amp;$G$1))</f>
        <v>#N/A</v>
      </c>
      <c r="G7" s="1291"/>
      <c r="H7" s="295"/>
      <c r="I7" s="3407"/>
      <c r="J7" s="297"/>
      <c r="K7" s="298"/>
      <c r="L7" s="293" t="s">
        <v>697</v>
      </c>
      <c r="M7" s="294" t="e">
        <f ca="1">F7</f>
        <v>#N/A</v>
      </c>
    </row>
    <row r="8" spans="1:37" ht="18" customHeight="1">
      <c r="A8" s="295"/>
      <c r="B8" s="3407"/>
      <c r="C8" s="297"/>
      <c r="D8" s="298"/>
      <c r="E8" s="293" t="s">
        <v>698</v>
      </c>
      <c r="F8" s="294" t="e">
        <f ca="1">INDIRECT("'数据-取费表'!ai"&amp;$G$1)</f>
        <v>#N/A</v>
      </c>
      <c r="G8" s="1291"/>
      <c r="H8" s="295"/>
      <c r="I8" s="3407"/>
      <c r="J8" s="297"/>
      <c r="K8" s="298"/>
      <c r="L8" s="293" t="s">
        <v>698</v>
      </c>
      <c r="M8" s="294" t="e">
        <f ca="1">INDIRECT("'数据-取费表'!ai"&amp;$G$1)</f>
        <v>#N/A</v>
      </c>
    </row>
    <row r="9" spans="1:37" ht="18" customHeight="1">
      <c r="A9" s="295"/>
      <c r="B9" s="3408"/>
      <c r="C9" s="297"/>
      <c r="D9" s="298"/>
      <c r="E9" s="293" t="s">
        <v>699</v>
      </c>
      <c r="F9" s="303" t="e">
        <f ca="1">INDIRECT("'数据-取费表'!w"&amp;$G$1)</f>
        <v>#N/A</v>
      </c>
      <c r="G9" s="1291"/>
      <c r="H9" s="295"/>
      <c r="I9" s="3408"/>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49" t="s">
        <v>2115</v>
      </c>
      <c r="E10" s="304" t="s">
        <v>701</v>
      </c>
      <c r="F10" s="1052" t="s">
        <v>3414</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ROUND(INDIRECT("'数据-取费表'!l"&amp;$G$1)*F43+'数据-取费表'!L14*INDIRECT("'数据-取费表'!S"&amp;$G$1),0)</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ROUND(INDIRECT("'数据-取费表'!l"&amp;$G$1)*F43*F16,0)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ROUND(F17*(F43+INDIRECT("'数据-取费表'!S"&amp;$G$1)),0)</f>
        <v>#N/A</v>
      </c>
      <c r="D17" s="293" t="s">
        <v>717</v>
      </c>
      <c r="E17" s="293" t="s">
        <v>718</v>
      </c>
      <c r="F17" s="23">
        <f>'数据-取费表'!B35</f>
        <v>200</v>
      </c>
      <c r="G17" s="1302"/>
      <c r="H17" s="927" t="s">
        <v>398</v>
      </c>
      <c r="I17" s="293"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0.02</v>
      </c>
      <c r="G18" s="1302"/>
      <c r="H18" s="927" t="s">
        <v>397</v>
      </c>
      <c r="I18" s="293" t="s">
        <v>723</v>
      </c>
      <c r="J18" s="21" t="e">
        <f ca="1">ROUND(J6*M18/(1+'数据-取费表'!C42),0)</f>
        <v>#N/A</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IF(K19="按租金收入计税",ROUND(J6*M19/(1+'数据-取费表'!C42),0),ROUND(C29*M19*0.7,0))</f>
        <v>#N/A</v>
      </c>
      <c r="K19" s="1277" t="s">
        <v>3330</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0.03</v>
      </c>
      <c r="G20" s="1302"/>
      <c r="H20" s="927" t="s">
        <v>680</v>
      </c>
      <c r="I20" s="146" t="s">
        <v>730</v>
      </c>
      <c r="J20" s="22" t="e">
        <f ca="1">ROUND(M20*M21,0)</f>
        <v>#N/A</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t="e">
        <f ca="1">ROUND(J14*M22,0)</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t="e">
        <f ca="1">ROUND(J13*M23,0)</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ht="18" customHeight="1">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8"/>
      <c r="I30" s="1304"/>
      <c r="J30" s="1305"/>
      <c r="K30" s="120"/>
      <c r="L30" s="2469"/>
      <c r="M30" s="2470"/>
    </row>
    <row r="31" spans="1:37" ht="18" customHeight="1">
      <c r="A31" s="927" t="s">
        <v>398</v>
      </c>
      <c r="B31" s="293"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7" t="s">
        <v>2301</v>
      </c>
      <c r="I31" s="1304"/>
      <c r="J31" s="1305"/>
      <c r="K31" s="120"/>
      <c r="L31" s="2469"/>
      <c r="M31" s="2470"/>
    </row>
    <row r="32" spans="1:37" ht="18" customHeight="1">
      <c r="A32" s="927" t="s">
        <v>397</v>
      </c>
      <c r="B32" s="293" t="s">
        <v>723</v>
      </c>
      <c r="C32" s="21" t="e">
        <f ca="1">IF(项目基本情况!B11="自然人","——",ROUND(C6*F32/(1+'数据-取费表'!C42),0))</f>
        <v>#N/A</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t="e">
        <f ca="1">IF(项目基本情况!B11="自然人","——",IF(D33="按租金收入计税",ROUND(C6*F33/(1+'数据-取费表'!C42),0),IF(D33="按房产原值计税",ROUND(C29*F33*0.7,0),INDIRECT("'数据-取费表'!Aj"&amp;$G$1))))</f>
        <v>#N/A</v>
      </c>
      <c r="D33" s="1277" t="s">
        <v>3330</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e">
        <f ca="1">IF(项目基本情况!B11="自然人","——",ROUND(F34*F35,0))</f>
        <v>#N/A</v>
      </c>
      <c r="D34" s="315" t="s">
        <v>731</v>
      </c>
      <c r="E34" s="293" t="s">
        <v>732</v>
      </c>
      <c r="F34" s="316">
        <f>'数据-取费表'!B52</f>
        <v>18</v>
      </c>
      <c r="G34" s="1291"/>
      <c r="H34" s="2468"/>
      <c r="I34" s="1304"/>
      <c r="J34" s="1305"/>
      <c r="K34" s="2473"/>
      <c r="L34" s="2474"/>
      <c r="M34" s="2474"/>
    </row>
    <row r="35" spans="1:18" ht="18" customHeight="1">
      <c r="A35" s="1039"/>
      <c r="B35" s="1037"/>
      <c r="C35" s="26"/>
      <c r="D35" s="318"/>
      <c r="E35" s="293" t="s">
        <v>736</v>
      </c>
      <c r="F35" s="294" t="e">
        <f ca="1">INDIRECT("'数据-取费表'!r"&amp;$G$1)</f>
        <v>#N/A</v>
      </c>
      <c r="G35" s="1291"/>
      <c r="H35" s="2468"/>
      <c r="I35" s="1304"/>
      <c r="J35" s="1305"/>
      <c r="K35" s="2472"/>
      <c r="L35" s="2471"/>
      <c r="M35" s="2471"/>
    </row>
    <row r="36" spans="1:18" ht="18" customHeight="1">
      <c r="A36" s="1038" t="s">
        <v>402</v>
      </c>
      <c r="B36" s="293" t="s">
        <v>738</v>
      </c>
      <c r="C36" s="21" t="e">
        <f ca="1">ROUND(C29*F36,0)</f>
        <v>#N/A</v>
      </c>
      <c r="D36" s="1255" t="s">
        <v>771</v>
      </c>
      <c r="E36" s="293" t="s">
        <v>712</v>
      </c>
      <c r="F36" s="319" t="e">
        <f ca="1">INDIRECT("'数据-取费表'!Ak"&amp;$G$1)</f>
        <v>#N/A</v>
      </c>
      <c r="G36" s="1291"/>
      <c r="H36" s="2471"/>
      <c r="I36" s="1304"/>
      <c r="J36" s="1305"/>
      <c r="K36" s="2329"/>
      <c r="L36" s="2471"/>
      <c r="M36" s="2471"/>
    </row>
    <row r="37" spans="1:18" ht="18" customHeight="1">
      <c r="A37" s="927" t="s">
        <v>437</v>
      </c>
      <c r="B37" s="293" t="s">
        <v>742</v>
      </c>
      <c r="C37" s="21" t="e">
        <f ca="1">ROUND(C13*F37,0)</f>
        <v>#N/A</v>
      </c>
      <c r="D37" s="1255" t="s">
        <v>743</v>
      </c>
      <c r="E37" s="293" t="s">
        <v>744</v>
      </c>
      <c r="F37" s="320" t="e">
        <f ca="1">INDIRECT("'数据-取费表'!Al"&amp;$G$1)</f>
        <v>#N/A</v>
      </c>
      <c r="G37" s="1291"/>
      <c r="H37" s="2471"/>
      <c r="I37" s="1304"/>
      <c r="J37" s="1305"/>
      <c r="K37" s="2329"/>
      <c r="L37" s="2471"/>
      <c r="M37" s="2471"/>
    </row>
    <row r="38" spans="1:18" ht="18" customHeight="1" thickBot="1">
      <c r="A38" s="1025" t="s">
        <v>684</v>
      </c>
      <c r="B38" s="1026" t="s">
        <v>728</v>
      </c>
      <c r="C38" s="1027" t="e">
        <f ca="1">ROUND(C5*F38,0)</f>
        <v>#N/A</v>
      </c>
      <c r="D38" s="1028" t="s">
        <v>748</v>
      </c>
      <c r="E38" s="1026" t="s">
        <v>744</v>
      </c>
      <c r="F38" s="1022" t="e">
        <f ca="1">INDIRECT("'数据-取费表'!Am"&amp;$G$1)</f>
        <v>#N/A</v>
      </c>
      <c r="G38" s="1291"/>
      <c r="H38" s="2471"/>
      <c r="I38" s="1304"/>
      <c r="J38" s="1305"/>
      <c r="K38" s="2469"/>
      <c r="L38" s="2471"/>
      <c r="M38" s="2471"/>
    </row>
    <row r="39" spans="1:18" ht="24.6" customHeight="1" thickTop="1">
      <c r="A39" s="1015" t="s">
        <v>394</v>
      </c>
      <c r="B39" s="1030" t="s">
        <v>772</v>
      </c>
      <c r="C39" s="301" t="e">
        <f ca="1">C5-C30</f>
        <v>#N/A</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9"/>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29"/>
      <c r="L41" s="120"/>
      <c r="M41" s="120"/>
    </row>
    <row r="42" spans="1:18" ht="18" customHeight="1">
      <c r="A42" s="299"/>
      <c r="B42" s="300"/>
      <c r="C42" s="301"/>
      <c r="D42" s="318"/>
      <c r="E42" s="293" t="s">
        <v>766</v>
      </c>
      <c r="F42" s="303" t="e">
        <f ca="1">INDIRECT("'数据-取费表'!v"&amp;$G$1)</f>
        <v>#N/A</v>
      </c>
      <c r="G42" s="1291"/>
      <c r="H42" s="120"/>
      <c r="I42" s="1304"/>
      <c r="J42" s="1305"/>
      <c r="K42" s="2329"/>
      <c r="L42" s="120"/>
      <c r="M42" s="120"/>
    </row>
    <row r="43" spans="1:18" ht="18" customHeight="1" thickBot="1">
      <c r="A43" s="324" t="s">
        <v>396</v>
      </c>
      <c r="B43" s="325" t="s">
        <v>776</v>
      </c>
      <c r="C43" s="326" t="e">
        <f ca="1">ROUND(C40/F43,0)</f>
        <v>#N/A</v>
      </c>
      <c r="D43" s="327" t="s">
        <v>777</v>
      </c>
      <c r="E43" s="328" t="s">
        <v>778</v>
      </c>
      <c r="F43" s="329" t="e">
        <f ca="1">INDIRECT("'数据-取费表'!k"&amp;$G$1)</f>
        <v>#N/A</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6" t="s">
        <v>3346</v>
      </c>
      <c r="B45" s="1306"/>
      <c r="C45" s="1375" t="e">
        <f ca="1">ROUND((C68-C40)/10000,4)</f>
        <v>#N/A</v>
      </c>
      <c r="D45" s="3127" t="s">
        <v>3347</v>
      </c>
      <c r="E45" s="1306"/>
      <c r="F45" s="1306"/>
      <c r="O45" s="1309" t="s">
        <v>808</v>
      </c>
      <c r="P45" s="1365"/>
      <c r="Q45" s="1365"/>
      <c r="R45" s="1365"/>
    </row>
    <row r="46" spans="1:18" s="1291" customFormat="1" ht="13.5"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3415</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3416</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ROUND(F49*F51*F50*(1-F52),0)</f>
        <v>#N/A</v>
      </c>
      <c r="D49" s="991" t="s">
        <v>695</v>
      </c>
      <c r="E49" s="1279" t="s">
        <v>780</v>
      </c>
      <c r="F49" s="996"/>
      <c r="H49" s="681"/>
      <c r="I49" s="1327" t="s">
        <v>823</v>
      </c>
      <c r="J49" s="1331">
        <f>'数据-取费表'!N18</f>
        <v>0</v>
      </c>
      <c r="K49" s="1329" t="s">
        <v>824</v>
      </c>
      <c r="L49" s="1332"/>
      <c r="O49" s="1333" t="s">
        <v>405</v>
      </c>
      <c r="P49" s="1325" t="s">
        <v>825</v>
      </c>
      <c r="Q49" s="1326" t="e">
        <f ca="1">C29</f>
        <v>#N/A</v>
      </c>
      <c r="R49" s="1326" t="s">
        <v>818</v>
      </c>
    </row>
    <row r="50" spans="1:18" s="1291" customFormat="1" ht="13.5" thickBot="1">
      <c r="A50" s="921"/>
      <c r="B50" s="924"/>
      <c r="C50" s="925"/>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-1965</v>
      </c>
      <c r="K51" s="1338" t="s">
        <v>830</v>
      </c>
      <c r="L51" s="1339" t="e">
        <f ca="1">ROUND(-PV(INDIRECT("'数据-取费表'!h"&amp;$G$1),J51,(C39-C13*C76),0),0)</f>
        <v>#N/A</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t="e">
        <f ca="1">J53</f>
        <v>#N/A</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t="e">
        <f ca="1">IF(M47="住宅",IF(D1="——",MAX(J51,L48),MAX(J51,L48-'数据-取费表'!B24)),IF(D1="——",MIN(J51,L48),MIN(J51,L48-'数据-取费表'!B24)))</f>
        <v>#N/A</v>
      </c>
      <c r="K53" s="3404" t="s">
        <v>837</v>
      </c>
      <c r="L53" s="3405"/>
      <c r="O53" s="1324" t="s">
        <v>409</v>
      </c>
      <c r="P53" s="1325" t="s">
        <v>838</v>
      </c>
      <c r="Q53" s="1326" t="e">
        <f ca="1">Q47+Q48</f>
        <v>#N/A</v>
      </c>
      <c r="R53" s="1326" t="s">
        <v>410</v>
      </c>
    </row>
    <row r="54" spans="1:18" s="1291" customFormat="1" ht="13.5" thickBot="1">
      <c r="A54" s="920"/>
      <c r="B54" s="1376" t="s">
        <v>891</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2">
        <v>2</v>
      </c>
      <c r="B56" s="903" t="s">
        <v>704</v>
      </c>
      <c r="C56" s="223" t="e">
        <f ca="1">C13</f>
        <v>#N/A</v>
      </c>
      <c r="D56" s="1351"/>
      <c r="E56" s="1352"/>
      <c r="F56" s="1344"/>
      <c r="I56" s="1353" t="s">
        <v>842</v>
      </c>
      <c r="J56" s="1354" t="s">
        <v>3411</v>
      </c>
      <c r="K56" s="1327" t="s">
        <v>843</v>
      </c>
      <c r="L56" s="1330" t="e">
        <f ca="1">IF(L48&lt;J51,"——",L48-J51)</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IF(项目基本情况!B11="自然人","——",ROUND(C48*F60/(1+'数据-取费表'!C42),0))</f>
        <v>#N/A</v>
      </c>
      <c r="D60" s="909" t="s">
        <v>724</v>
      </c>
      <c r="E60" s="895" t="s">
        <v>712</v>
      </c>
      <c r="F60" s="321">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IF(项目基本情况!B11="自然人","——",IF(D61="按租金收入计税",ROUND(C49*F61/(1+'数据-取费表'!C42),0),IF(D61="按房产原值计税",ROUND(C57*F61*0.7,0),INDIRECT("'数据-取费表'!Aj"&amp;$G$1))))</f>
        <v>#N/A</v>
      </c>
      <c r="D61" s="1277" t="s">
        <v>3330</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IF(项目基本情况!B11="自然人","——",ROUND(F62*F63,0))</f>
        <v>#N/A</v>
      </c>
      <c r="D62" s="910" t="s">
        <v>786</v>
      </c>
      <c r="E62" s="895" t="s">
        <v>787</v>
      </c>
      <c r="F62" s="316">
        <f t="shared" si="0"/>
        <v>18</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ROUND(C48*F66,0)</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15" customHeight="1">
      <c r="A2" s="1292" t="s">
        <v>2310</v>
      </c>
      <c r="B2" s="2592" t="e">
        <f>IF(D2="——",C40,C40+E2)</f>
        <v>#DIV/0!</v>
      </c>
      <c r="C2" s="2593" t="s">
        <v>2311</v>
      </c>
      <c r="D2" s="3135" t="s">
        <v>3353</v>
      </c>
      <c r="E2" s="3136"/>
      <c r="F2" s="2595"/>
      <c r="G2" s="2596"/>
      <c r="H2" s="2597"/>
      <c r="I2" s="2598"/>
      <c r="J2" s="3458" t="s">
        <v>2312</v>
      </c>
      <c r="K2" s="3459"/>
      <c r="L2" s="2599" t="s">
        <v>2313</v>
      </c>
      <c r="M2" s="2599" t="s">
        <v>2314</v>
      </c>
      <c r="N2" s="2599" t="s">
        <v>2315</v>
      </c>
      <c r="O2" s="2599" t="s">
        <v>2316</v>
      </c>
      <c r="P2" s="2599" t="s">
        <v>2317</v>
      </c>
      <c r="Q2" s="2600" t="s">
        <v>2318</v>
      </c>
      <c r="R2" s="2601" t="s">
        <v>2319</v>
      </c>
      <c r="S2" s="2590"/>
      <c r="T2" s="2590"/>
      <c r="U2" s="2590"/>
      <c r="V2" s="2598"/>
    </row>
    <row r="3" spans="1:22" s="2602" customFormat="1" ht="13.15" customHeight="1">
      <c r="A3" s="2603" t="s">
        <v>2320</v>
      </c>
      <c r="B3" s="2604" t="e">
        <f>ROUND(B2*10000/B4,0)</f>
        <v>#DIV/0!</v>
      </c>
      <c r="C3" s="2593" t="s">
        <v>2321</v>
      </c>
      <c r="D3" s="2593"/>
      <c r="E3" s="2594"/>
      <c r="F3" s="2595"/>
      <c r="G3" s="2596"/>
      <c r="H3" s="2597"/>
      <c r="I3" s="2598"/>
      <c r="J3" s="3460" t="s">
        <v>2322</v>
      </c>
      <c r="K3" s="3461"/>
      <c r="L3" s="2605"/>
      <c r="M3" s="2605"/>
      <c r="N3" s="2605"/>
      <c r="O3" s="2605"/>
      <c r="P3" s="2605"/>
      <c r="Q3" s="2606"/>
      <c r="R3" s="2607">
        <f>SUM(L3:Q3)</f>
        <v>0</v>
      </c>
      <c r="S3" s="2590"/>
      <c r="T3" s="2590"/>
      <c r="U3" s="2590"/>
      <c r="V3" s="2598"/>
    </row>
    <row r="4" spans="1:22" s="2602" customFormat="1" ht="13.15" customHeight="1">
      <c r="A4" s="2608" t="s">
        <v>2323</v>
      </c>
      <c r="B4" s="2609"/>
      <c r="C4" s="2593"/>
      <c r="D4" s="2593"/>
      <c r="E4" s="2594"/>
      <c r="F4" s="2595"/>
      <c r="G4" s="2596"/>
      <c r="H4" s="2597"/>
      <c r="I4" s="2598"/>
      <c r="J4" s="3460" t="s">
        <v>2324</v>
      </c>
      <c r="K4" s="3461"/>
      <c r="L4" s="2610"/>
      <c r="M4" s="2610"/>
      <c r="N4" s="2610"/>
      <c r="O4" s="2610"/>
      <c r="P4" s="2610"/>
      <c r="Q4" s="2611"/>
      <c r="R4" s="2612">
        <f>SUM(L4:Q4)</f>
        <v>0</v>
      </c>
      <c r="S4" s="2590"/>
      <c r="T4" s="2590"/>
      <c r="U4" s="2590"/>
      <c r="V4" s="2598"/>
    </row>
    <row r="5" spans="1:22" s="2602" customFormat="1" ht="13.15"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15" customHeight="1" thickBot="1">
      <c r="A6" s="3462" t="s">
        <v>2328</v>
      </c>
      <c r="B6" s="3463"/>
      <c r="C6" s="3464"/>
      <c r="D6" s="2619"/>
      <c r="E6" s="2620"/>
      <c r="F6" s="2621"/>
      <c r="G6" s="2622"/>
      <c r="H6" s="2597"/>
      <c r="I6" s="2598"/>
      <c r="J6" s="3465">
        <v>1</v>
      </c>
      <c r="K6" s="3466"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15" customHeight="1">
      <c r="A7" s="2625" t="s">
        <v>2338</v>
      </c>
      <c r="B7" s="2626"/>
      <c r="C7" s="2627"/>
      <c r="D7" s="2628">
        <f>SUM(D9,D10,D11,D17,0)</f>
        <v>0</v>
      </c>
      <c r="E7" s="2629" t="e">
        <f>E9+E10+E11+E17</f>
        <v>#DIV/0!</v>
      </c>
      <c r="F7" s="2630"/>
      <c r="G7" s="2631"/>
      <c r="H7" s="2597"/>
      <c r="I7" s="2598"/>
      <c r="J7" s="3465"/>
      <c r="K7" s="3467"/>
      <c r="L7" s="2632" t="s">
        <v>2339</v>
      </c>
      <c r="M7" s="2633"/>
      <c r="N7" s="2609"/>
      <c r="O7" s="2634"/>
      <c r="P7" s="2634"/>
      <c r="Q7" s="2635">
        <v>365</v>
      </c>
      <c r="R7" s="2636">
        <f>ROUND(M7*N7*O7*P7*Q7/10000,0)</f>
        <v>0</v>
      </c>
      <c r="S7" s="2590"/>
      <c r="T7" s="2590" t="s">
        <v>2340</v>
      </c>
      <c r="U7" s="2590"/>
      <c r="V7" s="2598"/>
    </row>
    <row r="8" spans="1:22" s="2602" customFormat="1" ht="13.15" customHeight="1">
      <c r="A8" s="2637" t="s">
        <v>2341</v>
      </c>
      <c r="B8" s="3469" t="s">
        <v>2342</v>
      </c>
      <c r="C8" s="3470"/>
      <c r="D8" s="2638" t="s">
        <v>2343</v>
      </c>
      <c r="E8" s="2639" t="s">
        <v>2344</v>
      </c>
      <c r="F8" s="2640" t="s">
        <v>2345</v>
      </c>
      <c r="G8" s="2641"/>
      <c r="H8" s="2597"/>
      <c r="I8" s="2598"/>
      <c r="J8" s="3465"/>
      <c r="K8" s="3467"/>
      <c r="L8" s="2632" t="s">
        <v>2346</v>
      </c>
      <c r="M8" s="2633"/>
      <c r="N8" s="2609"/>
      <c r="O8" s="2634"/>
      <c r="P8" s="2634"/>
      <c r="Q8" s="2635">
        <v>365</v>
      </c>
      <c r="R8" s="2636">
        <f t="shared" ref="R8:R13" si="0">ROUND(M8*N8*O8*P8*Q8/10000,0)</f>
        <v>0</v>
      </c>
      <c r="S8" s="2590"/>
      <c r="T8" s="2590" t="s">
        <v>2347</v>
      </c>
      <c r="U8" s="2590"/>
      <c r="V8" s="2598"/>
    </row>
    <row r="9" spans="1:22" s="2602" customFormat="1" ht="13.15" customHeight="1">
      <c r="A9" s="2637">
        <v>1</v>
      </c>
      <c r="B9" s="3469" t="s">
        <v>2348</v>
      </c>
      <c r="C9" s="3470"/>
      <c r="D9" s="2638">
        <f>ROUND(D6*E9,0)</f>
        <v>0</v>
      </c>
      <c r="E9" s="2642"/>
      <c r="F9" s="2643" t="s">
        <v>2349</v>
      </c>
      <c r="G9" s="2622"/>
      <c r="H9" s="2597"/>
      <c r="I9" s="2598"/>
      <c r="J9" s="3465"/>
      <c r="K9" s="3467"/>
      <c r="L9" s="2632" t="s">
        <v>2350</v>
      </c>
      <c r="M9" s="2633"/>
      <c r="N9" s="2609"/>
      <c r="O9" s="2634"/>
      <c r="P9" s="2634"/>
      <c r="Q9" s="2635">
        <v>365</v>
      </c>
      <c r="R9" s="2636">
        <f t="shared" si="0"/>
        <v>0</v>
      </c>
      <c r="S9" s="2590"/>
      <c r="T9" s="2590"/>
      <c r="U9" s="2590"/>
      <c r="V9" s="2598"/>
    </row>
    <row r="10" spans="1:22" s="2602" customFormat="1" ht="13.15" customHeight="1">
      <c r="A10" s="2637">
        <v>2</v>
      </c>
      <c r="B10" s="3469" t="s">
        <v>2351</v>
      </c>
      <c r="C10" s="3470"/>
      <c r="D10" s="2638">
        <f>ROUND(D6*E10,0)</f>
        <v>0</v>
      </c>
      <c r="E10" s="2642"/>
      <c r="F10" s="2643" t="s">
        <v>2352</v>
      </c>
      <c r="G10" s="2622"/>
      <c r="H10" s="2597"/>
      <c r="I10" s="2598"/>
      <c r="J10" s="3465"/>
      <c r="K10" s="3467"/>
      <c r="L10" s="2632" t="s">
        <v>2353</v>
      </c>
      <c r="M10" s="2633"/>
      <c r="N10" s="2609"/>
      <c r="O10" s="2634"/>
      <c r="P10" s="2634"/>
      <c r="Q10" s="2635">
        <v>365</v>
      </c>
      <c r="R10" s="2636">
        <f t="shared" si="0"/>
        <v>0</v>
      </c>
      <c r="S10" s="2590"/>
      <c r="T10" s="2590"/>
      <c r="U10" s="2590"/>
      <c r="V10" s="2598"/>
    </row>
    <row r="11" spans="1:22" s="2602" customFormat="1" ht="13.15" customHeight="1">
      <c r="A11" s="2637">
        <v>3</v>
      </c>
      <c r="B11" s="3469" t="s">
        <v>2354</v>
      </c>
      <c r="C11" s="3470"/>
      <c r="D11" s="2638">
        <f>D12+D14+D15+D16</f>
        <v>0</v>
      </c>
      <c r="E11" s="2644" t="e">
        <f>D11/D6</f>
        <v>#DIV/0!</v>
      </c>
      <c r="F11" s="2640"/>
      <c r="G11" s="2641"/>
      <c r="H11" s="2597"/>
      <c r="I11" s="2598"/>
      <c r="J11" s="3465"/>
      <c r="K11" s="3467"/>
      <c r="L11" s="2632" t="s">
        <v>2355</v>
      </c>
      <c r="M11" s="2633"/>
      <c r="N11" s="2609"/>
      <c r="O11" s="2634"/>
      <c r="P11" s="2634"/>
      <c r="Q11" s="2635">
        <v>365</v>
      </c>
      <c r="R11" s="2636">
        <f t="shared" si="0"/>
        <v>0</v>
      </c>
      <c r="S11" s="2590"/>
      <c r="T11" s="2590"/>
      <c r="U11" s="2590"/>
      <c r="V11" s="2598"/>
    </row>
    <row r="12" spans="1:22" s="2602" customFormat="1" ht="13.15" customHeight="1">
      <c r="A12" s="2645" t="s">
        <v>2356</v>
      </c>
      <c r="B12" s="3471" t="s">
        <v>2357</v>
      </c>
      <c r="C12" s="3472"/>
      <c r="D12" s="2646">
        <f>ROUND(D13*1.2%*(1-30%),0)</f>
        <v>0</v>
      </c>
      <c r="E12" s="2647">
        <v>1.2E-2</v>
      </c>
      <c r="F12" s="2640" t="s">
        <v>2358</v>
      </c>
      <c r="G12" s="2641"/>
      <c r="H12" s="2597"/>
      <c r="I12" s="2598"/>
      <c r="J12" s="3465"/>
      <c r="K12" s="3467"/>
      <c r="L12" s="2632" t="s">
        <v>2359</v>
      </c>
      <c r="M12" s="2633"/>
      <c r="N12" s="2609"/>
      <c r="O12" s="2634"/>
      <c r="P12" s="2634"/>
      <c r="Q12" s="2635">
        <v>365</v>
      </c>
      <c r="R12" s="2636">
        <f t="shared" si="0"/>
        <v>0</v>
      </c>
      <c r="S12" s="2590"/>
      <c r="T12" s="2590"/>
      <c r="U12" s="2590"/>
      <c r="V12" s="2598"/>
    </row>
    <row r="13" spans="1:22" s="2602" customFormat="1" ht="13.15" customHeight="1">
      <c r="A13" s="2645"/>
      <c r="B13" s="2648"/>
      <c r="C13" s="2649" t="s">
        <v>2360</v>
      </c>
      <c r="D13" s="2650"/>
      <c r="E13" s="2651"/>
      <c r="F13" s="2640"/>
      <c r="G13" s="2641"/>
      <c r="H13" s="2597"/>
      <c r="I13" s="2598"/>
      <c r="J13" s="3465"/>
      <c r="K13" s="3467"/>
      <c r="L13" s="2632" t="s">
        <v>2361</v>
      </c>
      <c r="M13" s="2633"/>
      <c r="N13" s="2609"/>
      <c r="O13" s="2634"/>
      <c r="P13" s="2634"/>
      <c r="Q13" s="2635">
        <v>365</v>
      </c>
      <c r="R13" s="2636">
        <f t="shared" si="0"/>
        <v>0</v>
      </c>
      <c r="S13" s="2590"/>
      <c r="T13" s="2590"/>
      <c r="U13" s="2590"/>
      <c r="V13" s="2598"/>
    </row>
    <row r="14" spans="1:22" s="2602" customFormat="1" ht="13.15" customHeight="1">
      <c r="A14" s="2645" t="s">
        <v>2362</v>
      </c>
      <c r="B14" s="3471" t="s">
        <v>2363</v>
      </c>
      <c r="C14" s="3472"/>
      <c r="D14" s="2646">
        <f>ROUND(E14*B5/10000,0)</f>
        <v>0</v>
      </c>
      <c r="E14" s="2635"/>
      <c r="F14" s="2640" t="s">
        <v>2364</v>
      </c>
      <c r="G14" s="2641"/>
      <c r="H14" s="2597"/>
      <c r="I14" s="2598"/>
      <c r="J14" s="3465"/>
      <c r="K14" s="3468"/>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2366</v>
      </c>
      <c r="B15" s="3471" t="s">
        <v>2367</v>
      </c>
      <c r="C15" s="3472"/>
      <c r="D15" s="2646">
        <f>ROUND(D6*E15,0)</f>
        <v>0</v>
      </c>
      <c r="E15" s="2647">
        <v>5.5E-2</v>
      </c>
      <c r="F15" s="2640" t="s">
        <v>2368</v>
      </c>
      <c r="G15" s="2622"/>
      <c r="H15" s="2597"/>
      <c r="I15" s="2598"/>
      <c r="J15" s="3465">
        <v>2</v>
      </c>
      <c r="K15" s="3466"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15" customHeight="1">
      <c r="A16" s="2645" t="s">
        <v>2375</v>
      </c>
      <c r="B16" s="3471" t="s">
        <v>2376</v>
      </c>
      <c r="C16" s="3472"/>
      <c r="D16" s="2657">
        <f>D6*E16</f>
        <v>0</v>
      </c>
      <c r="E16" s="2658"/>
      <c r="F16" s="2643" t="s">
        <v>2377</v>
      </c>
      <c r="G16" s="2622"/>
      <c r="H16" s="2597"/>
      <c r="I16" s="2598"/>
      <c r="J16" s="3465"/>
      <c r="K16" s="3467"/>
      <c r="L16" s="2632" t="s">
        <v>2378</v>
      </c>
      <c r="M16" s="2633"/>
      <c r="N16" s="2633"/>
      <c r="O16" s="2634"/>
      <c r="P16" s="2635">
        <v>365</v>
      </c>
      <c r="Q16" s="2609"/>
      <c r="R16" s="2656">
        <f>ROUND(M16*N16*O16*P16/10000,0)</f>
        <v>0</v>
      </c>
      <c r="S16" s="2590"/>
      <c r="T16" s="2590"/>
      <c r="U16" s="2590"/>
      <c r="V16" s="2598"/>
    </row>
    <row r="17" spans="1:22" s="2602" customFormat="1" ht="13.15" customHeight="1" thickBot="1">
      <c r="A17" s="2659">
        <v>4</v>
      </c>
      <c r="B17" s="3473" t="s">
        <v>2379</v>
      </c>
      <c r="C17" s="3474"/>
      <c r="D17" s="2660">
        <f>ROUND(D6*E17,0)</f>
        <v>0</v>
      </c>
      <c r="E17" s="2661"/>
      <c r="F17" s="2662" t="s">
        <v>2380</v>
      </c>
      <c r="G17" s="2622"/>
      <c r="H17" s="2597"/>
      <c r="I17" s="2598"/>
      <c r="J17" s="3465"/>
      <c r="K17" s="3467"/>
      <c r="L17" s="2632" t="s">
        <v>2381</v>
      </c>
      <c r="M17" s="2633"/>
      <c r="N17" s="2633"/>
      <c r="O17" s="2634"/>
      <c r="P17" s="2635">
        <v>365</v>
      </c>
      <c r="Q17" s="2609"/>
      <c r="R17" s="2656">
        <f>ROUND(M17*N17*O17*P17/10000,0)</f>
        <v>0</v>
      </c>
      <c r="S17" s="2590"/>
      <c r="T17" s="2590"/>
      <c r="U17" s="2590"/>
      <c r="V17" s="2598"/>
    </row>
    <row r="18" spans="1:22" s="2602" customFormat="1" ht="13.15" customHeight="1" thickBot="1">
      <c r="A18" s="2625" t="s">
        <v>2382</v>
      </c>
      <c r="B18" s="2626"/>
      <c r="C18" s="2626"/>
      <c r="D18" s="2663">
        <f>ROUND(D6*E18,0)</f>
        <v>0</v>
      </c>
      <c r="E18" s="2664"/>
      <c r="F18" s="2665" t="s">
        <v>2383</v>
      </c>
      <c r="G18" s="2622"/>
      <c r="H18" s="2597"/>
      <c r="I18" s="2598"/>
      <c r="J18" s="3465"/>
      <c r="K18" s="3467"/>
      <c r="L18" s="2632" t="s">
        <v>2384</v>
      </c>
      <c r="M18" s="2633"/>
      <c r="N18" s="2633"/>
      <c r="O18" s="2634"/>
      <c r="P18" s="2635">
        <v>365</v>
      </c>
      <c r="Q18" s="2609"/>
      <c r="R18" s="2656">
        <f>ROUND(M18*N18*O18*P18/10000,0)</f>
        <v>0</v>
      </c>
      <c r="S18" s="2590"/>
      <c r="T18" s="2590"/>
      <c r="U18" s="2590"/>
      <c r="V18" s="2598"/>
    </row>
    <row r="19" spans="1:22" s="2602" customFormat="1" ht="13.15" customHeight="1" thickBot="1">
      <c r="A19" s="2666" t="s">
        <v>2385</v>
      </c>
      <c r="B19" s="2620"/>
      <c r="C19" s="2620"/>
      <c r="D19" s="2620"/>
      <c r="E19" s="2620"/>
      <c r="F19" s="2621"/>
      <c r="G19" s="2641"/>
      <c r="H19" s="2597"/>
      <c r="I19" s="2598"/>
      <c r="J19" s="3465"/>
      <c r="K19" s="3468"/>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65">
        <v>3</v>
      </c>
      <c r="K20" s="3466"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15" customHeight="1">
      <c r="A21" s="2625"/>
      <c r="B21" s="2626"/>
      <c r="C21" s="2671" t="s">
        <v>2394</v>
      </c>
      <c r="D21" s="2672" t="s">
        <v>2395</v>
      </c>
      <c r="E21" s="2673" t="s">
        <v>2396</v>
      </c>
      <c r="F21" s="2669"/>
      <c r="G21" s="2641"/>
      <c r="H21" s="2597"/>
      <c r="I21" s="2598"/>
      <c r="J21" s="3465"/>
      <c r="K21" s="3467"/>
      <c r="L21" s="2632" t="s">
        <v>2397</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2398</v>
      </c>
      <c r="D22" s="2676" t="s">
        <v>2399</v>
      </c>
      <c r="E22" s="2677" t="s">
        <v>2400</v>
      </c>
      <c r="F22" s="2669"/>
      <c r="G22" s="2590"/>
      <c r="H22" s="2597"/>
      <c r="I22" s="2598"/>
      <c r="J22" s="3465"/>
      <c r="K22" s="3467"/>
      <c r="L22" s="2632" t="s">
        <v>2401</v>
      </c>
      <c r="M22" s="2633"/>
      <c r="N22" s="2633"/>
      <c r="O22" s="2634"/>
      <c r="P22" s="2635">
        <v>365</v>
      </c>
      <c r="Q22" s="2609"/>
      <c r="R22" s="2674">
        <f>ROUND(M22*N22*O22*P22/10000,0)</f>
        <v>0</v>
      </c>
      <c r="S22" s="2590"/>
      <c r="T22" s="2590"/>
      <c r="U22" s="2590"/>
      <c r="V22" s="2598"/>
    </row>
    <row r="23" spans="1:22" s="2602" customFormat="1" ht="13.15" customHeight="1">
      <c r="A23" s="2678">
        <v>1</v>
      </c>
      <c r="B23" s="2679" t="s">
        <v>2402</v>
      </c>
      <c r="C23" s="2680">
        <f>D6</f>
        <v>0</v>
      </c>
      <c r="D23" s="2681">
        <f>C23*(1+D24)</f>
        <v>0</v>
      </c>
      <c r="E23" s="2682">
        <f>D23*(1+E24)</f>
        <v>0</v>
      </c>
      <c r="F23" s="2683"/>
      <c r="G23" s="2684"/>
      <c r="H23" s="2597"/>
      <c r="I23" s="2598"/>
      <c r="J23" s="3465"/>
      <c r="K23" s="3467"/>
      <c r="L23" s="2632" t="s">
        <v>2403</v>
      </c>
      <c r="M23" s="2633"/>
      <c r="N23" s="2633"/>
      <c r="O23" s="2634"/>
      <c r="P23" s="2635">
        <v>365</v>
      </c>
      <c r="Q23" s="2609"/>
      <c r="R23" s="2674">
        <f>ROUND(M23*N23*O23*P23/10000,0)</f>
        <v>0</v>
      </c>
      <c r="S23" s="2590"/>
      <c r="T23" s="2590"/>
      <c r="U23" s="2590"/>
      <c r="V23" s="2598"/>
    </row>
    <row r="24" spans="1:22" s="2602" customFormat="1" ht="13.15" customHeight="1">
      <c r="A24" s="2685"/>
      <c r="B24" s="2686" t="s">
        <v>2404</v>
      </c>
      <c r="C24" s="2687"/>
      <c r="D24" s="2688"/>
      <c r="E24" s="2689"/>
      <c r="F24" s="2690"/>
      <c r="G24" s="2684"/>
      <c r="H24" s="2597"/>
      <c r="I24" s="2598"/>
      <c r="J24" s="3465"/>
      <c r="K24" s="3468"/>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15" customHeight="1">
      <c r="A26" s="2678">
        <v>2</v>
      </c>
      <c r="B26" s="2679" t="s">
        <v>2406</v>
      </c>
      <c r="C26" s="2680">
        <f>D7</f>
        <v>0</v>
      </c>
      <c r="D26" s="2681">
        <f>D23*D27</f>
        <v>0</v>
      </c>
      <c r="E26" s="2682">
        <f>E23*E27</f>
        <v>0</v>
      </c>
      <c r="F26" s="2683"/>
      <c r="G26" s="2684"/>
      <c r="H26" s="2597"/>
      <c r="I26" s="2598"/>
      <c r="J26" s="3475">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15" customHeight="1">
      <c r="A27" s="2685"/>
      <c r="B27" s="2686" t="s">
        <v>2412</v>
      </c>
      <c r="C27" s="2703" t="e">
        <f>E7</f>
        <v>#DIV/0!</v>
      </c>
      <c r="D27" s="2688"/>
      <c r="E27" s="2689"/>
      <c r="F27" s="2690"/>
      <c r="G27" s="2684"/>
      <c r="H27" s="2704"/>
      <c r="I27" s="2696"/>
      <c r="J27" s="347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15"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15" customHeight="1">
      <c r="A32" s="2678">
        <v>4</v>
      </c>
      <c r="B32" s="2679" t="s">
        <v>2420</v>
      </c>
      <c r="C32" s="2680">
        <f>C23-C26-C29</f>
        <v>0</v>
      </c>
      <c r="D32" s="2681">
        <f>D23-D26-D29</f>
        <v>0</v>
      </c>
      <c r="E32" s="2682">
        <f>E23-E26-E29</f>
        <v>0</v>
      </c>
      <c r="F32" s="2683"/>
      <c r="G32" s="2590"/>
      <c r="H32" s="2597"/>
      <c r="I32" s="2598"/>
      <c r="J32" s="3458" t="s">
        <v>2312</v>
      </c>
      <c r="K32" s="3459"/>
      <c r="L32" s="2599" t="s">
        <v>2313</v>
      </c>
      <c r="M32" s="2599" t="s">
        <v>2314</v>
      </c>
      <c r="N32" s="2599" t="s">
        <v>2315</v>
      </c>
      <c r="O32" s="2599" t="s">
        <v>2316</v>
      </c>
      <c r="P32" s="2599" t="s">
        <v>2317</v>
      </c>
      <c r="Q32" s="2600" t="s">
        <v>2318</v>
      </c>
      <c r="R32" s="2719" t="s">
        <v>2319</v>
      </c>
      <c r="S32" s="2590"/>
      <c r="T32" s="2590"/>
      <c r="U32" s="2590"/>
      <c r="V32" s="2696"/>
    </row>
    <row r="33" spans="1:23" s="2602" customFormat="1" ht="13.15" customHeight="1">
      <c r="A33" s="2678"/>
      <c r="B33" s="2679"/>
      <c r="C33" s="2680"/>
      <c r="D33" s="2720"/>
      <c r="E33" s="2721"/>
      <c r="F33" s="2683"/>
      <c r="G33" s="2590"/>
      <c r="H33" s="2704"/>
      <c r="I33" s="2696"/>
      <c r="J33" s="3460" t="s">
        <v>2322</v>
      </c>
      <c r="K33" s="3461"/>
      <c r="L33" s="2605"/>
      <c r="M33" s="2605"/>
      <c r="N33" s="2605"/>
      <c r="O33" s="2605"/>
      <c r="P33" s="2605"/>
      <c r="Q33" s="2606"/>
      <c r="R33" s="2722">
        <f>SUM(L33:Q33)</f>
        <v>0</v>
      </c>
      <c r="S33" s="2590"/>
      <c r="T33" s="2590"/>
      <c r="U33" s="2590"/>
      <c r="V33" s="2598"/>
    </row>
    <row r="34" spans="1:23" s="2602" customFormat="1" ht="13.15" customHeight="1">
      <c r="A34" s="2678">
        <v>5</v>
      </c>
      <c r="B34" s="2679" t="s">
        <v>2421</v>
      </c>
      <c r="C34" s="2723"/>
      <c r="D34" s="2724"/>
      <c r="E34" s="2725"/>
      <c r="F34" s="2683"/>
      <c r="G34" s="2590"/>
      <c r="H34" s="2704"/>
      <c r="I34" s="2696"/>
      <c r="J34" s="3460" t="s">
        <v>2324</v>
      </c>
      <c r="K34" s="346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15" customHeight="1" thickBot="1">
      <c r="A36" s="2678">
        <v>7</v>
      </c>
      <c r="B36" s="2732" t="s">
        <v>2423</v>
      </c>
      <c r="C36" s="2733"/>
      <c r="D36" s="2734"/>
      <c r="E36" s="2735"/>
      <c r="F36" s="2736">
        <f>C36+D36+E36</f>
        <v>0</v>
      </c>
      <c r="G36" s="2590"/>
      <c r="H36" s="2597"/>
      <c r="I36" s="2598"/>
      <c r="J36" s="3465">
        <v>1</v>
      </c>
      <c r="K36" s="3466" t="s">
        <v>2424</v>
      </c>
      <c r="L36" s="2623"/>
      <c r="M36" s="2624"/>
      <c r="N36" s="2624"/>
      <c r="O36" s="2624"/>
      <c r="P36" s="2624"/>
      <c r="Q36" s="2624"/>
      <c r="R36" s="2607" t="s">
        <v>2336</v>
      </c>
      <c r="S36" s="2590"/>
      <c r="T36" s="2590" t="s">
        <v>2337</v>
      </c>
      <c r="U36" s="2590"/>
      <c r="V36" s="2598"/>
    </row>
    <row r="37" spans="1:23" s="2602" customFormat="1" ht="13.15" customHeight="1">
      <c r="A37" s="2678"/>
      <c r="B37" s="2679"/>
      <c r="C37" s="2679"/>
      <c r="D37" s="2679"/>
      <c r="E37" s="2679"/>
      <c r="F37" s="2683"/>
      <c r="G37" s="2590"/>
      <c r="H37" s="2597"/>
      <c r="I37" s="2598"/>
      <c r="J37" s="3465"/>
      <c r="K37" s="3467"/>
      <c r="L37" s="2632"/>
      <c r="M37" s="2633"/>
      <c r="N37" s="2609"/>
      <c r="O37" s="2634"/>
      <c r="P37" s="2634"/>
      <c r="Q37" s="2635"/>
      <c r="R37" s="2636"/>
      <c r="S37" s="2590"/>
      <c r="T37" s="2590" t="s">
        <v>2340</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65"/>
      <c r="K38" s="3467"/>
      <c r="L38" s="2632"/>
      <c r="M38" s="2633"/>
      <c r="N38" s="2609"/>
      <c r="O38" s="2634"/>
      <c r="P38" s="2634"/>
      <c r="Q38" s="2635"/>
      <c r="R38" s="2636"/>
      <c r="S38" s="2590"/>
      <c r="T38" s="2590" t="s">
        <v>2347</v>
      </c>
      <c r="U38" s="2590"/>
      <c r="V38" s="2598"/>
    </row>
    <row r="39" spans="1:23" s="2602" customFormat="1" ht="13.15" customHeight="1">
      <c r="A39" s="2678">
        <v>9</v>
      </c>
      <c r="B39" s="2679" t="s">
        <v>2425</v>
      </c>
      <c r="C39" s="2646" t="e">
        <f>C38</f>
        <v>#DIV/0!</v>
      </c>
      <c r="D39" s="2679">
        <f>D38/(1+D34)^C36</f>
        <v>0</v>
      </c>
      <c r="E39" s="2679">
        <f>E38/(1+E34)^(C36+D36)</f>
        <v>0</v>
      </c>
      <c r="F39" s="2683"/>
      <c r="G39" s="2598"/>
      <c r="H39" s="2597"/>
      <c r="I39" s="2598"/>
      <c r="J39" s="3465"/>
      <c r="K39" s="3467"/>
      <c r="L39" s="2632"/>
      <c r="M39" s="2633"/>
      <c r="N39" s="2609"/>
      <c r="O39" s="2634"/>
      <c r="P39" s="2634"/>
      <c r="Q39" s="2635"/>
      <c r="R39" s="2636"/>
      <c r="S39" s="2590"/>
      <c r="T39" s="2590"/>
      <c r="U39" s="2590"/>
      <c r="V39" s="2598"/>
    </row>
    <row r="40" spans="1:23" s="2602" customFormat="1" ht="13.15" customHeight="1">
      <c r="A40" s="2737">
        <v>10</v>
      </c>
      <c r="B40" s="2679" t="s">
        <v>2426</v>
      </c>
      <c r="C40" s="2738" t="e">
        <f>C39+D39+E39</f>
        <v>#DIV/0!</v>
      </c>
      <c r="D40" s="2739"/>
      <c r="E40" s="2739"/>
      <c r="F40" s="2740"/>
      <c r="G40" s="2590"/>
      <c r="H40" s="2597"/>
      <c r="I40" s="2598"/>
      <c r="J40" s="3465"/>
      <c r="K40" s="3468"/>
      <c r="L40" s="2652" t="s">
        <v>2365</v>
      </c>
      <c r="M40" s="2653"/>
      <c r="N40" s="2653"/>
      <c r="O40" s="2654"/>
      <c r="P40" s="2654"/>
      <c r="Q40" s="2655"/>
      <c r="R40" s="2601">
        <f>SUM(R37:R39)</f>
        <v>0</v>
      </c>
      <c r="S40" s="2590"/>
      <c r="T40" s="2590"/>
      <c r="U40" s="2590"/>
      <c r="V40" s="2598"/>
    </row>
    <row r="41" spans="1:23" s="2602" customFormat="1" ht="13.15"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15" customHeight="1">
      <c r="G42" s="2597"/>
      <c r="H42" s="2597"/>
      <c r="I42" s="2598"/>
      <c r="J42" s="3475">
        <v>3</v>
      </c>
      <c r="K42" s="2698" t="s">
        <v>2407</v>
      </c>
      <c r="L42" s="2699"/>
      <c r="M42" s="2700"/>
      <c r="N42" s="2701" t="s">
        <v>2408</v>
      </c>
      <c r="O42" s="2701" t="s">
        <v>2409</v>
      </c>
      <c r="P42" s="2702" t="s">
        <v>2410</v>
      </c>
      <c r="Q42" s="2702" t="s">
        <v>2411</v>
      </c>
      <c r="R42" s="2607" t="s">
        <v>2336</v>
      </c>
      <c r="S42" s="2641"/>
      <c r="T42" s="2641"/>
      <c r="U42" s="2590"/>
      <c r="V42" s="2598"/>
    </row>
    <row r="43" spans="1:23" ht="13.15" customHeight="1">
      <c r="A43" s="2602"/>
      <c r="B43" s="2602"/>
      <c r="C43" s="2602"/>
      <c r="D43" s="2602"/>
      <c r="E43" s="2602"/>
      <c r="F43" s="2602"/>
      <c r="I43" s="2585"/>
      <c r="J43" s="347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7"/>
      <c r="G1" s="458"/>
      <c r="H1" s="458"/>
      <c r="I1" s="458"/>
      <c r="J1" s="458"/>
      <c r="K1" s="458"/>
      <c r="L1" s="458"/>
      <c r="M1" s="458"/>
      <c r="N1" s="458"/>
      <c r="O1" s="458"/>
      <c r="P1" s="458"/>
      <c r="Q1" s="458"/>
      <c r="R1" s="458"/>
      <c r="S1" s="458"/>
    </row>
    <row r="2" spans="1:22" ht="15.75">
      <c r="A2" s="1727" t="s">
        <v>1462</v>
      </c>
      <c r="B2" s="810">
        <f ca="1">SUMIF(B6:B13,"&lt;&gt;#ref!",B6:B13)</f>
        <v>8279</v>
      </c>
      <c r="C2" s="1728" t="s">
        <v>1651</v>
      </c>
      <c r="D2" s="1729" t="s">
        <v>1652</v>
      </c>
      <c r="E2" s="2391">
        <f>SUM(E6:E13)</f>
        <v>4967.6099999999997</v>
      </c>
      <c r="F2" s="2477"/>
      <c r="G2" s="458"/>
      <c r="H2" s="458"/>
      <c r="I2" s="458"/>
      <c r="J2" s="458"/>
      <c r="K2" s="458"/>
      <c r="L2" s="458"/>
      <c r="M2" s="458"/>
      <c r="N2" s="458"/>
      <c r="O2" s="458"/>
      <c r="P2" s="458"/>
      <c r="Q2" s="458"/>
      <c r="R2" s="458"/>
      <c r="S2" s="458"/>
    </row>
    <row r="3" spans="1:22" ht="15.75">
      <c r="A3" s="1727" t="s">
        <v>686</v>
      </c>
      <c r="B3" s="2385">
        <f ca="1">ROUND(B2*10000/E2,0)</f>
        <v>16666</v>
      </c>
      <c r="C3" s="1728"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7" t="s">
        <v>1653</v>
      </c>
      <c r="B5" s="3477" t="s">
        <v>1654</v>
      </c>
      <c r="C5" s="3478"/>
      <c r="D5" s="2478"/>
      <c r="E5" s="1730" t="s">
        <v>1655</v>
      </c>
      <c r="F5" s="128" t="s">
        <v>1656</v>
      </c>
      <c r="G5" s="458"/>
      <c r="H5" s="458"/>
      <c r="I5" s="458"/>
      <c r="J5" s="458"/>
      <c r="K5" s="458"/>
      <c r="L5" s="458"/>
      <c r="M5" s="458"/>
      <c r="N5" s="458"/>
      <c r="O5" s="458"/>
      <c r="P5" s="458"/>
      <c r="Q5" s="458"/>
      <c r="R5" s="458"/>
      <c r="S5" s="458"/>
    </row>
    <row r="6" spans="1:22">
      <c r="A6" s="2388" t="str">
        <f>'数据-取费表'!AN6</f>
        <v>收益法</v>
      </c>
      <c r="B6" s="2386">
        <f ca="1">IF(F6="是",'数据-取费表'!AO6,0)</f>
        <v>8279</v>
      </c>
      <c r="C6" s="1728" t="s">
        <v>1651</v>
      </c>
      <c r="D6" s="2477"/>
      <c r="E6" s="2390">
        <f>IF(OR(A6=0,F6="否"),0,'数据-取费表'!K6+'数据-取费表'!S6)</f>
        <v>4967.6099999999997</v>
      </c>
      <c r="F6" s="1731" t="s">
        <v>1657</v>
      </c>
      <c r="G6" s="458"/>
      <c r="H6" s="458"/>
      <c r="I6" s="458"/>
      <c r="J6" s="458"/>
      <c r="K6" s="458"/>
      <c r="L6" s="458"/>
      <c r="M6" s="458"/>
      <c r="N6" s="458"/>
      <c r="O6" s="458"/>
      <c r="P6" s="458"/>
      <c r="Q6" s="458"/>
      <c r="R6" s="458"/>
      <c r="S6" s="458"/>
    </row>
    <row r="7" spans="1:22">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4967.6099999999997</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4" t="s">
        <v>1666</v>
      </c>
      <c r="B4" s="345"/>
      <c r="C4" s="3429" t="s">
        <v>1667</v>
      </c>
      <c r="D4" s="3430"/>
      <c r="E4" s="3431" t="s">
        <v>1668</v>
      </c>
      <c r="F4" s="3432"/>
      <c r="G4" s="3429" t="s">
        <v>1669</v>
      </c>
      <c r="H4" s="3430"/>
      <c r="I4" s="3429" t="s">
        <v>1670</v>
      </c>
      <c r="J4" s="3430"/>
      <c r="K4" s="1743" t="s">
        <v>1671</v>
      </c>
      <c r="L4" s="2484"/>
      <c r="M4" s="2485"/>
      <c r="N4" s="2485"/>
      <c r="O4" s="2485"/>
      <c r="P4" s="3484" t="s">
        <v>1672</v>
      </c>
      <c r="Q4" s="3485"/>
      <c r="R4" s="3480" t="s">
        <v>1668</v>
      </c>
      <c r="S4" s="3481"/>
      <c r="T4" s="3480" t="s">
        <v>1669</v>
      </c>
      <c r="U4" s="3481"/>
      <c r="V4" s="3442" t="s">
        <v>1670</v>
      </c>
      <c r="W4" s="3442"/>
      <c r="X4" s="1264"/>
      <c r="Y4" s="3480" t="s">
        <v>1672</v>
      </c>
      <c r="Z4" s="3481"/>
      <c r="AA4" s="3479" t="s">
        <v>1668</v>
      </c>
      <c r="AB4" s="3479" t="s">
        <v>1669</v>
      </c>
      <c r="AC4" s="3479" t="s">
        <v>1670</v>
      </c>
    </row>
    <row r="5" spans="1:29" ht="15">
      <c r="A5" s="347"/>
      <c r="B5" s="348"/>
      <c r="C5" s="3420" t="s">
        <v>1673</v>
      </c>
      <c r="D5" s="3419"/>
      <c r="E5" s="3482" t="s">
        <v>1674</v>
      </c>
      <c r="F5" s="3483"/>
      <c r="G5" s="3420" t="s">
        <v>1675</v>
      </c>
      <c r="H5" s="3419"/>
      <c r="I5" s="3420" t="s">
        <v>1676</v>
      </c>
      <c r="J5" s="3419"/>
      <c r="K5" s="1744"/>
      <c r="L5" s="2484"/>
      <c r="M5" s="2485"/>
      <c r="N5" s="2485"/>
      <c r="O5" s="2485"/>
      <c r="P5" s="3486"/>
      <c r="Q5" s="3436"/>
      <c r="R5" s="3416"/>
      <c r="S5" s="3417"/>
      <c r="T5" s="3416"/>
      <c r="U5" s="3417"/>
      <c r="V5" s="3442"/>
      <c r="W5" s="3442"/>
      <c r="X5" s="1264"/>
      <c r="Y5" s="3416"/>
      <c r="Z5" s="3417"/>
      <c r="AA5" s="3410"/>
      <c r="AB5" s="3410"/>
      <c r="AC5" s="3410"/>
    </row>
    <row r="6" spans="1:29" ht="15.75" thickBot="1">
      <c r="A6" s="349"/>
      <c r="B6" s="350"/>
      <c r="C6" s="3421" t="s">
        <v>1677</v>
      </c>
      <c r="D6" s="3422"/>
      <c r="E6" s="3423" t="s">
        <v>1677</v>
      </c>
      <c r="F6" s="3424"/>
      <c r="G6" s="3421" t="s">
        <v>1677</v>
      </c>
      <c r="H6" s="3422"/>
      <c r="I6" s="3421" t="s">
        <v>1677</v>
      </c>
      <c r="J6" s="3422"/>
      <c r="K6" s="1744" t="s">
        <v>1678</v>
      </c>
      <c r="L6" s="2484"/>
      <c r="M6" s="2485"/>
      <c r="N6" s="2485"/>
      <c r="O6" s="2485"/>
      <c r="P6" s="3487"/>
      <c r="Q6" s="3438"/>
      <c r="R6" s="3416"/>
      <c r="S6" s="3417"/>
      <c r="T6" s="3439"/>
      <c r="U6" s="3440"/>
      <c r="V6" s="3442"/>
      <c r="W6" s="3442"/>
      <c r="X6" s="1264"/>
      <c r="Y6" s="3439"/>
      <c r="Z6" s="3440"/>
      <c r="AA6" s="3411"/>
      <c r="AB6" s="3411"/>
      <c r="AC6" s="3411"/>
    </row>
    <row r="7" spans="1:29" s="102" customFormat="1" ht="15.75" thickBot="1">
      <c r="A7" s="351" t="s">
        <v>1679</v>
      </c>
      <c r="B7" s="352"/>
      <c r="C7" s="353">
        <f>'数据-取费表'!B2</f>
        <v>45762</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12" t="s">
        <v>1680</v>
      </c>
      <c r="Q7" s="3444"/>
      <c r="R7" s="663" t="s">
        <v>20</v>
      </c>
      <c r="S7" s="664">
        <f t="shared" ref="S7:S15" si="0">F7</f>
        <v>0</v>
      </c>
      <c r="T7" s="663" t="s">
        <v>20</v>
      </c>
      <c r="U7" s="664">
        <f t="shared" ref="U7:U15" si="1">H7</f>
        <v>0</v>
      </c>
      <c r="V7" s="663" t="s">
        <v>20</v>
      </c>
      <c r="W7" s="664">
        <f t="shared" ref="W7:W15" si="2">J7</f>
        <v>0</v>
      </c>
      <c r="X7" s="665"/>
      <c r="Y7" s="3412" t="s">
        <v>1680</v>
      </c>
      <c r="Z7" s="3413"/>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12" t="s">
        <v>1683</v>
      </c>
      <c r="Q8" s="3413"/>
      <c r="R8" s="663" t="s">
        <v>20</v>
      </c>
      <c r="S8" s="664">
        <f t="shared" si="0"/>
        <v>100</v>
      </c>
      <c r="T8" s="663" t="s">
        <v>20</v>
      </c>
      <c r="U8" s="664">
        <f t="shared" si="1"/>
        <v>100</v>
      </c>
      <c r="V8" s="663" t="s">
        <v>20</v>
      </c>
      <c r="W8" s="664">
        <f t="shared" si="2"/>
        <v>100</v>
      </c>
      <c r="X8" s="665"/>
      <c r="Y8" s="3412" t="s">
        <v>1683</v>
      </c>
      <c r="Z8" s="3413"/>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425" t="s">
        <v>1686</v>
      </c>
      <c r="Q9" s="529" t="str">
        <f t="shared" ref="Q9:Q15" si="6">B9</f>
        <v>用途</v>
      </c>
      <c r="R9" s="663" t="s">
        <v>14</v>
      </c>
      <c r="S9" s="664">
        <f t="shared" si="0"/>
        <v>100</v>
      </c>
      <c r="T9" s="663" t="s">
        <v>14</v>
      </c>
      <c r="U9" s="664">
        <f t="shared" si="1"/>
        <v>100</v>
      </c>
      <c r="V9" s="663" t="s">
        <v>14</v>
      </c>
      <c r="W9" s="664">
        <f t="shared" si="2"/>
        <v>100</v>
      </c>
      <c r="X9" s="665"/>
      <c r="Y9" s="3358"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7"/>
      <c r="M10" s="2488"/>
      <c r="N10" s="2488"/>
      <c r="O10" s="2488"/>
      <c r="P10" s="3425"/>
      <c r="Q10" s="529" t="str">
        <f t="shared" si="6"/>
        <v>土地使用年限（年）</v>
      </c>
      <c r="R10" s="663" t="s">
        <v>14</v>
      </c>
      <c r="S10" s="664">
        <f t="shared" si="0"/>
        <v>100</v>
      </c>
      <c r="T10" s="663" t="s">
        <v>14</v>
      </c>
      <c r="U10" s="664">
        <f t="shared" si="1"/>
        <v>100</v>
      </c>
      <c r="V10" s="663" t="s">
        <v>14</v>
      </c>
      <c r="W10" s="664">
        <f t="shared" si="2"/>
        <v>100</v>
      </c>
      <c r="X10" s="665"/>
      <c r="Y10" s="335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25"/>
      <c r="Q11" s="529" t="str">
        <f t="shared" si="6"/>
        <v>容积率</v>
      </c>
      <c r="R11" s="663" t="s">
        <v>18</v>
      </c>
      <c r="S11" s="664" t="e">
        <f t="shared" si="0"/>
        <v>#N/A</v>
      </c>
      <c r="T11" s="663" t="s">
        <v>18</v>
      </c>
      <c r="U11" s="664" t="e">
        <f t="shared" si="1"/>
        <v>#N/A</v>
      </c>
      <c r="V11" s="663" t="s">
        <v>18</v>
      </c>
      <c r="W11" s="664" t="e">
        <f t="shared" si="2"/>
        <v>#N/A</v>
      </c>
      <c r="X11" s="665"/>
      <c r="Y11" s="3358"/>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25"/>
      <c r="Q12" s="529">
        <f t="shared" si="6"/>
        <v>111</v>
      </c>
      <c r="R12" s="663" t="s">
        <v>18</v>
      </c>
      <c r="S12" s="664">
        <f t="shared" si="0"/>
        <v>100</v>
      </c>
      <c r="T12" s="663" t="s">
        <v>18</v>
      </c>
      <c r="U12" s="664">
        <f t="shared" si="1"/>
        <v>100</v>
      </c>
      <c r="V12" s="663" t="s">
        <v>18</v>
      </c>
      <c r="W12" s="664">
        <f t="shared" si="2"/>
        <v>100</v>
      </c>
      <c r="X12" s="665"/>
      <c r="Y12" s="335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25"/>
      <c r="Q13" s="529">
        <f t="shared" si="6"/>
        <v>111</v>
      </c>
      <c r="R13" s="663" t="s">
        <v>18</v>
      </c>
      <c r="S13" s="664">
        <f t="shared" si="0"/>
        <v>100</v>
      </c>
      <c r="T13" s="663" t="s">
        <v>18</v>
      </c>
      <c r="U13" s="664">
        <f t="shared" si="1"/>
        <v>100</v>
      </c>
      <c r="V13" s="663" t="s">
        <v>18</v>
      </c>
      <c r="W13" s="664">
        <f t="shared" si="2"/>
        <v>100</v>
      </c>
      <c r="X13" s="665"/>
      <c r="Y13" s="3358"/>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25"/>
      <c r="Q14" s="529">
        <f t="shared" si="6"/>
        <v>111</v>
      </c>
      <c r="R14" s="663" t="s">
        <v>18</v>
      </c>
      <c r="S14" s="664">
        <f t="shared" si="0"/>
        <v>100</v>
      </c>
      <c r="T14" s="663" t="s">
        <v>18</v>
      </c>
      <c r="U14" s="664">
        <f t="shared" si="1"/>
        <v>100</v>
      </c>
      <c r="V14" s="663" t="s">
        <v>18</v>
      </c>
      <c r="W14" s="664">
        <f t="shared" si="2"/>
        <v>100</v>
      </c>
      <c r="X14" s="665"/>
      <c r="Y14" s="3358"/>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45" t="s">
        <v>1691</v>
      </c>
      <c r="Q15" s="1262" t="str">
        <f t="shared" si="6"/>
        <v>居住社区成熟度</v>
      </c>
      <c r="R15" s="666" t="s">
        <v>18</v>
      </c>
      <c r="S15" s="667">
        <f t="shared" si="0"/>
        <v>100</v>
      </c>
      <c r="T15" s="666" t="s">
        <v>18</v>
      </c>
      <c r="U15" s="667">
        <f t="shared" si="1"/>
        <v>100</v>
      </c>
      <c r="V15" s="666" t="s">
        <v>18</v>
      </c>
      <c r="W15" s="667">
        <f t="shared" si="2"/>
        <v>100</v>
      </c>
      <c r="X15" s="1264"/>
      <c r="Y15" s="344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46"/>
      <c r="Q16" s="1262"/>
      <c r="R16" s="666"/>
      <c r="S16" s="667"/>
      <c r="T16" s="666"/>
      <c r="U16" s="667"/>
      <c r="V16" s="666"/>
      <c r="W16" s="667"/>
      <c r="X16" s="1264"/>
      <c r="Y16" s="3448"/>
      <c r="Z16" s="1263"/>
      <c r="AA16" s="1263">
        <v>1</v>
      </c>
      <c r="AB16" s="1263">
        <v>1</v>
      </c>
      <c r="AC16" s="1263">
        <v>1</v>
      </c>
    </row>
    <row r="17" spans="1:29" ht="85.5">
      <c r="A17" s="366"/>
      <c r="B17" s="389" t="s">
        <v>1259</v>
      </c>
      <c r="C17" s="1753" t="str">
        <f>估价对象房地状况!C6</f>
        <v>有695、323、425路等公交路线经过，紧邻地铁4号线——人民大学站，交通便捷度较好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46"/>
      <c r="Q17" s="1262" t="str">
        <f>B17</f>
        <v>交通便捷度</v>
      </c>
      <c r="R17" s="666" t="s">
        <v>18</v>
      </c>
      <c r="S17" s="667">
        <f>F17</f>
        <v>100</v>
      </c>
      <c r="T17" s="666" t="s">
        <v>18</v>
      </c>
      <c r="U17" s="667">
        <f>H17</f>
        <v>100</v>
      </c>
      <c r="V17" s="666" t="s">
        <v>18</v>
      </c>
      <c r="W17" s="667">
        <f>J17</f>
        <v>100</v>
      </c>
      <c r="X17" s="1264"/>
      <c r="Y17" s="344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46"/>
      <c r="Q18" s="1262"/>
      <c r="R18" s="666"/>
      <c r="S18" s="667"/>
      <c r="T18" s="666"/>
      <c r="U18" s="667"/>
      <c r="V18" s="666"/>
      <c r="W18" s="667"/>
      <c r="X18" s="1264"/>
      <c r="Y18" s="3448"/>
      <c r="Z18" s="1263"/>
      <c r="AA18" s="1263">
        <v>1</v>
      </c>
      <c r="AB18" s="1263">
        <v>1</v>
      </c>
      <c r="AC18" s="1263">
        <v>1</v>
      </c>
    </row>
    <row r="19" spans="1:29" ht="42.75">
      <c r="A19" s="366"/>
      <c r="B19" s="389" t="s">
        <v>1258</v>
      </c>
      <c r="C19" s="1753" t="str">
        <f>估价对象房地状况!C7</f>
        <v>估价对象所在区域公共配套设施较齐备</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46"/>
      <c r="Q19" s="1262" t="str">
        <f>B19</f>
        <v>公共配套设施</v>
      </c>
      <c r="R19" s="666" t="s">
        <v>18</v>
      </c>
      <c r="S19" s="667">
        <f>F19</f>
        <v>100</v>
      </c>
      <c r="T19" s="666" t="s">
        <v>18</v>
      </c>
      <c r="U19" s="667">
        <f>H19</f>
        <v>100</v>
      </c>
      <c r="V19" s="666" t="s">
        <v>18</v>
      </c>
      <c r="W19" s="667">
        <f>J19</f>
        <v>100</v>
      </c>
      <c r="X19" s="1264"/>
      <c r="Y19" s="344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46"/>
      <c r="Q20" s="1262"/>
      <c r="R20" s="666"/>
      <c r="S20" s="667"/>
      <c r="T20" s="666"/>
      <c r="U20" s="667"/>
      <c r="V20" s="666"/>
      <c r="W20" s="667"/>
      <c r="X20" s="1264"/>
      <c r="Y20" s="3448"/>
      <c r="Z20" s="1263"/>
      <c r="AA20" s="1263">
        <v>1</v>
      </c>
      <c r="AB20" s="1263">
        <v>1</v>
      </c>
      <c r="AC20" s="1263">
        <v>1</v>
      </c>
    </row>
    <row r="21" spans="1:29" ht="28.5">
      <c r="A21" s="366"/>
      <c r="B21" s="585" t="s">
        <v>1260</v>
      </c>
      <c r="C21" s="1753" t="str">
        <f>估价对象房地状况!C8</f>
        <v>估价对象所在区域基础设施水平较好</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46"/>
      <c r="Q21" s="1262" t="str">
        <f>B21</f>
        <v>基础设施水平</v>
      </c>
      <c r="R21" s="666" t="s">
        <v>14</v>
      </c>
      <c r="S21" s="667">
        <f>F21</f>
        <v>100</v>
      </c>
      <c r="T21" s="666" t="s">
        <v>14</v>
      </c>
      <c r="U21" s="667">
        <f>H21</f>
        <v>100</v>
      </c>
      <c r="V21" s="666" t="s">
        <v>14</v>
      </c>
      <c r="W21" s="667">
        <f>J21</f>
        <v>100</v>
      </c>
      <c r="X21" s="1264"/>
      <c r="Y21" s="344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46"/>
      <c r="Q22" s="1262"/>
      <c r="R22" s="666"/>
      <c r="S22" s="667"/>
      <c r="T22" s="666"/>
      <c r="U22" s="667"/>
      <c r="V22" s="666"/>
      <c r="W22" s="667"/>
      <c r="X22" s="1264"/>
      <c r="Y22" s="3448"/>
      <c r="Z22" s="1263"/>
      <c r="AA22" s="1263">
        <v>1</v>
      </c>
      <c r="AB22" s="1263">
        <v>1</v>
      </c>
      <c r="AC22" s="1263">
        <v>1</v>
      </c>
    </row>
    <row r="23" spans="1:29" ht="57">
      <c r="A23" s="366"/>
      <c r="B23" s="389" t="s">
        <v>1261</v>
      </c>
      <c r="C23" s="1753" t="str">
        <f>估价对象房地状况!C9</f>
        <v>周边有动物园、北京艺术博物馆、双榆树公园等自然人文环境，质量较好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46"/>
      <c r="Q23" s="1262" t="str">
        <f>B23</f>
        <v>自然及人文环境</v>
      </c>
      <c r="R23" s="666" t="s">
        <v>18</v>
      </c>
      <c r="S23" s="667">
        <f>F23</f>
        <v>100</v>
      </c>
      <c r="T23" s="666" t="s">
        <v>18</v>
      </c>
      <c r="U23" s="667">
        <f>H23</f>
        <v>100</v>
      </c>
      <c r="V23" s="666" t="s">
        <v>18</v>
      </c>
      <c r="W23" s="667">
        <f>J23</f>
        <v>100</v>
      </c>
      <c r="X23" s="1264"/>
      <c r="Y23" s="344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46"/>
      <c r="Q24" s="1262"/>
      <c r="R24" s="666"/>
      <c r="S24" s="667"/>
      <c r="T24" s="666"/>
      <c r="U24" s="667"/>
      <c r="V24" s="666"/>
      <c r="W24" s="667"/>
      <c r="X24" s="1264"/>
      <c r="Y24" s="344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4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46"/>
      <c r="Q26" s="1262" t="str">
        <f t="shared" si="11"/>
        <v>朝向</v>
      </c>
      <c r="R26" s="666" t="s">
        <v>18</v>
      </c>
      <c r="S26" s="667">
        <f t="shared" si="12"/>
        <v>100</v>
      </c>
      <c r="T26" s="666" t="s">
        <v>18</v>
      </c>
      <c r="U26" s="667">
        <f t="shared" si="13"/>
        <v>100</v>
      </c>
      <c r="V26" s="666" t="s">
        <v>18</v>
      </c>
      <c r="W26" s="667">
        <f t="shared" si="14"/>
        <v>100</v>
      </c>
      <c r="X26" s="1264"/>
      <c r="Y26" s="3448"/>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46"/>
      <c r="Q27" s="529">
        <f t="shared" si="11"/>
        <v>111</v>
      </c>
      <c r="R27" s="663" t="s">
        <v>18</v>
      </c>
      <c r="S27" s="664">
        <f t="shared" si="12"/>
        <v>100</v>
      </c>
      <c r="T27" s="663" t="s">
        <v>18</v>
      </c>
      <c r="U27" s="664">
        <f t="shared" si="13"/>
        <v>100</v>
      </c>
      <c r="V27" s="663" t="s">
        <v>18</v>
      </c>
      <c r="W27" s="664">
        <f t="shared" si="14"/>
        <v>100</v>
      </c>
      <c r="X27" s="665"/>
      <c r="Y27" s="344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46"/>
      <c r="Q28" s="1262">
        <f t="shared" si="11"/>
        <v>111</v>
      </c>
      <c r="R28" s="666" t="s">
        <v>18</v>
      </c>
      <c r="S28" s="667">
        <f t="shared" si="12"/>
        <v>100</v>
      </c>
      <c r="T28" s="666" t="s">
        <v>18</v>
      </c>
      <c r="U28" s="667">
        <f t="shared" si="13"/>
        <v>100</v>
      </c>
      <c r="V28" s="666" t="s">
        <v>18</v>
      </c>
      <c r="W28" s="667">
        <f t="shared" si="14"/>
        <v>100</v>
      </c>
      <c r="X28" s="1264"/>
      <c r="Y28" s="344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46"/>
      <c r="Q29" s="1262">
        <f t="shared" si="11"/>
        <v>111</v>
      </c>
      <c r="R29" s="666" t="s">
        <v>18</v>
      </c>
      <c r="S29" s="667">
        <f t="shared" si="12"/>
        <v>100</v>
      </c>
      <c r="T29" s="666" t="s">
        <v>18</v>
      </c>
      <c r="U29" s="667">
        <f t="shared" si="13"/>
        <v>100</v>
      </c>
      <c r="V29" s="666" t="s">
        <v>18</v>
      </c>
      <c r="W29" s="667">
        <f t="shared" si="14"/>
        <v>100</v>
      </c>
      <c r="X29" s="1264"/>
      <c r="Y29" s="344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46"/>
      <c r="Q30" s="1262">
        <f t="shared" si="11"/>
        <v>111</v>
      </c>
      <c r="R30" s="666" t="s">
        <v>18</v>
      </c>
      <c r="S30" s="667">
        <f t="shared" si="12"/>
        <v>100</v>
      </c>
      <c r="T30" s="666" t="s">
        <v>18</v>
      </c>
      <c r="U30" s="667">
        <f t="shared" si="13"/>
        <v>100</v>
      </c>
      <c r="V30" s="666" t="s">
        <v>18</v>
      </c>
      <c r="W30" s="667">
        <f t="shared" si="14"/>
        <v>100</v>
      </c>
      <c r="X30" s="1264"/>
      <c r="Y30" s="3448"/>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46"/>
      <c r="Q31" s="1262">
        <f t="shared" si="11"/>
        <v>111</v>
      </c>
      <c r="R31" s="666" t="s">
        <v>18</v>
      </c>
      <c r="S31" s="667">
        <f t="shared" si="12"/>
        <v>100</v>
      </c>
      <c r="T31" s="666" t="s">
        <v>18</v>
      </c>
      <c r="U31" s="667">
        <f t="shared" si="13"/>
        <v>100</v>
      </c>
      <c r="V31" s="666" t="s">
        <v>18</v>
      </c>
      <c r="W31" s="667">
        <f t="shared" si="14"/>
        <v>100</v>
      </c>
      <c r="X31" s="1264"/>
      <c r="Y31" s="344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49" t="s">
        <v>1696</v>
      </c>
      <c r="Q32" s="1262" t="str">
        <f t="shared" si="11"/>
        <v>建筑类型</v>
      </c>
      <c r="R32" s="666" t="s">
        <v>18</v>
      </c>
      <c r="S32" s="667">
        <f t="shared" si="12"/>
        <v>100</v>
      </c>
      <c r="T32" s="666" t="s">
        <v>18</v>
      </c>
      <c r="U32" s="667">
        <f t="shared" si="13"/>
        <v>100</v>
      </c>
      <c r="V32" s="666" t="s">
        <v>18</v>
      </c>
      <c r="W32" s="667">
        <f t="shared" si="14"/>
        <v>100</v>
      </c>
      <c r="X32" s="1264"/>
      <c r="Y32" s="345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50"/>
      <c r="Q33" s="530" t="str">
        <f t="shared" si="11"/>
        <v>项目建筑规模</v>
      </c>
      <c r="R33" s="668" t="s">
        <v>18</v>
      </c>
      <c r="S33" s="669" t="e">
        <f t="shared" si="12"/>
        <v>#N/A</v>
      </c>
      <c r="T33" s="668" t="s">
        <v>18</v>
      </c>
      <c r="U33" s="669" t="e">
        <f t="shared" si="13"/>
        <v>#N/A</v>
      </c>
      <c r="V33" s="668" t="s">
        <v>18</v>
      </c>
      <c r="W33" s="669" t="e">
        <f t="shared" si="14"/>
        <v>#N/A</v>
      </c>
      <c r="X33" s="670"/>
      <c r="Y33" s="345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50"/>
      <c r="Q34" s="1262" t="str">
        <f t="shared" si="11"/>
        <v>建筑结构</v>
      </c>
      <c r="R34" s="666" t="s">
        <v>18</v>
      </c>
      <c r="S34" s="667">
        <f t="shared" si="12"/>
        <v>100</v>
      </c>
      <c r="T34" s="666" t="s">
        <v>18</v>
      </c>
      <c r="U34" s="667">
        <f t="shared" si="13"/>
        <v>100</v>
      </c>
      <c r="V34" s="666" t="s">
        <v>18</v>
      </c>
      <c r="W34" s="667">
        <f t="shared" si="14"/>
        <v>100</v>
      </c>
      <c r="X34" s="1264"/>
      <c r="Y34" s="345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50"/>
      <c r="Q35" s="1262" t="str">
        <f t="shared" si="11"/>
        <v>建筑品质</v>
      </c>
      <c r="R35" s="666" t="s">
        <v>18</v>
      </c>
      <c r="S35" s="667">
        <f t="shared" si="12"/>
        <v>100</v>
      </c>
      <c r="T35" s="666" t="s">
        <v>18</v>
      </c>
      <c r="U35" s="667">
        <f t="shared" si="13"/>
        <v>100</v>
      </c>
      <c r="V35" s="666" t="s">
        <v>18</v>
      </c>
      <c r="W35" s="667">
        <f t="shared" si="14"/>
        <v>100</v>
      </c>
      <c r="X35" s="1264"/>
      <c r="Y35" s="345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50"/>
      <c r="Q36" s="1262" t="str">
        <f t="shared" si="11"/>
        <v>公共部分装修</v>
      </c>
      <c r="R36" s="666" t="s">
        <v>18</v>
      </c>
      <c r="S36" s="667">
        <f t="shared" si="12"/>
        <v>100</v>
      </c>
      <c r="T36" s="666" t="s">
        <v>18</v>
      </c>
      <c r="U36" s="667">
        <f t="shared" si="13"/>
        <v>100</v>
      </c>
      <c r="V36" s="666" t="s">
        <v>18</v>
      </c>
      <c r="W36" s="667">
        <f t="shared" si="14"/>
        <v>100</v>
      </c>
      <c r="X36" s="1264"/>
      <c r="Y36" s="3452"/>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50"/>
      <c r="Q37" s="529" t="str">
        <f t="shared" si="11"/>
        <v>成新度</v>
      </c>
      <c r="R37" s="663" t="s">
        <v>18</v>
      </c>
      <c r="S37" s="664" t="e">
        <f t="shared" si="12"/>
        <v>#N/A</v>
      </c>
      <c r="T37" s="663" t="s">
        <v>18</v>
      </c>
      <c r="U37" s="664" t="e">
        <f t="shared" si="13"/>
        <v>#N/A</v>
      </c>
      <c r="V37" s="663" t="s">
        <v>18</v>
      </c>
      <c r="W37" s="664" t="e">
        <f t="shared" si="14"/>
        <v>#N/A</v>
      </c>
      <c r="X37" s="665"/>
      <c r="Y37" s="345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50" t="s">
        <v>1696</v>
      </c>
      <c r="Q38" s="1262" t="str">
        <f t="shared" si="11"/>
        <v>物业管理</v>
      </c>
      <c r="R38" s="666" t="s">
        <v>18</v>
      </c>
      <c r="S38" s="667">
        <f t="shared" si="12"/>
        <v>100</v>
      </c>
      <c r="T38" s="666" t="s">
        <v>18</v>
      </c>
      <c r="U38" s="667">
        <f t="shared" si="13"/>
        <v>100</v>
      </c>
      <c r="V38" s="666" t="s">
        <v>18</v>
      </c>
      <c r="W38" s="667">
        <f t="shared" si="14"/>
        <v>100</v>
      </c>
      <c r="X38" s="1264"/>
      <c r="Y38" s="345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50"/>
      <c r="Q39" s="1262" t="str">
        <f t="shared" si="11"/>
        <v>市政基础设施</v>
      </c>
      <c r="R39" s="666" t="s">
        <v>18</v>
      </c>
      <c r="S39" s="667">
        <f t="shared" si="12"/>
        <v>100</v>
      </c>
      <c r="T39" s="666" t="s">
        <v>18</v>
      </c>
      <c r="U39" s="667">
        <f t="shared" si="13"/>
        <v>100</v>
      </c>
      <c r="V39" s="666" t="s">
        <v>18</v>
      </c>
      <c r="W39" s="667">
        <f t="shared" si="14"/>
        <v>100</v>
      </c>
      <c r="X39" s="1264"/>
      <c r="Y39" s="345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50"/>
      <c r="Q40" s="1262" t="str">
        <f t="shared" si="11"/>
        <v>房型</v>
      </c>
      <c r="R40" s="666" t="s">
        <v>18</v>
      </c>
      <c r="S40" s="667">
        <f t="shared" si="12"/>
        <v>100</v>
      </c>
      <c r="T40" s="666" t="s">
        <v>18</v>
      </c>
      <c r="U40" s="667">
        <f t="shared" si="13"/>
        <v>100</v>
      </c>
      <c r="V40" s="666" t="s">
        <v>18</v>
      </c>
      <c r="W40" s="667">
        <f t="shared" si="14"/>
        <v>100</v>
      </c>
      <c r="X40" s="1264"/>
      <c r="Y40" s="3452"/>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50"/>
      <c r="Q41" s="530" t="str">
        <f t="shared" si="11"/>
        <v>单套/主力户型建筑面积</v>
      </c>
      <c r="R41" s="668" t="s">
        <v>18</v>
      </c>
      <c r="S41" s="669">
        <f t="shared" si="12"/>
        <v>100</v>
      </c>
      <c r="T41" s="668" t="s">
        <v>18</v>
      </c>
      <c r="U41" s="669">
        <f t="shared" si="13"/>
        <v>100</v>
      </c>
      <c r="V41" s="668" t="s">
        <v>18</v>
      </c>
      <c r="W41" s="669">
        <f t="shared" si="14"/>
        <v>100</v>
      </c>
      <c r="X41" s="670"/>
      <c r="Y41" s="345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50"/>
      <c r="Q42" s="1262" t="str">
        <f t="shared" si="11"/>
        <v>内部装修</v>
      </c>
      <c r="R42" s="666" t="s">
        <v>18</v>
      </c>
      <c r="S42" s="667">
        <f t="shared" si="12"/>
        <v>100</v>
      </c>
      <c r="T42" s="666" t="s">
        <v>18</v>
      </c>
      <c r="U42" s="667">
        <f t="shared" si="13"/>
        <v>100</v>
      </c>
      <c r="V42" s="666" t="s">
        <v>18</v>
      </c>
      <c r="W42" s="667">
        <f t="shared" si="14"/>
        <v>100</v>
      </c>
      <c r="X42" s="1264"/>
      <c r="Y42" s="3452"/>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50"/>
      <c r="Q43" s="1262" t="str">
        <f t="shared" si="11"/>
        <v>内部装修维护情况</v>
      </c>
      <c r="R43" s="666" t="s">
        <v>18</v>
      </c>
      <c r="S43" s="667">
        <f t="shared" si="12"/>
        <v>100</v>
      </c>
      <c r="T43" s="666" t="s">
        <v>18</v>
      </c>
      <c r="U43" s="667">
        <f t="shared" si="13"/>
        <v>100</v>
      </c>
      <c r="V43" s="666" t="s">
        <v>18</v>
      </c>
      <c r="W43" s="667">
        <f t="shared" si="14"/>
        <v>100</v>
      </c>
      <c r="X43" s="1264"/>
      <c r="Y43" s="3452"/>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50"/>
      <c r="Q44" s="529">
        <f t="shared" si="11"/>
        <v>111</v>
      </c>
      <c r="R44" s="663" t="s">
        <v>18</v>
      </c>
      <c r="S44" s="664">
        <f t="shared" si="12"/>
        <v>100</v>
      </c>
      <c r="T44" s="663" t="s">
        <v>18</v>
      </c>
      <c r="U44" s="664">
        <f t="shared" si="13"/>
        <v>100</v>
      </c>
      <c r="V44" s="663" t="s">
        <v>18</v>
      </c>
      <c r="W44" s="664">
        <f t="shared" si="14"/>
        <v>100</v>
      </c>
      <c r="X44" s="665"/>
      <c r="Y44" s="345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50"/>
      <c r="Q45" s="1262">
        <f t="shared" si="11"/>
        <v>111</v>
      </c>
      <c r="R45" s="666" t="s">
        <v>18</v>
      </c>
      <c r="S45" s="667">
        <f t="shared" si="12"/>
        <v>100</v>
      </c>
      <c r="T45" s="666" t="s">
        <v>18</v>
      </c>
      <c r="U45" s="667">
        <f t="shared" si="13"/>
        <v>100</v>
      </c>
      <c r="V45" s="666" t="s">
        <v>18</v>
      </c>
      <c r="W45" s="667">
        <f t="shared" si="14"/>
        <v>100</v>
      </c>
      <c r="X45" s="1264"/>
      <c r="Y45" s="3452"/>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51"/>
      <c r="Q46" s="1262">
        <f t="shared" si="11"/>
        <v>111</v>
      </c>
      <c r="R46" s="666" t="s">
        <v>17</v>
      </c>
      <c r="S46" s="667">
        <f t="shared" si="12"/>
        <v>100</v>
      </c>
      <c r="T46" s="666" t="s">
        <v>17</v>
      </c>
      <c r="U46" s="667">
        <f t="shared" si="13"/>
        <v>100</v>
      </c>
      <c r="V46" s="666" t="s">
        <v>17</v>
      </c>
      <c r="W46" s="667">
        <f t="shared" si="14"/>
        <v>100</v>
      </c>
      <c r="X46" s="1264"/>
      <c r="Y46" s="3453"/>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2"/>
      <c r="M47" s="2485"/>
      <c r="N47" s="2485"/>
      <c r="O47" s="2485"/>
      <c r="P47" s="3454" t="str">
        <f>A47</f>
        <v>成交单价（元/平方米）</v>
      </c>
      <c r="Q47" s="3454"/>
      <c r="R47" s="3442">
        <f>E47</f>
        <v>0</v>
      </c>
      <c r="S47" s="3442"/>
      <c r="T47" s="3442">
        <f>G47</f>
        <v>0</v>
      </c>
      <c r="U47" s="3442"/>
      <c r="V47" s="3442">
        <f>I47</f>
        <v>0</v>
      </c>
      <c r="W47" s="3442"/>
      <c r="X47" s="384"/>
      <c r="Y47" s="672"/>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2"/>
      <c r="M48" s="2485"/>
      <c r="N48" s="2485"/>
      <c r="O48" s="2485"/>
      <c r="P48" s="3454" t="str">
        <f>A48</f>
        <v>比较价值（元/平方米）</v>
      </c>
      <c r="Q48" s="3454"/>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2"/>
      <c r="M49" s="2485"/>
      <c r="N49" s="2485"/>
      <c r="O49" s="2485"/>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受贵公司委托，我公司对北京市朝阳区日坛北路17号院2号楼房地产抵押价值进行了预评估。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估价对象为北京市朝阳区日坛北路17号院2号楼房地产，为所有。根据《国有土地使用证》[]，估价对象（分摊）出让国有建设用地使用权面积为0平方米，建筑面积为4967.61平方米。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2号楼房地产,属开发建设的，该项目尚在开发建设中。根据《国有土地使用证》[]，估价对象（分摊）出让国有建设用地使用权面积为0平方米，规划建筑面积为4967.61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朝阳区日坛北路17号院2号楼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2025年4月15日（评估专业人员实地查勘之日）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4967.6099999999997</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4" t="s">
        <v>1769</v>
      </c>
      <c r="B4" s="345"/>
      <c r="C4" s="3429" t="s">
        <v>1770</v>
      </c>
      <c r="D4" s="3430"/>
      <c r="E4" s="3431" t="s">
        <v>1771</v>
      </c>
      <c r="F4" s="3432"/>
      <c r="G4" s="3429" t="s">
        <v>1772</v>
      </c>
      <c r="H4" s="3430"/>
      <c r="I4" s="3429" t="s">
        <v>1773</v>
      </c>
      <c r="J4" s="3430"/>
      <c r="K4" s="536" t="s">
        <v>1774</v>
      </c>
      <c r="L4" s="2484"/>
      <c r="M4" s="2485"/>
      <c r="N4" s="2485"/>
      <c r="O4" s="2485"/>
      <c r="P4" s="3484" t="s">
        <v>1775</v>
      </c>
      <c r="Q4" s="3485"/>
      <c r="R4" s="3480" t="s">
        <v>1771</v>
      </c>
      <c r="S4" s="3481"/>
      <c r="T4" s="3480" t="s">
        <v>1772</v>
      </c>
      <c r="U4" s="3481"/>
      <c r="V4" s="3442" t="s">
        <v>1773</v>
      </c>
      <c r="W4" s="3442"/>
      <c r="X4" s="1264"/>
      <c r="Y4" s="3480" t="s">
        <v>1775</v>
      </c>
      <c r="Z4" s="3481"/>
      <c r="AA4" s="3479" t="s">
        <v>1771</v>
      </c>
      <c r="AB4" s="3442" t="s">
        <v>1772</v>
      </c>
      <c r="AC4" s="3479" t="s">
        <v>1773</v>
      </c>
    </row>
    <row r="5" spans="1:29" ht="15">
      <c r="A5" s="347"/>
      <c r="B5" s="348"/>
      <c r="C5" s="3420" t="s">
        <v>1673</v>
      </c>
      <c r="D5" s="3419"/>
      <c r="E5" s="3482" t="s">
        <v>1674</v>
      </c>
      <c r="F5" s="3483"/>
      <c r="G5" s="3420" t="s">
        <v>1675</v>
      </c>
      <c r="H5" s="3419"/>
      <c r="I5" s="3420" t="s">
        <v>1676</v>
      </c>
      <c r="J5" s="3419"/>
      <c r="K5" s="536"/>
      <c r="L5" s="2484"/>
      <c r="M5" s="2485"/>
      <c r="N5" s="2485"/>
      <c r="O5" s="2485"/>
      <c r="P5" s="3486"/>
      <c r="Q5" s="3436"/>
      <c r="R5" s="3416"/>
      <c r="S5" s="3417"/>
      <c r="T5" s="3416"/>
      <c r="U5" s="3417"/>
      <c r="V5" s="3442"/>
      <c r="W5" s="3442"/>
      <c r="X5" s="1264"/>
      <c r="Y5" s="3416"/>
      <c r="Z5" s="3417"/>
      <c r="AA5" s="3410"/>
      <c r="AB5" s="3442"/>
      <c r="AC5" s="3410"/>
    </row>
    <row r="6" spans="1:29" ht="15.75" thickBot="1">
      <c r="A6" s="349"/>
      <c r="B6" s="350"/>
      <c r="C6" s="3421" t="s">
        <v>1677</v>
      </c>
      <c r="D6" s="3422"/>
      <c r="E6" s="3423" t="s">
        <v>1677</v>
      </c>
      <c r="F6" s="3424"/>
      <c r="G6" s="3421" t="s">
        <v>1677</v>
      </c>
      <c r="H6" s="3422"/>
      <c r="I6" s="3421" t="s">
        <v>1677</v>
      </c>
      <c r="J6" s="3422"/>
      <c r="K6" s="536" t="s">
        <v>1678</v>
      </c>
      <c r="L6" s="2484"/>
      <c r="M6" s="2485"/>
      <c r="N6" s="2485"/>
      <c r="O6" s="2485"/>
      <c r="P6" s="3487"/>
      <c r="Q6" s="3438"/>
      <c r="R6" s="3416"/>
      <c r="S6" s="3417"/>
      <c r="T6" s="3439"/>
      <c r="U6" s="3440"/>
      <c r="V6" s="3442"/>
      <c r="W6" s="3442"/>
      <c r="X6" s="1264"/>
      <c r="Y6" s="3439"/>
      <c r="Z6" s="3440"/>
      <c r="AA6" s="3411"/>
      <c r="AB6" s="3442"/>
      <c r="AC6" s="3411"/>
    </row>
    <row r="7" spans="1:29" s="102" customFormat="1" ht="15.75" thickBot="1">
      <c r="A7" s="351" t="s">
        <v>1679</v>
      </c>
      <c r="B7" s="352"/>
      <c r="C7" s="353">
        <f>'数据-取费表'!B2</f>
        <v>45762</v>
      </c>
      <c r="D7" s="354">
        <v>100</v>
      </c>
      <c r="E7" s="355"/>
      <c r="F7" s="356">
        <f>SUMIF(58:58,YEAR(E7)&amp;"-"&amp;MONTH(E7),59:59)</f>
        <v>0</v>
      </c>
      <c r="G7" s="355"/>
      <c r="H7" s="354">
        <f>SUMIF(58:58,YEAR(G7)&amp;"-"&amp;MONTH(G7),59:59)</f>
        <v>0</v>
      </c>
      <c r="I7" s="355"/>
      <c r="J7" s="354">
        <f>SUMIF(58:58,YEAR(I7)&amp;"-"&amp;MONTH(I7),59:59)</f>
        <v>0</v>
      </c>
      <c r="K7" s="38"/>
      <c r="L7" s="2486"/>
      <c r="M7" s="2438"/>
      <c r="N7" s="2438"/>
      <c r="O7" s="2438"/>
      <c r="P7" s="3412" t="s">
        <v>1680</v>
      </c>
      <c r="Q7" s="3444"/>
      <c r="R7" s="663" t="s">
        <v>14</v>
      </c>
      <c r="S7" s="664">
        <f t="shared" ref="S7:S15" si="0">F7</f>
        <v>0</v>
      </c>
      <c r="T7" s="663" t="s">
        <v>14</v>
      </c>
      <c r="U7" s="664">
        <f t="shared" ref="U7:U15" si="1">H7</f>
        <v>0</v>
      </c>
      <c r="V7" s="663" t="s">
        <v>14</v>
      </c>
      <c r="W7" s="664">
        <f t="shared" ref="W7:W15" si="2">J7</f>
        <v>0</v>
      </c>
      <c r="X7" s="665"/>
      <c r="Y7" s="3412" t="s">
        <v>1680</v>
      </c>
      <c r="Z7" s="3413"/>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412" t="s">
        <v>1683</v>
      </c>
      <c r="Q8" s="3413"/>
      <c r="R8" s="663" t="s">
        <v>14</v>
      </c>
      <c r="S8" s="664">
        <f t="shared" si="0"/>
        <v>100</v>
      </c>
      <c r="T8" s="663" t="s">
        <v>14</v>
      </c>
      <c r="U8" s="664">
        <f t="shared" si="1"/>
        <v>100</v>
      </c>
      <c r="V8" s="663" t="s">
        <v>14</v>
      </c>
      <c r="W8" s="664">
        <f t="shared" si="2"/>
        <v>100</v>
      </c>
      <c r="X8" s="665"/>
      <c r="Y8" s="3412" t="s">
        <v>1683</v>
      </c>
      <c r="Z8" s="3413"/>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425" t="s">
        <v>1686</v>
      </c>
      <c r="Q9" s="529" t="str">
        <f t="shared" ref="Q9:Q15" si="6">B9</f>
        <v>用途</v>
      </c>
      <c r="R9" s="663" t="s">
        <v>14</v>
      </c>
      <c r="S9" s="664">
        <f t="shared" si="0"/>
        <v>100</v>
      </c>
      <c r="T9" s="663" t="s">
        <v>14</v>
      </c>
      <c r="U9" s="664">
        <f t="shared" si="1"/>
        <v>100</v>
      </c>
      <c r="V9" s="663" t="s">
        <v>14</v>
      </c>
      <c r="W9" s="664">
        <f t="shared" si="2"/>
        <v>100</v>
      </c>
      <c r="X9" s="665"/>
      <c r="Y9" s="3358"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7"/>
      <c r="M10" s="2488"/>
      <c r="N10" s="2488"/>
      <c r="O10" s="2488"/>
      <c r="P10" s="3425"/>
      <c r="Q10" s="529" t="str">
        <f t="shared" si="6"/>
        <v>土地使用年限（年）</v>
      </c>
      <c r="R10" s="663" t="s">
        <v>14</v>
      </c>
      <c r="S10" s="664">
        <f t="shared" si="0"/>
        <v>100</v>
      </c>
      <c r="T10" s="663" t="s">
        <v>14</v>
      </c>
      <c r="U10" s="664">
        <f t="shared" si="1"/>
        <v>100</v>
      </c>
      <c r="V10" s="663" t="s">
        <v>14</v>
      </c>
      <c r="W10" s="664">
        <f t="shared" si="2"/>
        <v>100</v>
      </c>
      <c r="X10" s="665"/>
      <c r="Y10" s="335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25"/>
      <c r="Q11" s="529" t="str">
        <f t="shared" si="6"/>
        <v>容积率</v>
      </c>
      <c r="R11" s="663" t="s">
        <v>14</v>
      </c>
      <c r="S11" s="664" t="e">
        <f t="shared" si="0"/>
        <v>#N/A</v>
      </c>
      <c r="T11" s="663" t="s">
        <v>14</v>
      </c>
      <c r="U11" s="664" t="e">
        <f t="shared" si="1"/>
        <v>#N/A</v>
      </c>
      <c r="V11" s="663" t="s">
        <v>14</v>
      </c>
      <c r="W11" s="664" t="e">
        <f t="shared" si="2"/>
        <v>#N/A</v>
      </c>
      <c r="X11" s="665"/>
      <c r="Y11" s="335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25"/>
      <c r="Q12" s="529">
        <f t="shared" si="6"/>
        <v>111</v>
      </c>
      <c r="R12" s="663" t="s">
        <v>14</v>
      </c>
      <c r="S12" s="664">
        <f t="shared" si="0"/>
        <v>100</v>
      </c>
      <c r="T12" s="663" t="s">
        <v>14</v>
      </c>
      <c r="U12" s="664">
        <f t="shared" si="1"/>
        <v>100</v>
      </c>
      <c r="V12" s="663" t="s">
        <v>14</v>
      </c>
      <c r="W12" s="664">
        <f t="shared" si="2"/>
        <v>100</v>
      </c>
      <c r="X12" s="665"/>
      <c r="Y12" s="335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25"/>
      <c r="Q13" s="529">
        <f t="shared" si="6"/>
        <v>111</v>
      </c>
      <c r="R13" s="663" t="s">
        <v>14</v>
      </c>
      <c r="S13" s="664">
        <f t="shared" si="0"/>
        <v>100</v>
      </c>
      <c r="T13" s="663" t="s">
        <v>14</v>
      </c>
      <c r="U13" s="664">
        <f t="shared" si="1"/>
        <v>100</v>
      </c>
      <c r="V13" s="663" t="s">
        <v>14</v>
      </c>
      <c r="W13" s="664">
        <f t="shared" si="2"/>
        <v>100</v>
      </c>
      <c r="X13" s="665"/>
      <c r="Y13" s="3358"/>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25"/>
      <c r="Q14" s="529">
        <f t="shared" si="6"/>
        <v>111</v>
      </c>
      <c r="R14" s="663" t="s">
        <v>14</v>
      </c>
      <c r="S14" s="664">
        <f t="shared" si="0"/>
        <v>100</v>
      </c>
      <c r="T14" s="663" t="s">
        <v>14</v>
      </c>
      <c r="U14" s="664">
        <f t="shared" si="1"/>
        <v>100</v>
      </c>
      <c r="V14" s="663" t="s">
        <v>14</v>
      </c>
      <c r="W14" s="664">
        <f t="shared" si="2"/>
        <v>100</v>
      </c>
      <c r="X14" s="665"/>
      <c r="Y14" s="3358"/>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45" t="s">
        <v>1691</v>
      </c>
      <c r="Q15" s="1262" t="str">
        <f t="shared" si="6"/>
        <v>商业繁华度</v>
      </c>
      <c r="R15" s="666" t="s">
        <v>14</v>
      </c>
      <c r="S15" s="667">
        <f t="shared" si="0"/>
        <v>100</v>
      </c>
      <c r="T15" s="666" t="s">
        <v>14</v>
      </c>
      <c r="U15" s="667">
        <f t="shared" si="1"/>
        <v>100</v>
      </c>
      <c r="V15" s="666" t="s">
        <v>14</v>
      </c>
      <c r="W15" s="667">
        <f t="shared" si="2"/>
        <v>100</v>
      </c>
      <c r="X15" s="1264"/>
      <c r="Y15" s="344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46"/>
      <c r="Q16" s="1262"/>
      <c r="R16" s="666"/>
      <c r="S16" s="667"/>
      <c r="T16" s="666"/>
      <c r="U16" s="667"/>
      <c r="V16" s="666"/>
      <c r="W16" s="667"/>
      <c r="X16" s="1264"/>
      <c r="Y16" s="3448"/>
      <c r="Z16" s="1263"/>
      <c r="AA16" s="1263">
        <v>1</v>
      </c>
      <c r="AB16" s="1263">
        <v>1</v>
      </c>
      <c r="AC16" s="1263">
        <v>1</v>
      </c>
    </row>
    <row r="17" spans="1:29" ht="85.5">
      <c r="A17" s="366"/>
      <c r="B17" s="389" t="s">
        <v>1259</v>
      </c>
      <c r="C17" s="1753" t="str">
        <f>估价对象房地状况!C6</f>
        <v>有695、323、425路等公交路线经过，紧邻地铁4号线——人民大学站，交通便捷度较好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46"/>
      <c r="Q17" s="1262" t="str">
        <f>B17</f>
        <v>交通便捷度</v>
      </c>
      <c r="R17" s="666" t="s">
        <v>14</v>
      </c>
      <c r="S17" s="667">
        <f>F17</f>
        <v>100</v>
      </c>
      <c r="T17" s="666" t="s">
        <v>14</v>
      </c>
      <c r="U17" s="667">
        <f>H17</f>
        <v>100</v>
      </c>
      <c r="V17" s="666" t="s">
        <v>14</v>
      </c>
      <c r="W17" s="667">
        <f>J17</f>
        <v>100</v>
      </c>
      <c r="X17" s="1264"/>
      <c r="Y17" s="344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46"/>
      <c r="Q18" s="1262"/>
      <c r="R18" s="666"/>
      <c r="S18" s="667"/>
      <c r="T18" s="666"/>
      <c r="U18" s="667"/>
      <c r="V18" s="666"/>
      <c r="W18" s="667"/>
      <c r="X18" s="1264"/>
      <c r="Y18" s="3448"/>
      <c r="Z18" s="1263"/>
      <c r="AA18" s="1263">
        <v>1</v>
      </c>
      <c r="AB18" s="1263">
        <v>1</v>
      </c>
      <c r="AC18" s="1263">
        <v>1</v>
      </c>
    </row>
    <row r="19" spans="1:29" ht="42.75">
      <c r="A19" s="366"/>
      <c r="B19" s="389" t="s">
        <v>1778</v>
      </c>
      <c r="C19" s="1753" t="str">
        <f>估价对象房地状况!C7</f>
        <v>估价对象所在区域公共配套设施较齐备</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46"/>
      <c r="Q19" s="1262" t="str">
        <f>B19</f>
        <v>公共配套设施</v>
      </c>
      <c r="R19" s="666" t="s">
        <v>14</v>
      </c>
      <c r="S19" s="667">
        <f>F19</f>
        <v>100</v>
      </c>
      <c r="T19" s="666" t="s">
        <v>14</v>
      </c>
      <c r="U19" s="667">
        <f>H19</f>
        <v>100</v>
      </c>
      <c r="V19" s="666" t="s">
        <v>14</v>
      </c>
      <c r="W19" s="667">
        <f>J19</f>
        <v>100</v>
      </c>
      <c r="X19" s="1264"/>
      <c r="Y19" s="344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46"/>
      <c r="Q20" s="1262"/>
      <c r="R20" s="666"/>
      <c r="S20" s="667"/>
      <c r="T20" s="666"/>
      <c r="U20" s="667"/>
      <c r="V20" s="666"/>
      <c r="W20" s="667"/>
      <c r="X20" s="1264"/>
      <c r="Y20" s="3448"/>
      <c r="Z20" s="1263"/>
      <c r="AA20" s="1263">
        <v>1</v>
      </c>
      <c r="AB20" s="1263">
        <v>1</v>
      </c>
      <c r="AC20" s="1263">
        <v>1</v>
      </c>
    </row>
    <row r="21" spans="1:29" ht="42.75">
      <c r="A21" s="366"/>
      <c r="B21" s="585" t="s">
        <v>1779</v>
      </c>
      <c r="C21" s="1753" t="str">
        <f>估价对象房地状况!C8</f>
        <v>估价对象所在区域基础设施水平较好</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46"/>
      <c r="Q21" s="1262" t="str">
        <f>B21</f>
        <v>基础设施水平</v>
      </c>
      <c r="R21" s="666" t="s">
        <v>14</v>
      </c>
      <c r="S21" s="667">
        <f>F21</f>
        <v>100</v>
      </c>
      <c r="T21" s="666" t="s">
        <v>14</v>
      </c>
      <c r="U21" s="667">
        <f>H21</f>
        <v>100</v>
      </c>
      <c r="V21" s="666" t="s">
        <v>14</v>
      </c>
      <c r="W21" s="667">
        <f>J21</f>
        <v>100</v>
      </c>
      <c r="X21" s="1264"/>
      <c r="Y21" s="344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46"/>
      <c r="Q22" s="1262"/>
      <c r="R22" s="666"/>
      <c r="S22" s="667"/>
      <c r="T22" s="666"/>
      <c r="U22" s="667"/>
      <c r="V22" s="666"/>
      <c r="W22" s="667"/>
      <c r="X22" s="1264"/>
      <c r="Y22" s="3448"/>
      <c r="Z22" s="1263"/>
      <c r="AA22" s="1263">
        <v>1</v>
      </c>
      <c r="AB22" s="1263">
        <v>1</v>
      </c>
      <c r="AC22" s="1263">
        <v>1</v>
      </c>
    </row>
    <row r="23" spans="1:29" ht="71.25">
      <c r="A23" s="366"/>
      <c r="B23" s="389" t="s">
        <v>1261</v>
      </c>
      <c r="C23" s="1805" t="str">
        <f>估价对象房地状况!C9</f>
        <v>周边有动物园、北京艺术博物馆、双榆树公园等自然人文环境，质量较好</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46"/>
      <c r="Q23" s="1262" t="str">
        <f>B23</f>
        <v>自然及人文环境</v>
      </c>
      <c r="R23" s="666" t="s">
        <v>14</v>
      </c>
      <c r="S23" s="667">
        <f>F23</f>
        <v>100</v>
      </c>
      <c r="T23" s="666" t="s">
        <v>14</v>
      </c>
      <c r="U23" s="667">
        <f>H23</f>
        <v>100</v>
      </c>
      <c r="V23" s="666" t="s">
        <v>14</v>
      </c>
      <c r="W23" s="667">
        <f>J23</f>
        <v>100</v>
      </c>
      <c r="X23" s="1264"/>
      <c r="Y23" s="3448"/>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46"/>
      <c r="Q24" s="1262"/>
      <c r="R24" s="666"/>
      <c r="S24" s="667"/>
      <c r="T24" s="666"/>
      <c r="U24" s="667"/>
      <c r="V24" s="666"/>
      <c r="W24" s="667"/>
      <c r="X24" s="1264"/>
      <c r="Y24" s="344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46"/>
      <c r="Q25" s="1262" t="str">
        <f t="shared" ref="Q25:Q46" si="11">B25</f>
        <v>临街状况</v>
      </c>
      <c r="R25" s="666" t="s">
        <v>14</v>
      </c>
      <c r="S25" s="667">
        <f>F25</f>
        <v>100</v>
      </c>
      <c r="T25" s="666" t="s">
        <v>14</v>
      </c>
      <c r="U25" s="667">
        <f>H25</f>
        <v>100</v>
      </c>
      <c r="V25" s="666" t="s">
        <v>14</v>
      </c>
      <c r="W25" s="667">
        <f>J25</f>
        <v>100</v>
      </c>
      <c r="X25" s="1264"/>
      <c r="Y25" s="344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46"/>
      <c r="Q26" s="1262" t="str">
        <f t="shared" si="11"/>
        <v>平面位置/可视性</v>
      </c>
      <c r="R26" s="666" t="s">
        <v>14</v>
      </c>
      <c r="S26" s="667">
        <f>F26</f>
        <v>100</v>
      </c>
      <c r="T26" s="666" t="s">
        <v>14</v>
      </c>
      <c r="U26" s="667">
        <f>H26</f>
        <v>100</v>
      </c>
      <c r="V26" s="666" t="s">
        <v>14</v>
      </c>
      <c r="W26" s="667">
        <f>J26</f>
        <v>100</v>
      </c>
      <c r="X26" s="1264"/>
      <c r="Y26" s="3448"/>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46"/>
      <c r="Q27" s="529" t="str">
        <f t="shared" si="11"/>
        <v>人流量</v>
      </c>
      <c r="R27" s="663" t="s">
        <v>14</v>
      </c>
      <c r="S27" s="664">
        <f>F27</f>
        <v>100</v>
      </c>
      <c r="T27" s="663" t="s">
        <v>14</v>
      </c>
      <c r="U27" s="664">
        <f>H27</f>
        <v>100</v>
      </c>
      <c r="V27" s="663" t="s">
        <v>14</v>
      </c>
      <c r="W27" s="664">
        <f>J27</f>
        <v>100</v>
      </c>
      <c r="X27" s="665"/>
      <c r="Y27" s="3448"/>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4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46"/>
      <c r="Q29" s="1262">
        <f t="shared" si="11"/>
        <v>111</v>
      </c>
      <c r="R29" s="666" t="s">
        <v>14</v>
      </c>
      <c r="S29" s="667">
        <f t="shared" si="12"/>
        <v>100</v>
      </c>
      <c r="T29" s="666" t="s">
        <v>14</v>
      </c>
      <c r="U29" s="667">
        <f t="shared" si="13"/>
        <v>100</v>
      </c>
      <c r="V29" s="666" t="s">
        <v>14</v>
      </c>
      <c r="W29" s="667">
        <f t="shared" si="14"/>
        <v>100</v>
      </c>
      <c r="X29" s="1264"/>
      <c r="Y29" s="344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46"/>
      <c r="Q30" s="1262">
        <f t="shared" si="11"/>
        <v>111</v>
      </c>
      <c r="R30" s="666" t="s">
        <v>14</v>
      </c>
      <c r="S30" s="667">
        <f t="shared" si="12"/>
        <v>100</v>
      </c>
      <c r="T30" s="666" t="s">
        <v>14</v>
      </c>
      <c r="U30" s="667">
        <f t="shared" si="13"/>
        <v>100</v>
      </c>
      <c r="V30" s="666" t="s">
        <v>14</v>
      </c>
      <c r="W30" s="667">
        <f t="shared" si="14"/>
        <v>100</v>
      </c>
      <c r="X30" s="1264"/>
      <c r="Y30" s="3448"/>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46"/>
      <c r="Q31" s="1262">
        <f t="shared" si="11"/>
        <v>111</v>
      </c>
      <c r="R31" s="666" t="s">
        <v>14</v>
      </c>
      <c r="S31" s="667">
        <f t="shared" si="12"/>
        <v>100</v>
      </c>
      <c r="T31" s="666" t="s">
        <v>14</v>
      </c>
      <c r="U31" s="667">
        <f t="shared" si="13"/>
        <v>100</v>
      </c>
      <c r="V31" s="666" t="s">
        <v>14</v>
      </c>
      <c r="W31" s="667">
        <f t="shared" si="14"/>
        <v>100</v>
      </c>
      <c r="X31" s="1264"/>
      <c r="Y31" s="3448"/>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49" t="s">
        <v>1696</v>
      </c>
      <c r="Q32" s="1262" t="str">
        <f t="shared" si="11"/>
        <v>商业类型</v>
      </c>
      <c r="R32" s="666" t="s">
        <v>14</v>
      </c>
      <c r="S32" s="667">
        <f t="shared" si="12"/>
        <v>100</v>
      </c>
      <c r="T32" s="666" t="s">
        <v>14</v>
      </c>
      <c r="U32" s="667">
        <f t="shared" si="13"/>
        <v>100</v>
      </c>
      <c r="V32" s="666" t="s">
        <v>14</v>
      </c>
      <c r="W32" s="667">
        <f t="shared" si="14"/>
        <v>100</v>
      </c>
      <c r="X32" s="1264"/>
      <c r="Y32" s="345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50"/>
      <c r="Q33" s="530" t="str">
        <f t="shared" si="11"/>
        <v>项目建筑规模</v>
      </c>
      <c r="R33" s="668" t="s">
        <v>14</v>
      </c>
      <c r="S33" s="669" t="e">
        <f t="shared" si="12"/>
        <v>#N/A</v>
      </c>
      <c r="T33" s="668" t="s">
        <v>14</v>
      </c>
      <c r="U33" s="669" t="e">
        <f t="shared" si="13"/>
        <v>#N/A</v>
      </c>
      <c r="V33" s="668" t="s">
        <v>14</v>
      </c>
      <c r="W33" s="669" t="e">
        <f t="shared" si="14"/>
        <v>#N/A</v>
      </c>
      <c r="X33" s="670"/>
      <c r="Y33" s="345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50"/>
      <c r="Q34" s="1262" t="str">
        <f t="shared" si="11"/>
        <v>建筑结构</v>
      </c>
      <c r="R34" s="666" t="s">
        <v>14</v>
      </c>
      <c r="S34" s="667">
        <f t="shared" si="12"/>
        <v>100</v>
      </c>
      <c r="T34" s="666" t="s">
        <v>14</v>
      </c>
      <c r="U34" s="667">
        <f t="shared" si="13"/>
        <v>100</v>
      </c>
      <c r="V34" s="666" t="s">
        <v>14</v>
      </c>
      <c r="W34" s="667">
        <f t="shared" si="14"/>
        <v>100</v>
      </c>
      <c r="X34" s="1264"/>
      <c r="Y34" s="345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50"/>
      <c r="Q35" s="1262" t="str">
        <f t="shared" si="11"/>
        <v>公共部分装修</v>
      </c>
      <c r="R35" s="666" t="s">
        <v>14</v>
      </c>
      <c r="S35" s="667">
        <f t="shared" si="12"/>
        <v>100</v>
      </c>
      <c r="T35" s="666" t="s">
        <v>14</v>
      </c>
      <c r="U35" s="667">
        <f t="shared" si="13"/>
        <v>100</v>
      </c>
      <c r="V35" s="666" t="s">
        <v>14</v>
      </c>
      <c r="W35" s="667">
        <f t="shared" si="14"/>
        <v>100</v>
      </c>
      <c r="X35" s="1264"/>
      <c r="Y35" s="345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50"/>
      <c r="Q36" s="1262" t="str">
        <f t="shared" si="11"/>
        <v>成新度</v>
      </c>
      <c r="R36" s="666" t="s">
        <v>14</v>
      </c>
      <c r="S36" s="667" t="e">
        <f t="shared" si="12"/>
        <v>#N/A</v>
      </c>
      <c r="T36" s="666" t="s">
        <v>14</v>
      </c>
      <c r="U36" s="667" t="e">
        <f t="shared" si="13"/>
        <v>#N/A</v>
      </c>
      <c r="V36" s="666" t="s">
        <v>14</v>
      </c>
      <c r="W36" s="667" t="e">
        <f t="shared" si="14"/>
        <v>#N/A</v>
      </c>
      <c r="X36" s="1264"/>
      <c r="Y36" s="3452"/>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50"/>
      <c r="Q37" s="529" t="str">
        <f t="shared" si="11"/>
        <v>市政基础设施</v>
      </c>
      <c r="R37" s="663" t="s">
        <v>14</v>
      </c>
      <c r="S37" s="664">
        <f t="shared" si="12"/>
        <v>100</v>
      </c>
      <c r="T37" s="663" t="s">
        <v>14</v>
      </c>
      <c r="U37" s="664">
        <f t="shared" si="13"/>
        <v>100</v>
      </c>
      <c r="V37" s="663" t="s">
        <v>14</v>
      </c>
      <c r="W37" s="664">
        <f t="shared" si="14"/>
        <v>100</v>
      </c>
      <c r="X37" s="665"/>
      <c r="Y37" s="345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50" t="s">
        <v>1696</v>
      </c>
      <c r="Q38" s="1262" t="str">
        <f t="shared" si="11"/>
        <v>业态</v>
      </c>
      <c r="R38" s="666" t="s">
        <v>14</v>
      </c>
      <c r="S38" s="667">
        <f t="shared" si="12"/>
        <v>100</v>
      </c>
      <c r="T38" s="666" t="s">
        <v>14</v>
      </c>
      <c r="U38" s="667">
        <f t="shared" si="13"/>
        <v>100</v>
      </c>
      <c r="V38" s="666" t="s">
        <v>14</v>
      </c>
      <c r="W38" s="667">
        <f t="shared" si="14"/>
        <v>100</v>
      </c>
      <c r="X38" s="1264"/>
      <c r="Y38" s="345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50"/>
      <c r="Q39" s="1262" t="str">
        <f t="shared" si="11"/>
        <v>层高</v>
      </c>
      <c r="R39" s="666" t="s">
        <v>14</v>
      </c>
      <c r="S39" s="667">
        <f t="shared" si="12"/>
        <v>100</v>
      </c>
      <c r="T39" s="666" t="s">
        <v>14</v>
      </c>
      <c r="U39" s="667">
        <f t="shared" si="13"/>
        <v>100</v>
      </c>
      <c r="V39" s="666" t="s">
        <v>14</v>
      </c>
      <c r="W39" s="667">
        <f t="shared" si="14"/>
        <v>100</v>
      </c>
      <c r="X39" s="1264"/>
      <c r="Y39" s="345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50"/>
      <c r="Q40" s="1262" t="str">
        <f t="shared" si="11"/>
        <v>单套建筑面积</v>
      </c>
      <c r="R40" s="666" t="s">
        <v>14</v>
      </c>
      <c r="S40" s="667">
        <f t="shared" si="12"/>
        <v>100</v>
      </c>
      <c r="T40" s="666" t="s">
        <v>14</v>
      </c>
      <c r="U40" s="667">
        <f t="shared" si="13"/>
        <v>100</v>
      </c>
      <c r="V40" s="666" t="s">
        <v>14</v>
      </c>
      <c r="W40" s="667">
        <f t="shared" si="14"/>
        <v>100</v>
      </c>
      <c r="X40" s="1264"/>
      <c r="Y40" s="345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50"/>
      <c r="Q41" s="530" t="str">
        <f t="shared" si="11"/>
        <v>进深比</v>
      </c>
      <c r="R41" s="668" t="s">
        <v>14</v>
      </c>
      <c r="S41" s="669">
        <f t="shared" si="12"/>
        <v>100</v>
      </c>
      <c r="T41" s="668" t="s">
        <v>14</v>
      </c>
      <c r="U41" s="669">
        <f t="shared" si="13"/>
        <v>100</v>
      </c>
      <c r="V41" s="668" t="s">
        <v>14</v>
      </c>
      <c r="W41" s="669">
        <f t="shared" si="14"/>
        <v>100</v>
      </c>
      <c r="X41" s="670"/>
      <c r="Y41" s="345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50"/>
      <c r="Q42" s="1262" t="str">
        <f t="shared" si="11"/>
        <v>内部装修</v>
      </c>
      <c r="R42" s="666" t="s">
        <v>14</v>
      </c>
      <c r="S42" s="667">
        <f t="shared" si="12"/>
        <v>100</v>
      </c>
      <c r="T42" s="666" t="s">
        <v>14</v>
      </c>
      <c r="U42" s="667">
        <f t="shared" si="13"/>
        <v>100</v>
      </c>
      <c r="V42" s="666" t="s">
        <v>14</v>
      </c>
      <c r="W42" s="667">
        <f t="shared" si="14"/>
        <v>100</v>
      </c>
      <c r="X42" s="1264"/>
      <c r="Y42" s="3452"/>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50"/>
      <c r="Q43" s="1262" t="str">
        <f t="shared" si="11"/>
        <v>内部装修维护情况</v>
      </c>
      <c r="R43" s="666" t="s">
        <v>14</v>
      </c>
      <c r="S43" s="667">
        <f t="shared" si="12"/>
        <v>100</v>
      </c>
      <c r="T43" s="666" t="s">
        <v>14</v>
      </c>
      <c r="U43" s="667">
        <f t="shared" si="13"/>
        <v>100</v>
      </c>
      <c r="V43" s="666" t="s">
        <v>14</v>
      </c>
      <c r="W43" s="667">
        <f t="shared" si="14"/>
        <v>100</v>
      </c>
      <c r="X43" s="1264"/>
      <c r="Y43" s="3452"/>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50"/>
      <c r="Q44" s="529">
        <f t="shared" si="11"/>
        <v>111</v>
      </c>
      <c r="R44" s="663" t="s">
        <v>14</v>
      </c>
      <c r="S44" s="664">
        <f t="shared" si="12"/>
        <v>100</v>
      </c>
      <c r="T44" s="663" t="s">
        <v>14</v>
      </c>
      <c r="U44" s="664">
        <f t="shared" si="13"/>
        <v>100</v>
      </c>
      <c r="V44" s="663" t="s">
        <v>14</v>
      </c>
      <c r="W44" s="664">
        <f t="shared" si="14"/>
        <v>100</v>
      </c>
      <c r="X44" s="665"/>
      <c r="Y44" s="345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50"/>
      <c r="Q45" s="1262">
        <f t="shared" si="11"/>
        <v>111</v>
      </c>
      <c r="R45" s="666" t="s">
        <v>14</v>
      </c>
      <c r="S45" s="667">
        <f t="shared" si="12"/>
        <v>100</v>
      </c>
      <c r="T45" s="666" t="s">
        <v>14</v>
      </c>
      <c r="U45" s="667">
        <f t="shared" si="13"/>
        <v>100</v>
      </c>
      <c r="V45" s="666" t="s">
        <v>14</v>
      </c>
      <c r="W45" s="667">
        <f t="shared" si="14"/>
        <v>100</v>
      </c>
      <c r="X45" s="1264"/>
      <c r="Y45" s="3452"/>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51"/>
      <c r="Q46" s="1262">
        <f t="shared" si="11"/>
        <v>111</v>
      </c>
      <c r="R46" s="666" t="s">
        <v>14</v>
      </c>
      <c r="S46" s="667">
        <f t="shared" si="12"/>
        <v>100</v>
      </c>
      <c r="T46" s="666" t="s">
        <v>14</v>
      </c>
      <c r="U46" s="667">
        <f t="shared" si="13"/>
        <v>100</v>
      </c>
      <c r="V46" s="666" t="s">
        <v>14</v>
      </c>
      <c r="W46" s="667">
        <f t="shared" si="14"/>
        <v>100</v>
      </c>
      <c r="X46" s="1264"/>
      <c r="Y46" s="3453"/>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2"/>
      <c r="M47" s="2485"/>
      <c r="N47" s="2485"/>
      <c r="O47" s="2485"/>
      <c r="P47" s="3454" t="str">
        <f>A47</f>
        <v>成交单价（元/平方米）</v>
      </c>
      <c r="Q47" s="3454"/>
      <c r="R47" s="3442">
        <f>E47</f>
        <v>0</v>
      </c>
      <c r="S47" s="3442"/>
      <c r="T47" s="3442">
        <f>G47</f>
        <v>0</v>
      </c>
      <c r="U47" s="3442"/>
      <c r="V47" s="3442">
        <f>I47</f>
        <v>0</v>
      </c>
      <c r="W47" s="3442"/>
      <c r="X47" s="384"/>
      <c r="Y47" s="672"/>
      <c r="Z47" s="384"/>
      <c r="AA47" s="384"/>
      <c r="AB47" s="384"/>
      <c r="AC47" s="384"/>
    </row>
    <row r="48" spans="1:29" ht="15.75" thickBot="1">
      <c r="A48" s="422" t="s">
        <v>1793</v>
      </c>
      <c r="B48" s="423"/>
      <c r="C48" s="1081" t="e">
        <f>R49</f>
        <v>#DIV/0!</v>
      </c>
      <c r="D48" s="2140" t="s">
        <v>2137</v>
      </c>
      <c r="E48" s="1082" t="e">
        <f>R48</f>
        <v>#DIV/0!</v>
      </c>
      <c r="F48" s="2141"/>
      <c r="G48" s="1081" t="e">
        <f>T48</f>
        <v>#DIV/0!</v>
      </c>
      <c r="H48" s="2141"/>
      <c r="I48" s="1082" t="e">
        <f>V48</f>
        <v>#DIV/0!</v>
      </c>
      <c r="J48" s="2141"/>
      <c r="K48" s="2143">
        <f>F48+H48+J48</f>
        <v>0</v>
      </c>
      <c r="L48" s="2492"/>
      <c r="M48" s="2485"/>
      <c r="N48" s="2485"/>
      <c r="O48" s="2485"/>
      <c r="P48" s="3454" t="str">
        <f>A48</f>
        <v>比较价值（元/平方米）</v>
      </c>
      <c r="Q48" s="3454"/>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2"/>
      <c r="M49" s="2485"/>
      <c r="N49" s="2485"/>
      <c r="O49" s="2485"/>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5">
      <c r="A58" s="439" t="s">
        <v>1679</v>
      </c>
      <c r="B58" s="440"/>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7"/>
      <c r="Q58" s="2508"/>
      <c r="R58" s="2508"/>
      <c r="S58" s="2508"/>
      <c r="T58" s="2508"/>
      <c r="U58" s="2508"/>
      <c r="V58" s="2508"/>
      <c r="W58" s="2508"/>
      <c r="X58" s="2508"/>
      <c r="Y58" s="2508"/>
      <c r="Z58" s="2508"/>
      <c r="AA58" s="2508"/>
      <c r="AB58" s="2508"/>
      <c r="AC58" s="2508"/>
    </row>
    <row r="59" spans="1:29" s="102" customFormat="1" ht="15">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2" customFormat="1" ht="15.7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2" customFormat="1" ht="15">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2" customFormat="1" ht="15.75"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2" customFormat="1" ht="15.7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2" customFormat="1" ht="15.75"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4967.6099999999997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29" t="s">
        <v>1770</v>
      </c>
      <c r="D4" s="3430"/>
      <c r="E4" s="3431" t="s">
        <v>1771</v>
      </c>
      <c r="F4" s="3432"/>
      <c r="G4" s="3429" t="s">
        <v>1772</v>
      </c>
      <c r="H4" s="3430"/>
      <c r="I4" s="3429" t="s">
        <v>1773</v>
      </c>
      <c r="J4" s="3430"/>
      <c r="K4" s="536" t="s">
        <v>1774</v>
      </c>
      <c r="L4" s="859"/>
      <c r="M4" s="860"/>
      <c r="N4" s="860"/>
      <c r="O4" s="860"/>
      <c r="P4" s="3484" t="s">
        <v>1775</v>
      </c>
      <c r="Q4" s="3485"/>
      <c r="R4" s="3480" t="s">
        <v>1771</v>
      </c>
      <c r="S4" s="3481"/>
      <c r="T4" s="3480" t="s">
        <v>1772</v>
      </c>
      <c r="U4" s="3481"/>
      <c r="V4" s="3442" t="s">
        <v>1773</v>
      </c>
      <c r="W4" s="3442"/>
      <c r="X4" s="1264"/>
      <c r="Y4" s="3480" t="s">
        <v>1775</v>
      </c>
      <c r="Z4" s="3481"/>
      <c r="AA4" s="3479" t="s">
        <v>1771</v>
      </c>
      <c r="AB4" s="3410" t="s">
        <v>1772</v>
      </c>
      <c r="AC4" s="3479" t="s">
        <v>1773</v>
      </c>
    </row>
    <row r="5" spans="1:29" ht="15">
      <c r="A5" s="347"/>
      <c r="B5" s="348"/>
      <c r="C5" s="3420" t="s">
        <v>1673</v>
      </c>
      <c r="D5" s="3419"/>
      <c r="E5" s="3482" t="s">
        <v>1674</v>
      </c>
      <c r="F5" s="3483"/>
      <c r="G5" s="3420" t="s">
        <v>1675</v>
      </c>
      <c r="H5" s="3419"/>
      <c r="I5" s="3420" t="s">
        <v>1676</v>
      </c>
      <c r="J5" s="3419"/>
      <c r="K5" s="536"/>
      <c r="L5" s="859"/>
      <c r="M5" s="860"/>
      <c r="N5" s="860"/>
      <c r="O5" s="860"/>
      <c r="P5" s="3486"/>
      <c r="Q5" s="3436"/>
      <c r="R5" s="3416"/>
      <c r="S5" s="3417"/>
      <c r="T5" s="3416"/>
      <c r="U5" s="3417"/>
      <c r="V5" s="3442"/>
      <c r="W5" s="3442"/>
      <c r="X5" s="1264"/>
      <c r="Y5" s="3416"/>
      <c r="Z5" s="3417"/>
      <c r="AA5" s="3410"/>
      <c r="AB5" s="3410"/>
      <c r="AC5" s="3410"/>
    </row>
    <row r="6" spans="1:29" ht="15.75" thickBot="1">
      <c r="A6" s="349"/>
      <c r="B6" s="350"/>
      <c r="C6" s="3421" t="s">
        <v>1677</v>
      </c>
      <c r="D6" s="3422"/>
      <c r="E6" s="3423" t="s">
        <v>1677</v>
      </c>
      <c r="F6" s="3424"/>
      <c r="G6" s="3421" t="s">
        <v>1677</v>
      </c>
      <c r="H6" s="3422"/>
      <c r="I6" s="3421" t="s">
        <v>1677</v>
      </c>
      <c r="J6" s="3422"/>
      <c r="K6" s="536" t="s">
        <v>1678</v>
      </c>
      <c r="L6" s="859"/>
      <c r="M6" s="860"/>
      <c r="N6" s="860"/>
      <c r="O6" s="860"/>
      <c r="P6" s="3487"/>
      <c r="Q6" s="3438"/>
      <c r="R6" s="3416"/>
      <c r="S6" s="3417"/>
      <c r="T6" s="3439"/>
      <c r="U6" s="3440"/>
      <c r="V6" s="3442"/>
      <c r="W6" s="3442"/>
      <c r="X6" s="1264"/>
      <c r="Y6" s="3439"/>
      <c r="Z6" s="3440"/>
      <c r="AA6" s="3411"/>
      <c r="AB6" s="3411"/>
      <c r="AC6" s="3411"/>
    </row>
    <row r="7" spans="1:29" s="102" customFormat="1" ht="15.75" thickBot="1">
      <c r="A7" s="351" t="s">
        <v>1679</v>
      </c>
      <c r="B7" s="352"/>
      <c r="C7" s="353">
        <f>'数据-取费表'!B2</f>
        <v>45762</v>
      </c>
      <c r="D7" s="354">
        <v>100</v>
      </c>
      <c r="E7" s="355"/>
      <c r="F7" s="356">
        <f>SUMIF(52:52,YEAR(E7)&amp;"-"&amp;MONTH(E7),53:53)</f>
        <v>0</v>
      </c>
      <c r="G7" s="355"/>
      <c r="H7" s="354">
        <f>SUMIF(52:52,YEAR(G7)&amp;"-"&amp;MONTH(G7),53:53)</f>
        <v>0</v>
      </c>
      <c r="I7" s="355"/>
      <c r="J7" s="354">
        <f>SUMIF(52:52,YEAR(I7)&amp;"-"&amp;MONTH(I7),53:53)</f>
        <v>0</v>
      </c>
      <c r="K7" s="38"/>
      <c r="L7" s="861"/>
      <c r="M7" s="862"/>
      <c r="N7" s="862"/>
      <c r="O7" s="862"/>
      <c r="P7" s="3412" t="s">
        <v>1680</v>
      </c>
      <c r="Q7" s="3444"/>
      <c r="R7" s="663" t="s">
        <v>14</v>
      </c>
      <c r="S7" s="664">
        <f t="shared" ref="S7:S15" si="0">F7</f>
        <v>0</v>
      </c>
      <c r="T7" s="663" t="s">
        <v>14</v>
      </c>
      <c r="U7" s="664">
        <f t="shared" ref="U7:U15" si="1">H7</f>
        <v>0</v>
      </c>
      <c r="V7" s="663" t="s">
        <v>14</v>
      </c>
      <c r="W7" s="664">
        <f t="shared" ref="W7:W15" si="2">J7</f>
        <v>0</v>
      </c>
      <c r="X7" s="665"/>
      <c r="Y7" s="3412" t="s">
        <v>1680</v>
      </c>
      <c r="Z7" s="3413"/>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2" t="s">
        <v>1683</v>
      </c>
      <c r="Q8" s="3413"/>
      <c r="R8" s="663" t="s">
        <v>14</v>
      </c>
      <c r="S8" s="664">
        <f t="shared" si="0"/>
        <v>100</v>
      </c>
      <c r="T8" s="663" t="s">
        <v>14</v>
      </c>
      <c r="U8" s="664">
        <f t="shared" si="1"/>
        <v>100</v>
      </c>
      <c r="V8" s="663" t="s">
        <v>14</v>
      </c>
      <c r="W8" s="664">
        <f t="shared" si="2"/>
        <v>100</v>
      </c>
      <c r="X8" s="665"/>
      <c r="Y8" s="3412" t="s">
        <v>1683</v>
      </c>
      <c r="Z8" s="3413"/>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54" t="s">
        <v>1686</v>
      </c>
      <c r="Q9" s="529" t="str">
        <f t="shared" ref="Q9:Q15" si="6">B9</f>
        <v>用途</v>
      </c>
      <c r="R9" s="663" t="s">
        <v>14</v>
      </c>
      <c r="S9" s="664">
        <f t="shared" si="0"/>
        <v>100</v>
      </c>
      <c r="T9" s="663" t="s">
        <v>14</v>
      </c>
      <c r="U9" s="664">
        <f t="shared" si="1"/>
        <v>100</v>
      </c>
      <c r="V9" s="663" t="s">
        <v>14</v>
      </c>
      <c r="W9" s="664">
        <f t="shared" si="2"/>
        <v>100</v>
      </c>
      <c r="X9" s="665"/>
      <c r="Y9" s="3358"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54"/>
      <c r="Q10" s="529" t="str">
        <f t="shared" si="6"/>
        <v>土地使用年限（年）</v>
      </c>
      <c r="R10" s="663" t="s">
        <v>14</v>
      </c>
      <c r="S10" s="664">
        <f t="shared" si="0"/>
        <v>100</v>
      </c>
      <c r="T10" s="663" t="s">
        <v>14</v>
      </c>
      <c r="U10" s="664">
        <f t="shared" si="1"/>
        <v>100</v>
      </c>
      <c r="V10" s="663" t="s">
        <v>14</v>
      </c>
      <c r="W10" s="664">
        <f t="shared" si="2"/>
        <v>100</v>
      </c>
      <c r="X10" s="665"/>
      <c r="Y10" s="335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54"/>
      <c r="Q11" s="529" t="str">
        <f t="shared" si="6"/>
        <v>容积率</v>
      </c>
      <c r="R11" s="663" t="s">
        <v>14</v>
      </c>
      <c r="S11" s="664">
        <f t="shared" si="0"/>
        <v>100</v>
      </c>
      <c r="T11" s="663" t="s">
        <v>14</v>
      </c>
      <c r="U11" s="664">
        <f t="shared" si="1"/>
        <v>100</v>
      </c>
      <c r="V11" s="663" t="s">
        <v>14</v>
      </c>
      <c r="W11" s="664">
        <f t="shared" si="2"/>
        <v>100</v>
      </c>
      <c r="X11" s="665"/>
      <c r="Y11" s="3358"/>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54"/>
      <c r="Q12" s="529">
        <f t="shared" si="6"/>
        <v>111</v>
      </c>
      <c r="R12" s="663" t="s">
        <v>14</v>
      </c>
      <c r="S12" s="664">
        <f t="shared" si="0"/>
        <v>100</v>
      </c>
      <c r="T12" s="663" t="s">
        <v>14</v>
      </c>
      <c r="U12" s="664">
        <f t="shared" si="1"/>
        <v>100</v>
      </c>
      <c r="V12" s="663" t="s">
        <v>14</v>
      </c>
      <c r="W12" s="664">
        <f t="shared" si="2"/>
        <v>100</v>
      </c>
      <c r="X12" s="665"/>
      <c r="Y12" s="335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54"/>
      <c r="Q13" s="529">
        <f t="shared" si="6"/>
        <v>111</v>
      </c>
      <c r="R13" s="663" t="s">
        <v>14</v>
      </c>
      <c r="S13" s="664">
        <f t="shared" si="0"/>
        <v>100</v>
      </c>
      <c r="T13" s="663" t="s">
        <v>14</v>
      </c>
      <c r="U13" s="664">
        <f t="shared" si="1"/>
        <v>100</v>
      </c>
      <c r="V13" s="663" t="s">
        <v>14</v>
      </c>
      <c r="W13" s="664">
        <f t="shared" si="2"/>
        <v>100</v>
      </c>
      <c r="X13" s="665"/>
      <c r="Y13" s="3358"/>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54"/>
      <c r="Q14" s="529">
        <f t="shared" si="6"/>
        <v>111</v>
      </c>
      <c r="R14" s="663" t="s">
        <v>14</v>
      </c>
      <c r="S14" s="664">
        <f t="shared" si="0"/>
        <v>100</v>
      </c>
      <c r="T14" s="663" t="s">
        <v>14</v>
      </c>
      <c r="U14" s="664">
        <f t="shared" si="1"/>
        <v>100</v>
      </c>
      <c r="V14" s="663" t="s">
        <v>14</v>
      </c>
      <c r="W14" s="664">
        <f t="shared" si="2"/>
        <v>100</v>
      </c>
      <c r="X14" s="665"/>
      <c r="Y14" s="3358"/>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7" t="s">
        <v>1691</v>
      </c>
      <c r="Q15" s="1262" t="str">
        <f t="shared" si="6"/>
        <v>产业集聚程度</v>
      </c>
      <c r="R15" s="666" t="s">
        <v>14</v>
      </c>
      <c r="S15" s="667">
        <f t="shared" si="0"/>
        <v>100</v>
      </c>
      <c r="T15" s="666" t="s">
        <v>14</v>
      </c>
      <c r="U15" s="667">
        <f t="shared" si="1"/>
        <v>100</v>
      </c>
      <c r="V15" s="666" t="s">
        <v>14</v>
      </c>
      <c r="W15" s="667">
        <f t="shared" si="2"/>
        <v>100</v>
      </c>
      <c r="X15" s="1264"/>
      <c r="Y15" s="344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8"/>
      <c r="Q16" s="1262"/>
      <c r="R16" s="666"/>
      <c r="S16" s="667"/>
      <c r="T16" s="666"/>
      <c r="U16" s="667"/>
      <c r="V16" s="666"/>
      <c r="W16" s="667"/>
      <c r="X16" s="1264"/>
      <c r="Y16" s="3448"/>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8"/>
      <c r="Q17" s="1262" t="str">
        <f>B17</f>
        <v>交通便捷度</v>
      </c>
      <c r="R17" s="666" t="s">
        <v>14</v>
      </c>
      <c r="S17" s="667">
        <f>F17</f>
        <v>100</v>
      </c>
      <c r="T17" s="666" t="s">
        <v>14</v>
      </c>
      <c r="U17" s="667">
        <f>H17</f>
        <v>100</v>
      </c>
      <c r="V17" s="666" t="s">
        <v>14</v>
      </c>
      <c r="W17" s="667">
        <f>J17</f>
        <v>100</v>
      </c>
      <c r="X17" s="1264"/>
      <c r="Y17" s="344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48"/>
      <c r="Q18" s="1262"/>
      <c r="R18" s="666"/>
      <c r="S18" s="667"/>
      <c r="T18" s="666"/>
      <c r="U18" s="667"/>
      <c r="V18" s="666"/>
      <c r="W18" s="667"/>
      <c r="X18" s="1264"/>
      <c r="Y18" s="3448"/>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8"/>
      <c r="Q19" s="1262" t="str">
        <f>B19</f>
        <v>公共配套设施</v>
      </c>
      <c r="R19" s="666" t="s">
        <v>14</v>
      </c>
      <c r="S19" s="667">
        <f>F19</f>
        <v>100</v>
      </c>
      <c r="T19" s="666" t="s">
        <v>14</v>
      </c>
      <c r="U19" s="667">
        <f>H19</f>
        <v>100</v>
      </c>
      <c r="V19" s="666" t="s">
        <v>14</v>
      </c>
      <c r="W19" s="667">
        <f>J19</f>
        <v>100</v>
      </c>
      <c r="X19" s="1264"/>
      <c r="Y19" s="344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48"/>
      <c r="Q20" s="1262"/>
      <c r="R20" s="666"/>
      <c r="S20" s="667"/>
      <c r="T20" s="666"/>
      <c r="U20" s="667"/>
      <c r="V20" s="666"/>
      <c r="W20" s="667"/>
      <c r="X20" s="1264"/>
      <c r="Y20" s="3448"/>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8"/>
      <c r="Q21" s="1262" t="str">
        <f>B21</f>
        <v>基础设施水平</v>
      </c>
      <c r="R21" s="666" t="s">
        <v>14</v>
      </c>
      <c r="S21" s="667">
        <f>F21</f>
        <v>100</v>
      </c>
      <c r="T21" s="666" t="s">
        <v>14</v>
      </c>
      <c r="U21" s="667">
        <f>H21</f>
        <v>100</v>
      </c>
      <c r="V21" s="666" t="s">
        <v>14</v>
      </c>
      <c r="W21" s="667">
        <f>J21</f>
        <v>100</v>
      </c>
      <c r="X21" s="1264"/>
      <c r="Y21" s="344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48"/>
      <c r="Q22" s="1262"/>
      <c r="R22" s="666"/>
      <c r="S22" s="667"/>
      <c r="T22" s="666"/>
      <c r="U22" s="667"/>
      <c r="V22" s="666"/>
      <c r="W22" s="667"/>
      <c r="X22" s="1264"/>
      <c r="Y22" s="3448"/>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8"/>
      <c r="Q23" s="1262" t="str">
        <f>B23</f>
        <v>环境质量</v>
      </c>
      <c r="R23" s="666" t="s">
        <v>14</v>
      </c>
      <c r="S23" s="667">
        <f>F23</f>
        <v>100</v>
      </c>
      <c r="T23" s="666" t="s">
        <v>14</v>
      </c>
      <c r="U23" s="667">
        <f>H23</f>
        <v>100</v>
      </c>
      <c r="V23" s="666" t="s">
        <v>14</v>
      </c>
      <c r="W23" s="667">
        <f>J23</f>
        <v>100</v>
      </c>
      <c r="X23" s="1264"/>
      <c r="Y23" s="344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48"/>
      <c r="Q24" s="1262"/>
      <c r="R24" s="666"/>
      <c r="S24" s="667"/>
      <c r="T24" s="666"/>
      <c r="U24" s="667"/>
      <c r="V24" s="666"/>
      <c r="W24" s="667"/>
      <c r="X24" s="1264"/>
      <c r="Y24" s="344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8"/>
      <c r="Q25" s="1262">
        <f>B25</f>
        <v>111</v>
      </c>
      <c r="R25" s="666" t="s">
        <v>14</v>
      </c>
      <c r="S25" s="667">
        <f>F25</f>
        <v>100</v>
      </c>
      <c r="T25" s="666" t="s">
        <v>14</v>
      </c>
      <c r="U25" s="667">
        <f>H25</f>
        <v>100</v>
      </c>
      <c r="V25" s="666" t="s">
        <v>14</v>
      </c>
      <c r="W25" s="667">
        <f>J25</f>
        <v>100</v>
      </c>
      <c r="X25" s="1264"/>
      <c r="Y25" s="344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8"/>
      <c r="Q26" s="1262">
        <f t="shared" ref="Q26:Q40" si="11">B26</f>
        <v>111</v>
      </c>
      <c r="R26" s="666" t="s">
        <v>14</v>
      </c>
      <c r="S26" s="667">
        <f>F26</f>
        <v>100</v>
      </c>
      <c r="T26" s="666" t="s">
        <v>14</v>
      </c>
      <c r="U26" s="667">
        <f>H26</f>
        <v>100</v>
      </c>
      <c r="V26" s="666" t="s">
        <v>14</v>
      </c>
      <c r="W26" s="667">
        <f>J26</f>
        <v>100</v>
      </c>
      <c r="X26" s="1264"/>
      <c r="Y26" s="3448"/>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8"/>
      <c r="Q27" s="529">
        <f t="shared" si="11"/>
        <v>111</v>
      </c>
      <c r="R27" s="663" t="s">
        <v>14</v>
      </c>
      <c r="S27" s="664">
        <f>F27</f>
        <v>100</v>
      </c>
      <c r="T27" s="663" t="s">
        <v>14</v>
      </c>
      <c r="U27" s="664">
        <f>H27</f>
        <v>100</v>
      </c>
      <c r="V27" s="663" t="s">
        <v>14</v>
      </c>
      <c r="W27" s="664">
        <f>J27</f>
        <v>100</v>
      </c>
      <c r="X27" s="665"/>
      <c r="Y27" s="3448"/>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8"/>
      <c r="Q28" s="1262">
        <f t="shared" si="11"/>
        <v>111</v>
      </c>
      <c r="R28" s="666" t="s">
        <v>14</v>
      </c>
      <c r="S28" s="667">
        <f t="shared" ref="S28:S40" si="12">F28</f>
        <v>100</v>
      </c>
      <c r="T28" s="666" t="s">
        <v>14</v>
      </c>
      <c r="U28" s="667">
        <f t="shared" ref="U28:U40" si="13">H28</f>
        <v>100</v>
      </c>
      <c r="V28" s="666" t="s">
        <v>14</v>
      </c>
      <c r="W28" s="667">
        <f t="shared" ref="W28:W40" si="14">J28</f>
        <v>100</v>
      </c>
      <c r="X28" s="1264"/>
      <c r="Y28" s="3448"/>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91" t="s">
        <v>1696</v>
      </c>
      <c r="Q29" s="1262" t="str">
        <f t="shared" si="11"/>
        <v>建筑类型</v>
      </c>
      <c r="R29" s="666" t="s">
        <v>14</v>
      </c>
      <c r="S29" s="667">
        <f t="shared" si="12"/>
        <v>100</v>
      </c>
      <c r="T29" s="666" t="s">
        <v>14</v>
      </c>
      <c r="U29" s="667">
        <f t="shared" si="13"/>
        <v>100</v>
      </c>
      <c r="V29" s="666" t="s">
        <v>14</v>
      </c>
      <c r="W29" s="667">
        <f t="shared" si="14"/>
        <v>100</v>
      </c>
      <c r="X29" s="1264"/>
      <c r="Y29" s="345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2"/>
      <c r="Q30" s="530" t="str">
        <f t="shared" si="11"/>
        <v>项目建筑规模</v>
      </c>
      <c r="R30" s="668" t="s">
        <v>14</v>
      </c>
      <c r="S30" s="669" t="e">
        <f t="shared" si="12"/>
        <v>#N/A</v>
      </c>
      <c r="T30" s="668" t="s">
        <v>14</v>
      </c>
      <c r="U30" s="669" t="e">
        <f t="shared" si="13"/>
        <v>#N/A</v>
      </c>
      <c r="V30" s="668" t="s">
        <v>14</v>
      </c>
      <c r="W30" s="669" t="e">
        <f t="shared" si="14"/>
        <v>#N/A</v>
      </c>
      <c r="X30" s="670"/>
      <c r="Y30" s="345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2"/>
      <c r="Q31" s="1262" t="str">
        <f t="shared" si="11"/>
        <v>建筑结构</v>
      </c>
      <c r="R31" s="666" t="s">
        <v>14</v>
      </c>
      <c r="S31" s="667">
        <f t="shared" si="12"/>
        <v>100</v>
      </c>
      <c r="T31" s="666" t="s">
        <v>14</v>
      </c>
      <c r="U31" s="667">
        <f t="shared" si="13"/>
        <v>100</v>
      </c>
      <c r="V31" s="666" t="s">
        <v>14</v>
      </c>
      <c r="W31" s="667">
        <f t="shared" si="14"/>
        <v>100</v>
      </c>
      <c r="X31" s="1264"/>
      <c r="Y31" s="345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2"/>
      <c r="Q32" s="1262" t="str">
        <f t="shared" si="11"/>
        <v>公共部分装修</v>
      </c>
      <c r="R32" s="666" t="s">
        <v>14</v>
      </c>
      <c r="S32" s="667">
        <f t="shared" si="12"/>
        <v>100</v>
      </c>
      <c r="T32" s="666" t="s">
        <v>14</v>
      </c>
      <c r="U32" s="667">
        <f t="shared" si="13"/>
        <v>100</v>
      </c>
      <c r="V32" s="666" t="s">
        <v>14</v>
      </c>
      <c r="W32" s="667">
        <f t="shared" si="14"/>
        <v>100</v>
      </c>
      <c r="X32" s="1264"/>
      <c r="Y32" s="345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2"/>
      <c r="Q33" s="1262" t="str">
        <f t="shared" si="11"/>
        <v>成新度</v>
      </c>
      <c r="R33" s="666" t="s">
        <v>14</v>
      </c>
      <c r="S33" s="667" t="e">
        <f t="shared" si="12"/>
        <v>#N/A</v>
      </c>
      <c r="T33" s="666" t="s">
        <v>14</v>
      </c>
      <c r="U33" s="667" t="e">
        <f t="shared" si="13"/>
        <v>#N/A</v>
      </c>
      <c r="V33" s="666" t="s">
        <v>14</v>
      </c>
      <c r="W33" s="667" t="e">
        <f t="shared" si="14"/>
        <v>#N/A</v>
      </c>
      <c r="X33" s="1264"/>
      <c r="Y33" s="3452"/>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2"/>
      <c r="Q34" s="529" t="str">
        <f t="shared" si="11"/>
        <v>物业管理</v>
      </c>
      <c r="R34" s="663" t="s">
        <v>14</v>
      </c>
      <c r="S34" s="664">
        <f t="shared" si="12"/>
        <v>100</v>
      </c>
      <c r="T34" s="663" t="s">
        <v>14</v>
      </c>
      <c r="U34" s="664">
        <f t="shared" si="13"/>
        <v>100</v>
      </c>
      <c r="V34" s="663" t="s">
        <v>14</v>
      </c>
      <c r="W34" s="664">
        <f t="shared" si="14"/>
        <v>100</v>
      </c>
      <c r="X34" s="665"/>
      <c r="Y34" s="345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2" t="s">
        <v>1696</v>
      </c>
      <c r="Q35" s="1262" t="str">
        <f t="shared" si="11"/>
        <v>市政基础设施</v>
      </c>
      <c r="R35" s="666" t="s">
        <v>14</v>
      </c>
      <c r="S35" s="667">
        <f t="shared" si="12"/>
        <v>100</v>
      </c>
      <c r="T35" s="666" t="s">
        <v>14</v>
      </c>
      <c r="U35" s="667">
        <f t="shared" si="13"/>
        <v>100</v>
      </c>
      <c r="V35" s="666" t="s">
        <v>14</v>
      </c>
      <c r="W35" s="667">
        <f t="shared" si="14"/>
        <v>100</v>
      </c>
      <c r="X35" s="1264"/>
      <c r="Y35" s="345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2"/>
      <c r="Q36" s="1262" t="str">
        <f t="shared" si="11"/>
        <v>内部装修</v>
      </c>
      <c r="R36" s="666" t="s">
        <v>14</v>
      </c>
      <c r="S36" s="667">
        <f t="shared" si="12"/>
        <v>100</v>
      </c>
      <c r="T36" s="666" t="s">
        <v>14</v>
      </c>
      <c r="U36" s="667">
        <f t="shared" si="13"/>
        <v>100</v>
      </c>
      <c r="V36" s="666" t="s">
        <v>14</v>
      </c>
      <c r="W36" s="667">
        <f t="shared" si="14"/>
        <v>100</v>
      </c>
      <c r="X36" s="1264"/>
      <c r="Y36" s="345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2"/>
      <c r="Q37" s="1262" t="str">
        <f t="shared" si="11"/>
        <v>内部装修状况</v>
      </c>
      <c r="R37" s="666" t="s">
        <v>14</v>
      </c>
      <c r="S37" s="667">
        <f t="shared" si="12"/>
        <v>100</v>
      </c>
      <c r="T37" s="666" t="s">
        <v>14</v>
      </c>
      <c r="U37" s="667">
        <f t="shared" si="13"/>
        <v>100</v>
      </c>
      <c r="V37" s="666" t="s">
        <v>14</v>
      </c>
      <c r="W37" s="667">
        <f t="shared" si="14"/>
        <v>100</v>
      </c>
      <c r="X37" s="1264"/>
      <c r="Y37" s="345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2"/>
      <c r="Q38" s="530">
        <f t="shared" si="11"/>
        <v>111</v>
      </c>
      <c r="R38" s="668" t="s">
        <v>14</v>
      </c>
      <c r="S38" s="669">
        <f t="shared" si="12"/>
        <v>100</v>
      </c>
      <c r="T38" s="668" t="s">
        <v>14</v>
      </c>
      <c r="U38" s="669">
        <f t="shared" si="13"/>
        <v>100</v>
      </c>
      <c r="V38" s="668" t="s">
        <v>14</v>
      </c>
      <c r="W38" s="669">
        <f t="shared" si="14"/>
        <v>100</v>
      </c>
      <c r="X38" s="670"/>
      <c r="Y38" s="345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2"/>
      <c r="Q39" s="1262">
        <f t="shared" si="11"/>
        <v>111</v>
      </c>
      <c r="R39" s="666" t="s">
        <v>14</v>
      </c>
      <c r="S39" s="667">
        <f t="shared" si="12"/>
        <v>100</v>
      </c>
      <c r="T39" s="666" t="s">
        <v>14</v>
      </c>
      <c r="U39" s="667">
        <f t="shared" si="13"/>
        <v>100</v>
      </c>
      <c r="V39" s="666" t="s">
        <v>14</v>
      </c>
      <c r="W39" s="667">
        <f t="shared" si="14"/>
        <v>100</v>
      </c>
      <c r="X39" s="1264"/>
      <c r="Y39" s="3452"/>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3"/>
      <c r="Q40" s="1262">
        <f t="shared" si="11"/>
        <v>111</v>
      </c>
      <c r="R40" s="666" t="s">
        <v>14</v>
      </c>
      <c r="S40" s="667">
        <f t="shared" si="12"/>
        <v>100</v>
      </c>
      <c r="T40" s="666" t="s">
        <v>14</v>
      </c>
      <c r="U40" s="667">
        <f t="shared" si="13"/>
        <v>100</v>
      </c>
      <c r="V40" s="666" t="s">
        <v>14</v>
      </c>
      <c r="W40" s="667">
        <f t="shared" si="14"/>
        <v>100</v>
      </c>
      <c r="X40" s="1264"/>
      <c r="Y40" s="3453"/>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54" t="str">
        <f>A41</f>
        <v>成交单价（元/平方米）</v>
      </c>
      <c r="Q41" s="3454"/>
      <c r="R41" s="3442">
        <f>E41</f>
        <v>0</v>
      </c>
      <c r="S41" s="3442"/>
      <c r="T41" s="3442">
        <f>G41</f>
        <v>0</v>
      </c>
      <c r="U41" s="3442"/>
      <c r="V41" s="3442">
        <f>I41</f>
        <v>0</v>
      </c>
      <c r="W41" s="3442"/>
      <c r="X41" s="384"/>
      <c r="Y41" s="672"/>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454" t="str">
        <f>A42</f>
        <v>比较价值（元/平方米）</v>
      </c>
      <c r="Q42" s="3454"/>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6"/>
      <c r="O54" s="2537"/>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3328</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5">
      <c r="A4" s="344" t="s">
        <v>1769</v>
      </c>
      <c r="B4" s="345"/>
      <c r="C4" s="3429" t="s">
        <v>1770</v>
      </c>
      <c r="D4" s="3430"/>
      <c r="E4" s="3431" t="s">
        <v>1771</v>
      </c>
      <c r="F4" s="3432"/>
      <c r="G4" s="3429" t="s">
        <v>1772</v>
      </c>
      <c r="H4" s="3430"/>
      <c r="I4" s="3429" t="s">
        <v>1773</v>
      </c>
      <c r="J4" s="3430"/>
      <c r="K4" s="536" t="s">
        <v>1774</v>
      </c>
      <c r="L4" s="2484"/>
      <c r="M4" s="2485"/>
      <c r="N4" s="2485"/>
      <c r="O4" s="2485"/>
      <c r="P4" s="3484" t="s">
        <v>1775</v>
      </c>
      <c r="Q4" s="3485"/>
      <c r="R4" s="3480" t="s">
        <v>1771</v>
      </c>
      <c r="S4" s="3481"/>
      <c r="T4" s="3480" t="s">
        <v>1772</v>
      </c>
      <c r="U4" s="3481"/>
      <c r="V4" s="3442" t="s">
        <v>1773</v>
      </c>
      <c r="W4" s="3442"/>
      <c r="X4" s="1264"/>
      <c r="Y4" s="3480" t="s">
        <v>1775</v>
      </c>
      <c r="Z4" s="3481"/>
      <c r="AA4" s="3479" t="s">
        <v>1771</v>
      </c>
      <c r="AB4" s="3410" t="s">
        <v>1772</v>
      </c>
      <c r="AC4" s="3479" t="s">
        <v>1773</v>
      </c>
    </row>
    <row r="5" spans="1:29" ht="15">
      <c r="A5" s="347"/>
      <c r="B5" s="348"/>
      <c r="C5" s="3420" t="s">
        <v>1673</v>
      </c>
      <c r="D5" s="3419"/>
      <c r="E5" s="3482" t="s">
        <v>1674</v>
      </c>
      <c r="F5" s="3483"/>
      <c r="G5" s="3420" t="s">
        <v>1675</v>
      </c>
      <c r="H5" s="3419"/>
      <c r="I5" s="3420" t="s">
        <v>1676</v>
      </c>
      <c r="J5" s="3419"/>
      <c r="K5" s="536"/>
      <c r="L5" s="2484"/>
      <c r="M5" s="2485"/>
      <c r="N5" s="2485"/>
      <c r="O5" s="2485"/>
      <c r="P5" s="3486"/>
      <c r="Q5" s="3436"/>
      <c r="R5" s="3416"/>
      <c r="S5" s="3417"/>
      <c r="T5" s="3416"/>
      <c r="U5" s="3417"/>
      <c r="V5" s="3442"/>
      <c r="W5" s="3442"/>
      <c r="X5" s="1264"/>
      <c r="Y5" s="3416"/>
      <c r="Z5" s="3417"/>
      <c r="AA5" s="3410"/>
      <c r="AB5" s="3410"/>
      <c r="AC5" s="3410"/>
    </row>
    <row r="6" spans="1:29" ht="15.75" thickBot="1">
      <c r="A6" s="349"/>
      <c r="B6" s="350"/>
      <c r="C6" s="3421" t="s">
        <v>1677</v>
      </c>
      <c r="D6" s="3422"/>
      <c r="E6" s="3423" t="s">
        <v>1677</v>
      </c>
      <c r="F6" s="3424"/>
      <c r="G6" s="3421" t="s">
        <v>1677</v>
      </c>
      <c r="H6" s="3422"/>
      <c r="I6" s="3421" t="s">
        <v>1677</v>
      </c>
      <c r="J6" s="3422"/>
      <c r="K6" s="536" t="s">
        <v>1678</v>
      </c>
      <c r="L6" s="2484"/>
      <c r="M6" s="2485"/>
      <c r="N6" s="2485"/>
      <c r="O6" s="2485"/>
      <c r="P6" s="3487"/>
      <c r="Q6" s="3438"/>
      <c r="R6" s="3416"/>
      <c r="S6" s="3417"/>
      <c r="T6" s="3439"/>
      <c r="U6" s="3440"/>
      <c r="V6" s="3442"/>
      <c r="W6" s="3442"/>
      <c r="X6" s="1264"/>
      <c r="Y6" s="3439"/>
      <c r="Z6" s="3440"/>
      <c r="AA6" s="3411"/>
      <c r="AB6" s="3411"/>
      <c r="AC6" s="3411"/>
    </row>
    <row r="7" spans="1:29" s="102" customFormat="1" ht="15.75" thickBot="1">
      <c r="A7" s="351" t="s">
        <v>1679</v>
      </c>
      <c r="B7" s="352"/>
      <c r="C7" s="353">
        <f>'数据-取费表'!B2</f>
        <v>45762</v>
      </c>
      <c r="D7" s="354">
        <v>100</v>
      </c>
      <c r="E7" s="355"/>
      <c r="F7" s="356">
        <f>SUMIF(48:48,YEAR(E7)&amp;"-"&amp;MONTH(E7),49:49)</f>
        <v>0</v>
      </c>
      <c r="G7" s="355"/>
      <c r="H7" s="354">
        <f>SUMIF(48:48,YEAR(G7)&amp;"-"&amp;MONTH(G7),49:49)</f>
        <v>0</v>
      </c>
      <c r="I7" s="355"/>
      <c r="J7" s="354">
        <f>SUMIF(48:48,YEAR(I7)&amp;"-"&amp;MONTH(I7),49:49)</f>
        <v>0</v>
      </c>
      <c r="K7" s="38"/>
      <c r="L7" s="2486"/>
      <c r="M7" s="2438"/>
      <c r="N7" s="2438"/>
      <c r="O7" s="2438"/>
      <c r="P7" s="3412" t="s">
        <v>1680</v>
      </c>
      <c r="Q7" s="3444"/>
      <c r="R7" s="663" t="s">
        <v>14</v>
      </c>
      <c r="S7" s="664">
        <f t="shared" ref="S7:S14" si="0">F7</f>
        <v>0</v>
      </c>
      <c r="T7" s="663" t="s">
        <v>14</v>
      </c>
      <c r="U7" s="664">
        <f t="shared" ref="U7:U14" si="1">H7</f>
        <v>0</v>
      </c>
      <c r="V7" s="663" t="s">
        <v>14</v>
      </c>
      <c r="W7" s="664">
        <f t="shared" ref="W7:W14" si="2">J7</f>
        <v>0</v>
      </c>
      <c r="X7" s="665"/>
      <c r="Y7" s="3412" t="s">
        <v>1680</v>
      </c>
      <c r="Z7" s="3413"/>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12" t="s">
        <v>1683</v>
      </c>
      <c r="Q8" s="3413"/>
      <c r="R8" s="663" t="s">
        <v>14</v>
      </c>
      <c r="S8" s="664">
        <f t="shared" si="0"/>
        <v>100</v>
      </c>
      <c r="T8" s="663" t="s">
        <v>14</v>
      </c>
      <c r="U8" s="664">
        <f t="shared" si="1"/>
        <v>100</v>
      </c>
      <c r="V8" s="663" t="s">
        <v>14</v>
      </c>
      <c r="W8" s="664">
        <f t="shared" si="2"/>
        <v>100</v>
      </c>
      <c r="X8" s="665"/>
      <c r="Y8" s="3412" t="s">
        <v>1683</v>
      </c>
      <c r="Z8" s="3413"/>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454" t="s">
        <v>1686</v>
      </c>
      <c r="Q9" s="529" t="str">
        <f t="shared" ref="Q9:Q14" si="6">B9</f>
        <v>用途</v>
      </c>
      <c r="R9" s="663" t="s">
        <v>14</v>
      </c>
      <c r="S9" s="664">
        <f t="shared" si="0"/>
        <v>100</v>
      </c>
      <c r="T9" s="663" t="s">
        <v>14</v>
      </c>
      <c r="U9" s="664">
        <f t="shared" si="1"/>
        <v>100</v>
      </c>
      <c r="V9" s="663" t="s">
        <v>14</v>
      </c>
      <c r="W9" s="664">
        <f t="shared" si="2"/>
        <v>100</v>
      </c>
      <c r="X9" s="665"/>
      <c r="Y9" s="3358"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7"/>
      <c r="M10" s="2488"/>
      <c r="N10" s="2488"/>
      <c r="O10" s="2488"/>
      <c r="P10" s="3454"/>
      <c r="Q10" s="529" t="str">
        <f t="shared" si="6"/>
        <v>土地使用年限（年）</v>
      </c>
      <c r="R10" s="663" t="s">
        <v>14</v>
      </c>
      <c r="S10" s="664">
        <f t="shared" si="0"/>
        <v>100</v>
      </c>
      <c r="T10" s="663" t="s">
        <v>14</v>
      </c>
      <c r="U10" s="664">
        <f t="shared" si="1"/>
        <v>100</v>
      </c>
      <c r="V10" s="663" t="s">
        <v>14</v>
      </c>
      <c r="W10" s="664">
        <f t="shared" si="2"/>
        <v>100</v>
      </c>
      <c r="X10" s="665"/>
      <c r="Y10" s="335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54"/>
      <c r="Q11" s="529">
        <f t="shared" si="6"/>
        <v>111</v>
      </c>
      <c r="R11" s="663" t="s">
        <v>14</v>
      </c>
      <c r="S11" s="664">
        <f t="shared" si="0"/>
        <v>100</v>
      </c>
      <c r="T11" s="663" t="s">
        <v>14</v>
      </c>
      <c r="U11" s="664">
        <f t="shared" si="1"/>
        <v>100</v>
      </c>
      <c r="V11" s="663" t="s">
        <v>14</v>
      </c>
      <c r="W11" s="664">
        <f t="shared" si="2"/>
        <v>100</v>
      </c>
      <c r="X11" s="665"/>
      <c r="Y11" s="3358"/>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454"/>
      <c r="Q12" s="529">
        <f t="shared" si="6"/>
        <v>111</v>
      </c>
      <c r="R12" s="663" t="s">
        <v>14</v>
      </c>
      <c r="S12" s="664">
        <f t="shared" si="0"/>
        <v>100</v>
      </c>
      <c r="T12" s="663" t="s">
        <v>14</v>
      </c>
      <c r="U12" s="664">
        <f t="shared" si="1"/>
        <v>100</v>
      </c>
      <c r="V12" s="663" t="s">
        <v>14</v>
      </c>
      <c r="W12" s="664">
        <f t="shared" si="2"/>
        <v>100</v>
      </c>
      <c r="X12" s="665"/>
      <c r="Y12" s="335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54"/>
      <c r="Q13" s="529">
        <f t="shared" si="6"/>
        <v>111</v>
      </c>
      <c r="R13" s="663" t="s">
        <v>14</v>
      </c>
      <c r="S13" s="664">
        <f t="shared" si="0"/>
        <v>100</v>
      </c>
      <c r="T13" s="663" t="s">
        <v>14</v>
      </c>
      <c r="U13" s="664">
        <f t="shared" si="1"/>
        <v>100</v>
      </c>
      <c r="V13" s="663" t="s">
        <v>14</v>
      </c>
      <c r="W13" s="664">
        <f t="shared" si="2"/>
        <v>100</v>
      </c>
      <c r="X13" s="665"/>
      <c r="Y13" s="3358"/>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有695、323、425路等公交路线经过，紧邻地铁4号线——人民大学站，交通便捷度较好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47" t="s">
        <v>1691</v>
      </c>
      <c r="Q14" s="1262" t="str">
        <f t="shared" si="6"/>
        <v>交通便捷度</v>
      </c>
      <c r="R14" s="666" t="s">
        <v>14</v>
      </c>
      <c r="S14" s="667">
        <f t="shared" si="0"/>
        <v>100</v>
      </c>
      <c r="T14" s="666" t="s">
        <v>14</v>
      </c>
      <c r="U14" s="667">
        <f t="shared" si="1"/>
        <v>100</v>
      </c>
      <c r="V14" s="666" t="s">
        <v>14</v>
      </c>
      <c r="W14" s="667">
        <f t="shared" si="2"/>
        <v>100</v>
      </c>
      <c r="X14" s="1264"/>
      <c r="Y14" s="344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448"/>
      <c r="Q15" s="1262"/>
      <c r="R15" s="666"/>
      <c r="S15" s="667"/>
      <c r="T15" s="666"/>
      <c r="U15" s="667"/>
      <c r="V15" s="666"/>
      <c r="W15" s="667"/>
      <c r="X15" s="1264"/>
      <c r="Y15" s="3448"/>
      <c r="Z15" s="1263"/>
      <c r="AA15" s="1263">
        <v>1</v>
      </c>
      <c r="AB15" s="1263">
        <v>1</v>
      </c>
      <c r="AC15" s="1263">
        <v>1</v>
      </c>
    </row>
    <row r="16" spans="1:29" ht="42.75">
      <c r="A16" s="347"/>
      <c r="B16" s="555" t="s">
        <v>1812</v>
      </c>
      <c r="C16" s="1753" t="str">
        <f>IF(B1="工业",估价对象房地状况!G5,估价对象房地状况!C7)</f>
        <v>估价对象所在区域公共配套设施较齐备</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48"/>
      <c r="Q16" s="1262" t="str">
        <f>B16</f>
        <v>公共配套设施</v>
      </c>
      <c r="R16" s="666" t="s">
        <v>14</v>
      </c>
      <c r="S16" s="667">
        <f>F16</f>
        <v>100</v>
      </c>
      <c r="T16" s="666" t="s">
        <v>14</v>
      </c>
      <c r="U16" s="667">
        <f>H16</f>
        <v>100</v>
      </c>
      <c r="V16" s="666" t="s">
        <v>14</v>
      </c>
      <c r="W16" s="667">
        <f>J16</f>
        <v>100</v>
      </c>
      <c r="X16" s="1264"/>
      <c r="Y16" s="344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448"/>
      <c r="Q17" s="1262"/>
      <c r="R17" s="666"/>
      <c r="S17" s="667"/>
      <c r="T17" s="666"/>
      <c r="U17" s="667"/>
      <c r="V17" s="666"/>
      <c r="W17" s="667"/>
      <c r="X17" s="1264"/>
      <c r="Y17" s="3448"/>
      <c r="Z17" s="1263"/>
      <c r="AA17" s="1263">
        <v>1</v>
      </c>
      <c r="AB17" s="1263">
        <v>1</v>
      </c>
      <c r="AC17" s="1263">
        <v>1</v>
      </c>
    </row>
    <row r="18" spans="1:29" ht="42.75">
      <c r="A18" s="347"/>
      <c r="B18" s="556" t="s">
        <v>1813</v>
      </c>
      <c r="C18" s="1753" t="str">
        <f>IF(B1="工业",估价对象房地状况!G6,估价对象房地状况!C8)</f>
        <v>估价对象所在区域基础设施水平较好</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48"/>
      <c r="Q18" s="1262" t="str">
        <f>B18</f>
        <v>基础设施水平</v>
      </c>
      <c r="R18" s="666" t="s">
        <v>14</v>
      </c>
      <c r="S18" s="667">
        <f>F18</f>
        <v>100</v>
      </c>
      <c r="T18" s="666" t="s">
        <v>14</v>
      </c>
      <c r="U18" s="667">
        <f>H18</f>
        <v>100</v>
      </c>
      <c r="V18" s="666" t="s">
        <v>14</v>
      </c>
      <c r="W18" s="667">
        <f>J18</f>
        <v>100</v>
      </c>
      <c r="X18" s="1264"/>
      <c r="Y18" s="344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448"/>
      <c r="Q19" s="1262"/>
      <c r="R19" s="666"/>
      <c r="S19" s="667"/>
      <c r="T19" s="666"/>
      <c r="U19" s="667"/>
      <c r="V19" s="666"/>
      <c r="W19" s="667"/>
      <c r="X19" s="1264"/>
      <c r="Y19" s="3448"/>
      <c r="Z19" s="1263"/>
      <c r="AA19" s="1263">
        <v>1</v>
      </c>
      <c r="AB19" s="1263">
        <v>1</v>
      </c>
      <c r="AC19" s="1263">
        <v>1</v>
      </c>
    </row>
    <row r="20" spans="1:29" ht="71.25">
      <c r="A20" s="347"/>
      <c r="B20" s="555" t="s">
        <v>1834</v>
      </c>
      <c r="C20" s="1753" t="str">
        <f>IF(B1="工业",估价对象房地状况!G7,估价对象房地状况!C9)</f>
        <v>周边有动物园、北京艺术博物馆、双榆树公园等自然人文环境，质量较好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48"/>
      <c r="Q20" s="1262" t="str">
        <f>B20</f>
        <v>自然及人文环境</v>
      </c>
      <c r="R20" s="666" t="s">
        <v>14</v>
      </c>
      <c r="S20" s="667">
        <f>F20</f>
        <v>100</v>
      </c>
      <c r="T20" s="666" t="s">
        <v>14</v>
      </c>
      <c r="U20" s="667">
        <f>H20</f>
        <v>100</v>
      </c>
      <c r="V20" s="666" t="s">
        <v>14</v>
      </c>
      <c r="W20" s="667">
        <f>J20</f>
        <v>100</v>
      </c>
      <c r="X20" s="1264"/>
      <c r="Y20" s="344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448"/>
      <c r="Q21" s="1262"/>
      <c r="R21" s="666"/>
      <c r="S21" s="667"/>
      <c r="T21" s="666"/>
      <c r="U21" s="667"/>
      <c r="V21" s="666"/>
      <c r="W21" s="667"/>
      <c r="X21" s="1264"/>
      <c r="Y21" s="344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48"/>
      <c r="Q22" s="1262" t="str">
        <f>B22</f>
        <v>楼层</v>
      </c>
      <c r="R22" s="666" t="s">
        <v>14</v>
      </c>
      <c r="S22" s="667">
        <f>F22</f>
        <v>100</v>
      </c>
      <c r="T22" s="666" t="s">
        <v>14</v>
      </c>
      <c r="U22" s="667">
        <f>H22</f>
        <v>100</v>
      </c>
      <c r="V22" s="666" t="s">
        <v>14</v>
      </c>
      <c r="W22" s="667">
        <f>J22</f>
        <v>100</v>
      </c>
      <c r="X22" s="1264"/>
      <c r="Y22" s="344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48"/>
      <c r="Q23" s="1262">
        <f>B23</f>
        <v>111</v>
      </c>
      <c r="R23" s="666" t="s">
        <v>14</v>
      </c>
      <c r="S23" s="667">
        <f>F23</f>
        <v>100</v>
      </c>
      <c r="T23" s="666" t="s">
        <v>14</v>
      </c>
      <c r="U23" s="667">
        <f>H23</f>
        <v>100</v>
      </c>
      <c r="V23" s="666" t="s">
        <v>14</v>
      </c>
      <c r="W23" s="667">
        <f>J23</f>
        <v>100</v>
      </c>
      <c r="X23" s="1264"/>
      <c r="Y23" s="344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48"/>
      <c r="Q24" s="1262">
        <f t="shared" ref="Q24:Q36" si="11">B24</f>
        <v>111</v>
      </c>
      <c r="R24" s="666" t="s">
        <v>14</v>
      </c>
      <c r="S24" s="667">
        <f>F24</f>
        <v>100</v>
      </c>
      <c r="T24" s="666" t="s">
        <v>14</v>
      </c>
      <c r="U24" s="667">
        <f>H24</f>
        <v>100</v>
      </c>
      <c r="V24" s="666" t="s">
        <v>14</v>
      </c>
      <c r="W24" s="667">
        <f>J24</f>
        <v>100</v>
      </c>
      <c r="X24" s="1264"/>
      <c r="Y24" s="3448"/>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448"/>
      <c r="Q25" s="529">
        <f t="shared" si="11"/>
        <v>111</v>
      </c>
      <c r="R25" s="663" t="s">
        <v>14</v>
      </c>
      <c r="S25" s="664">
        <f>F25</f>
        <v>100</v>
      </c>
      <c r="T25" s="663" t="s">
        <v>14</v>
      </c>
      <c r="U25" s="664">
        <f>H25</f>
        <v>100</v>
      </c>
      <c r="V25" s="663" t="s">
        <v>14</v>
      </c>
      <c r="W25" s="664">
        <f>J25</f>
        <v>100</v>
      </c>
      <c r="X25" s="665"/>
      <c r="Y25" s="3448"/>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9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5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52"/>
      <c r="Q27" s="530" t="str">
        <f t="shared" si="11"/>
        <v>项目停车位配比</v>
      </c>
      <c r="R27" s="668" t="s">
        <v>14</v>
      </c>
      <c r="S27" s="669">
        <f t="shared" si="12"/>
        <v>100</v>
      </c>
      <c r="T27" s="668" t="s">
        <v>14</v>
      </c>
      <c r="U27" s="669">
        <f t="shared" si="13"/>
        <v>100</v>
      </c>
      <c r="V27" s="668" t="s">
        <v>14</v>
      </c>
      <c r="W27" s="669">
        <f t="shared" si="14"/>
        <v>100</v>
      </c>
      <c r="X27" s="670"/>
      <c r="Y27" s="345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52"/>
      <c r="Q28" s="1262" t="str">
        <f t="shared" si="11"/>
        <v>公共部分装修</v>
      </c>
      <c r="R28" s="666" t="s">
        <v>14</v>
      </c>
      <c r="S28" s="667">
        <f t="shared" si="12"/>
        <v>100</v>
      </c>
      <c r="T28" s="666" t="s">
        <v>14</v>
      </c>
      <c r="U28" s="667">
        <f t="shared" si="13"/>
        <v>100</v>
      </c>
      <c r="V28" s="666" t="s">
        <v>14</v>
      </c>
      <c r="W28" s="667">
        <f t="shared" si="14"/>
        <v>100</v>
      </c>
      <c r="X28" s="1264"/>
      <c r="Y28" s="345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52"/>
      <c r="Q29" s="1262" t="str">
        <f t="shared" si="11"/>
        <v>成新率</v>
      </c>
      <c r="R29" s="666" t="s">
        <v>14</v>
      </c>
      <c r="S29" s="667" t="e">
        <f t="shared" si="12"/>
        <v>#N/A</v>
      </c>
      <c r="T29" s="666" t="s">
        <v>14</v>
      </c>
      <c r="U29" s="667" t="e">
        <f t="shared" si="13"/>
        <v>#N/A</v>
      </c>
      <c r="V29" s="666" t="s">
        <v>14</v>
      </c>
      <c r="W29" s="667" t="e">
        <f t="shared" si="14"/>
        <v>#N/A</v>
      </c>
      <c r="X29" s="1264"/>
      <c r="Y29" s="345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52"/>
      <c r="Q30" s="1262" t="str">
        <f t="shared" si="11"/>
        <v>物业等级</v>
      </c>
      <c r="R30" s="666" t="s">
        <v>14</v>
      </c>
      <c r="S30" s="667">
        <f t="shared" si="12"/>
        <v>100</v>
      </c>
      <c r="T30" s="666" t="s">
        <v>14</v>
      </c>
      <c r="U30" s="667">
        <f t="shared" si="13"/>
        <v>100</v>
      </c>
      <c r="V30" s="666" t="s">
        <v>14</v>
      </c>
      <c r="W30" s="667">
        <f t="shared" si="14"/>
        <v>100</v>
      </c>
      <c r="X30" s="1264"/>
      <c r="Y30" s="3452"/>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52"/>
      <c r="Q31" s="529" t="str">
        <f t="shared" si="11"/>
        <v>停车位面积</v>
      </c>
      <c r="R31" s="663" t="s">
        <v>14</v>
      </c>
      <c r="S31" s="664" t="e">
        <f t="shared" si="12"/>
        <v>#N/A</v>
      </c>
      <c r="T31" s="663" t="s">
        <v>14</v>
      </c>
      <c r="U31" s="664" t="e">
        <f t="shared" si="13"/>
        <v>#N/A</v>
      </c>
      <c r="V31" s="663" t="s">
        <v>14</v>
      </c>
      <c r="W31" s="664" t="e">
        <f t="shared" si="14"/>
        <v>#N/A</v>
      </c>
      <c r="X31" s="665"/>
      <c r="Y31" s="345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52" t="s">
        <v>1696</v>
      </c>
      <c r="Q32" s="1262" t="str">
        <f t="shared" si="11"/>
        <v>车位类型</v>
      </c>
      <c r="R32" s="666" t="s">
        <v>14</v>
      </c>
      <c r="S32" s="667">
        <f t="shared" si="12"/>
        <v>100</v>
      </c>
      <c r="T32" s="666" t="s">
        <v>14</v>
      </c>
      <c r="U32" s="667">
        <f t="shared" si="13"/>
        <v>100</v>
      </c>
      <c r="V32" s="666" t="s">
        <v>14</v>
      </c>
      <c r="W32" s="667">
        <f t="shared" si="14"/>
        <v>100</v>
      </c>
      <c r="X32" s="1264"/>
      <c r="Y32" s="345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52"/>
      <c r="Q33" s="1262" t="str">
        <f t="shared" si="11"/>
        <v>是否直接入户</v>
      </c>
      <c r="R33" s="666" t="s">
        <v>14</v>
      </c>
      <c r="S33" s="667">
        <f t="shared" si="12"/>
        <v>100</v>
      </c>
      <c r="T33" s="666" t="s">
        <v>14</v>
      </c>
      <c r="U33" s="667">
        <f t="shared" si="13"/>
        <v>100</v>
      </c>
      <c r="V33" s="666" t="s">
        <v>14</v>
      </c>
      <c r="W33" s="667">
        <f t="shared" si="14"/>
        <v>100</v>
      </c>
      <c r="X33" s="1264"/>
      <c r="Y33" s="345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52"/>
      <c r="Q34" s="1262">
        <f t="shared" si="11"/>
        <v>111</v>
      </c>
      <c r="R34" s="666" t="s">
        <v>14</v>
      </c>
      <c r="S34" s="667">
        <f t="shared" si="12"/>
        <v>100</v>
      </c>
      <c r="T34" s="666" t="s">
        <v>14</v>
      </c>
      <c r="U34" s="667">
        <f t="shared" si="13"/>
        <v>100</v>
      </c>
      <c r="V34" s="666" t="s">
        <v>14</v>
      </c>
      <c r="W34" s="667">
        <f t="shared" si="14"/>
        <v>100</v>
      </c>
      <c r="X34" s="1264"/>
      <c r="Y34" s="345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52"/>
      <c r="Q35" s="530">
        <f t="shared" si="11"/>
        <v>111</v>
      </c>
      <c r="R35" s="668" t="s">
        <v>14</v>
      </c>
      <c r="S35" s="669">
        <f t="shared" si="12"/>
        <v>100</v>
      </c>
      <c r="T35" s="668" t="s">
        <v>14</v>
      </c>
      <c r="U35" s="669">
        <f t="shared" si="13"/>
        <v>100</v>
      </c>
      <c r="V35" s="668" t="s">
        <v>14</v>
      </c>
      <c r="W35" s="669">
        <f t="shared" si="14"/>
        <v>100</v>
      </c>
      <c r="X35" s="670"/>
      <c r="Y35" s="3452"/>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52"/>
      <c r="Q36" s="1262">
        <f t="shared" si="11"/>
        <v>111</v>
      </c>
      <c r="R36" s="666" t="s">
        <v>14</v>
      </c>
      <c r="S36" s="667">
        <f t="shared" si="12"/>
        <v>100</v>
      </c>
      <c r="T36" s="666" t="s">
        <v>14</v>
      </c>
      <c r="U36" s="667">
        <f t="shared" si="13"/>
        <v>100</v>
      </c>
      <c r="V36" s="666" t="s">
        <v>14</v>
      </c>
      <c r="W36" s="667">
        <f t="shared" si="14"/>
        <v>100</v>
      </c>
      <c r="X36" s="1264"/>
      <c r="Y36" s="3452"/>
      <c r="Z36" s="1263">
        <f t="shared" si="15"/>
        <v>111</v>
      </c>
      <c r="AA36" s="1263">
        <f t="shared" si="3"/>
        <v>1</v>
      </c>
      <c r="AB36" s="1263">
        <f t="shared" si="4"/>
        <v>1</v>
      </c>
      <c r="AC36" s="1263">
        <f t="shared" si="5"/>
        <v>1</v>
      </c>
    </row>
    <row r="37" spans="1:29" ht="15">
      <c r="A37" s="415" t="s">
        <v>1844</v>
      </c>
      <c r="B37" s="1820" t="s">
        <v>3348</v>
      </c>
      <c r="C37" s="1080" t="s">
        <v>0</v>
      </c>
      <c r="D37" s="417"/>
      <c r="E37" s="418"/>
      <c r="F37" s="419"/>
      <c r="G37" s="420"/>
      <c r="H37" s="421"/>
      <c r="I37" s="418"/>
      <c r="J37" s="421"/>
      <c r="K37" s="544"/>
      <c r="L37" s="2492"/>
      <c r="M37" s="2485"/>
      <c r="N37" s="2485"/>
      <c r="O37" s="2485"/>
      <c r="P37" s="3454" t="str">
        <f>A37</f>
        <v>成交单价</v>
      </c>
      <c r="Q37" s="3454"/>
      <c r="R37" s="3442">
        <f>E37</f>
        <v>0</v>
      </c>
      <c r="S37" s="3442"/>
      <c r="T37" s="3442">
        <f>G37</f>
        <v>0</v>
      </c>
      <c r="U37" s="3442"/>
      <c r="V37" s="3442">
        <f>I37</f>
        <v>0</v>
      </c>
      <c r="W37" s="3442"/>
      <c r="X37" s="384"/>
      <c r="Y37" s="672"/>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2"/>
      <c r="M38" s="2485"/>
      <c r="N38" s="2485"/>
      <c r="O38" s="2485"/>
      <c r="P38" s="3454" t="str">
        <f>A38</f>
        <v>比较价值（元/平方米）</v>
      </c>
      <c r="Q38" s="3454"/>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88" t="str">
        <f>A39</f>
        <v>估价对象XX用房的比较价值（楼面单价，元/平方米）</v>
      </c>
      <c r="Q39" s="3489"/>
      <c r="R39" s="3492" t="e">
        <f>IF(F1="售价",ROUND(IF(D38="简单平均",AVERAGE(R38:W38),R38*F38+T38*H38+V38*J38),0),ROUND(IF(D38="简单平均",AVERAGE(R38:V38),R38*F38+T38*H38+V38*J38),1))</f>
        <v>#DIV/0!</v>
      </c>
      <c r="S39" s="3492"/>
      <c r="T39" s="3492"/>
      <c r="U39" s="3492"/>
      <c r="V39" s="3492"/>
      <c r="W39" s="3492"/>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5"/>
      <c r="Q48" s="2508"/>
      <c r="R48" s="2508"/>
      <c r="S48" s="2508"/>
      <c r="T48" s="2508"/>
      <c r="U48" s="2508"/>
      <c r="V48" s="2508"/>
      <c r="W48" s="2508"/>
      <c r="X48" s="2508"/>
      <c r="Y48" s="2508"/>
      <c r="Z48" s="2508"/>
      <c r="AA48" s="2508"/>
      <c r="AB48" s="2508"/>
      <c r="AC48" s="2508"/>
    </row>
    <row r="49" spans="1:29" s="102" customFormat="1" ht="15">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2" customFormat="1" ht="15.7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2" customFormat="1" ht="15">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2" customFormat="1" ht="15.75"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2" customFormat="1" ht="15.75"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2" customFormat="1" ht="15.75"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2" customFormat="1" ht="15.75"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2" customFormat="1" ht="15.75"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7" priority="13" stopIfTrue="1">
      <formula>$F$42="超过30%"</formula>
    </cfRule>
  </conditionalFormatting>
  <conditionalFormatting sqref="E43">
    <cfRule type="expression" dxfId="56" priority="11" stopIfTrue="1">
      <formula>$F$43="超过20%"</formula>
    </cfRule>
  </conditionalFormatting>
  <conditionalFormatting sqref="E44">
    <cfRule type="expression" dxfId="55" priority="10" stopIfTrue="1">
      <formula>$F$44="超过30%"</formula>
    </cfRule>
  </conditionalFormatting>
  <conditionalFormatting sqref="F7:F36 H7:H36 J7:J36">
    <cfRule type="cellIs" dxfId="54" priority="1" operator="notEqual">
      <formula>100</formula>
    </cfRule>
  </conditionalFormatting>
  <conditionalFormatting sqref="F38">
    <cfRule type="expression" dxfId="53" priority="4">
      <formula>$D$38="简单平均"</formula>
    </cfRule>
  </conditionalFormatting>
  <conditionalFormatting sqref="F42:F44 H42:H44 J42:J44">
    <cfRule type="containsText" dxfId="52" priority="14" stopIfTrue="1" operator="containsText" text="超过">
      <formula>NOT(ISERROR(SEARCH("超过",F42)))</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G44">
    <cfRule type="expression" dxfId="49" priority="12" stopIfTrue="1">
      <formula>$H$54+$H$44="超过30%"</formula>
    </cfRule>
  </conditionalFormatting>
  <conditionalFormatting sqref="H38">
    <cfRule type="expression" dxfId="48" priority="3">
      <formula>$D$38="简单平均"</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J38">
    <cfRule type="expression" dxfId="4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3329</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429" t="s">
        <v>1770</v>
      </c>
      <c r="D4" s="3430"/>
      <c r="E4" s="3431" t="s">
        <v>1771</v>
      </c>
      <c r="F4" s="3432"/>
      <c r="G4" s="3429" t="s">
        <v>1772</v>
      </c>
      <c r="H4" s="3430"/>
      <c r="I4" s="3429" t="s">
        <v>1773</v>
      </c>
      <c r="J4" s="3430"/>
      <c r="K4" s="536" t="s">
        <v>1774</v>
      </c>
      <c r="L4" s="2484"/>
      <c r="M4" s="2485"/>
      <c r="N4" s="2485"/>
      <c r="O4" s="2485"/>
      <c r="P4" s="3484" t="s">
        <v>1775</v>
      </c>
      <c r="Q4" s="3485"/>
      <c r="R4" s="3480" t="s">
        <v>1771</v>
      </c>
      <c r="S4" s="3481"/>
      <c r="T4" s="3480" t="s">
        <v>1772</v>
      </c>
      <c r="U4" s="3481"/>
      <c r="V4" s="3442" t="s">
        <v>1773</v>
      </c>
      <c r="W4" s="3442"/>
      <c r="X4" s="1264"/>
      <c r="Y4" s="3480" t="s">
        <v>1775</v>
      </c>
      <c r="Z4" s="3481"/>
      <c r="AA4" s="3479" t="s">
        <v>1771</v>
      </c>
      <c r="AB4" s="3410" t="s">
        <v>1772</v>
      </c>
      <c r="AC4" s="3479" t="s">
        <v>1773</v>
      </c>
    </row>
    <row r="5" spans="1:29" ht="15">
      <c r="A5" s="347"/>
      <c r="B5" s="348"/>
      <c r="C5" s="3420" t="s">
        <v>1673</v>
      </c>
      <c r="D5" s="3419"/>
      <c r="E5" s="3482" t="s">
        <v>1674</v>
      </c>
      <c r="F5" s="3483"/>
      <c r="G5" s="3420" t="s">
        <v>1675</v>
      </c>
      <c r="H5" s="3419"/>
      <c r="I5" s="3420" t="s">
        <v>1676</v>
      </c>
      <c r="J5" s="3419"/>
      <c r="K5" s="536"/>
      <c r="L5" s="2484"/>
      <c r="M5" s="2485"/>
      <c r="N5" s="2485"/>
      <c r="O5" s="2485"/>
      <c r="P5" s="3486"/>
      <c r="Q5" s="3436"/>
      <c r="R5" s="3416"/>
      <c r="S5" s="3417"/>
      <c r="T5" s="3416"/>
      <c r="U5" s="3417"/>
      <c r="V5" s="3442"/>
      <c r="W5" s="3442"/>
      <c r="X5" s="1264"/>
      <c r="Y5" s="3416"/>
      <c r="Z5" s="3417"/>
      <c r="AA5" s="3410"/>
      <c r="AB5" s="3410"/>
      <c r="AC5" s="3410"/>
    </row>
    <row r="6" spans="1:29" ht="15.75" thickBot="1">
      <c r="A6" s="349"/>
      <c r="B6" s="350"/>
      <c r="C6" s="3421" t="s">
        <v>1677</v>
      </c>
      <c r="D6" s="3422"/>
      <c r="E6" s="3423" t="s">
        <v>1677</v>
      </c>
      <c r="F6" s="3424"/>
      <c r="G6" s="3421" t="s">
        <v>1677</v>
      </c>
      <c r="H6" s="3422"/>
      <c r="I6" s="3421" t="s">
        <v>1677</v>
      </c>
      <c r="J6" s="3422"/>
      <c r="K6" s="536" t="s">
        <v>1678</v>
      </c>
      <c r="L6" s="2484"/>
      <c r="M6" s="2485"/>
      <c r="N6" s="2485"/>
      <c r="O6" s="2485"/>
      <c r="P6" s="3487"/>
      <c r="Q6" s="3438"/>
      <c r="R6" s="3416"/>
      <c r="S6" s="3417"/>
      <c r="T6" s="3439"/>
      <c r="U6" s="3440"/>
      <c r="V6" s="3442"/>
      <c r="W6" s="3442"/>
      <c r="X6" s="1264"/>
      <c r="Y6" s="3439"/>
      <c r="Z6" s="3440"/>
      <c r="AA6" s="3411"/>
      <c r="AB6" s="3411"/>
      <c r="AC6" s="3411"/>
    </row>
    <row r="7" spans="1:29" s="102" customFormat="1" ht="15.75" thickBot="1">
      <c r="A7" s="351" t="s">
        <v>1679</v>
      </c>
      <c r="B7" s="352"/>
      <c r="C7" s="353">
        <f>'数据-取费表'!B2</f>
        <v>45762</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12" t="s">
        <v>1680</v>
      </c>
      <c r="Q7" s="3444"/>
      <c r="R7" s="663" t="s">
        <v>14</v>
      </c>
      <c r="S7" s="664">
        <f t="shared" ref="S7:S14" si="0">F7</f>
        <v>0</v>
      </c>
      <c r="T7" s="663" t="s">
        <v>14</v>
      </c>
      <c r="U7" s="664">
        <f t="shared" ref="U7:U14" si="1">H7</f>
        <v>0</v>
      </c>
      <c r="V7" s="663" t="s">
        <v>14</v>
      </c>
      <c r="W7" s="664">
        <f t="shared" ref="W7:W14" si="2">J7</f>
        <v>0</v>
      </c>
      <c r="X7" s="665"/>
      <c r="Y7" s="3412" t="s">
        <v>1680</v>
      </c>
      <c r="Z7" s="3413"/>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12" t="s">
        <v>1683</v>
      </c>
      <c r="Q8" s="3413"/>
      <c r="R8" s="663" t="s">
        <v>14</v>
      </c>
      <c r="S8" s="664">
        <f t="shared" si="0"/>
        <v>100</v>
      </c>
      <c r="T8" s="663" t="s">
        <v>14</v>
      </c>
      <c r="U8" s="664">
        <f t="shared" si="1"/>
        <v>100</v>
      </c>
      <c r="V8" s="663" t="s">
        <v>14</v>
      </c>
      <c r="W8" s="664">
        <f t="shared" si="2"/>
        <v>100</v>
      </c>
      <c r="X8" s="665"/>
      <c r="Y8" s="3412" t="s">
        <v>1683</v>
      </c>
      <c r="Z8" s="3413"/>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454" t="s">
        <v>1686</v>
      </c>
      <c r="Q9" s="529" t="str">
        <f t="shared" ref="Q9:Q14" si="6">B9</f>
        <v>用途</v>
      </c>
      <c r="R9" s="663" t="s">
        <v>14</v>
      </c>
      <c r="S9" s="664">
        <f t="shared" si="0"/>
        <v>100</v>
      </c>
      <c r="T9" s="663" t="s">
        <v>14</v>
      </c>
      <c r="U9" s="664">
        <f t="shared" si="1"/>
        <v>100</v>
      </c>
      <c r="V9" s="663" t="s">
        <v>14</v>
      </c>
      <c r="W9" s="664">
        <f t="shared" si="2"/>
        <v>100</v>
      </c>
      <c r="X9" s="665"/>
      <c r="Y9" s="3358"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7"/>
      <c r="M10" s="2488"/>
      <c r="N10" s="2488"/>
      <c r="O10" s="2539"/>
      <c r="P10" s="3454"/>
      <c r="Q10" s="529" t="str">
        <f t="shared" si="6"/>
        <v>土地使用年限（年）</v>
      </c>
      <c r="R10" s="663" t="s">
        <v>14</v>
      </c>
      <c r="S10" s="664">
        <f t="shared" si="0"/>
        <v>100</v>
      </c>
      <c r="T10" s="663" t="s">
        <v>14</v>
      </c>
      <c r="U10" s="664">
        <f t="shared" si="1"/>
        <v>100</v>
      </c>
      <c r="V10" s="663" t="s">
        <v>14</v>
      </c>
      <c r="W10" s="664">
        <f t="shared" si="2"/>
        <v>100</v>
      </c>
      <c r="X10" s="665"/>
      <c r="Y10" s="335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54"/>
      <c r="Q11" s="529">
        <f t="shared" si="6"/>
        <v>111</v>
      </c>
      <c r="R11" s="663" t="s">
        <v>14</v>
      </c>
      <c r="S11" s="664">
        <f t="shared" si="0"/>
        <v>100</v>
      </c>
      <c r="T11" s="663" t="s">
        <v>14</v>
      </c>
      <c r="U11" s="664">
        <f t="shared" si="1"/>
        <v>100</v>
      </c>
      <c r="V11" s="663" t="s">
        <v>14</v>
      </c>
      <c r="W11" s="664">
        <f t="shared" si="2"/>
        <v>100</v>
      </c>
      <c r="X11" s="665"/>
      <c r="Y11" s="335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454"/>
      <c r="Q12" s="529">
        <f t="shared" si="6"/>
        <v>111</v>
      </c>
      <c r="R12" s="663" t="s">
        <v>14</v>
      </c>
      <c r="S12" s="664">
        <f t="shared" si="0"/>
        <v>100</v>
      </c>
      <c r="T12" s="663" t="s">
        <v>14</v>
      </c>
      <c r="U12" s="664">
        <f t="shared" si="1"/>
        <v>100</v>
      </c>
      <c r="V12" s="663" t="s">
        <v>14</v>
      </c>
      <c r="W12" s="664">
        <f t="shared" si="2"/>
        <v>100</v>
      </c>
      <c r="X12" s="665"/>
      <c r="Y12" s="335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454"/>
      <c r="Q13" s="529">
        <f t="shared" si="6"/>
        <v>111</v>
      </c>
      <c r="R13" s="663" t="s">
        <v>14</v>
      </c>
      <c r="S13" s="664">
        <f t="shared" si="0"/>
        <v>100</v>
      </c>
      <c r="T13" s="663" t="s">
        <v>14</v>
      </c>
      <c r="U13" s="664">
        <f t="shared" si="1"/>
        <v>100</v>
      </c>
      <c r="V13" s="663" t="s">
        <v>14</v>
      </c>
      <c r="W13" s="664">
        <f t="shared" si="2"/>
        <v>100</v>
      </c>
      <c r="X13" s="665"/>
      <c r="Y13" s="3358"/>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有695、323、425路等公交路线经过，紧邻地铁4号线——人民大学站，交通便捷度较好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47" t="s">
        <v>1691</v>
      </c>
      <c r="Q14" s="1262" t="str">
        <f t="shared" si="6"/>
        <v>交通便捷度</v>
      </c>
      <c r="R14" s="666" t="s">
        <v>14</v>
      </c>
      <c r="S14" s="667">
        <f t="shared" si="0"/>
        <v>100</v>
      </c>
      <c r="T14" s="666" t="s">
        <v>14</v>
      </c>
      <c r="U14" s="667">
        <f t="shared" si="1"/>
        <v>100</v>
      </c>
      <c r="V14" s="666" t="s">
        <v>14</v>
      </c>
      <c r="W14" s="667">
        <f t="shared" si="2"/>
        <v>100</v>
      </c>
      <c r="X14" s="1264"/>
      <c r="Y14" s="344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448"/>
      <c r="Q15" s="1262"/>
      <c r="R15" s="666"/>
      <c r="S15" s="667"/>
      <c r="T15" s="666"/>
      <c r="U15" s="667"/>
      <c r="V15" s="666"/>
      <c r="W15" s="667"/>
      <c r="X15" s="1264"/>
      <c r="Y15" s="3448"/>
      <c r="Z15" s="1263"/>
      <c r="AA15" s="1263">
        <v>1</v>
      </c>
      <c r="AB15" s="1263">
        <v>1</v>
      </c>
      <c r="AC15" s="1263">
        <v>1</v>
      </c>
    </row>
    <row r="16" spans="1:29" ht="42.75">
      <c r="A16" s="366"/>
      <c r="B16" s="389" t="s">
        <v>1812</v>
      </c>
      <c r="C16" s="1753" t="str">
        <f>IF(B1="工业",估价对象房地状况!G5,估价对象房地状况!C7)</f>
        <v>估价对象所在区域公共配套设施较齐备</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48"/>
      <c r="Q16" s="1262" t="str">
        <f>B16</f>
        <v>公共配套设施</v>
      </c>
      <c r="R16" s="666" t="s">
        <v>14</v>
      </c>
      <c r="S16" s="667">
        <f>F16</f>
        <v>100</v>
      </c>
      <c r="T16" s="666" t="s">
        <v>14</v>
      </c>
      <c r="U16" s="667">
        <f>H16</f>
        <v>100</v>
      </c>
      <c r="V16" s="666" t="s">
        <v>14</v>
      </c>
      <c r="W16" s="667">
        <f>J16</f>
        <v>100</v>
      </c>
      <c r="X16" s="1264"/>
      <c r="Y16" s="344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448"/>
      <c r="Q17" s="1262"/>
      <c r="R17" s="666"/>
      <c r="S17" s="667"/>
      <c r="T17" s="666"/>
      <c r="U17" s="667"/>
      <c r="V17" s="666"/>
      <c r="W17" s="667"/>
      <c r="X17" s="1264"/>
      <c r="Y17" s="3448"/>
      <c r="Z17" s="1263"/>
      <c r="AA17" s="1263">
        <v>1</v>
      </c>
      <c r="AB17" s="1263">
        <v>1</v>
      </c>
      <c r="AC17" s="1263">
        <v>1</v>
      </c>
    </row>
    <row r="18" spans="1:29" ht="42.75">
      <c r="A18" s="366"/>
      <c r="B18" s="585" t="s">
        <v>1813</v>
      </c>
      <c r="C18" s="1753" t="str">
        <f>IF(B1="工业",估价对象房地状况!G6,估价对象房地状况!C8)</f>
        <v>估价对象所在区域基础设施水平较好</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48"/>
      <c r="Q18" s="1262" t="str">
        <f>B18</f>
        <v>基础设施水平</v>
      </c>
      <c r="R18" s="666" t="s">
        <v>14</v>
      </c>
      <c r="S18" s="667">
        <f>F18</f>
        <v>100</v>
      </c>
      <c r="T18" s="666" t="s">
        <v>14</v>
      </c>
      <c r="U18" s="667">
        <f>H18</f>
        <v>100</v>
      </c>
      <c r="V18" s="666" t="s">
        <v>14</v>
      </c>
      <c r="W18" s="667">
        <f>J18</f>
        <v>100</v>
      </c>
      <c r="X18" s="1264"/>
      <c r="Y18" s="344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448"/>
      <c r="Q19" s="1262"/>
      <c r="R19" s="666"/>
      <c r="S19" s="667"/>
      <c r="T19" s="666"/>
      <c r="U19" s="667"/>
      <c r="V19" s="666"/>
      <c r="W19" s="667"/>
      <c r="X19" s="1264"/>
      <c r="Y19" s="3448"/>
      <c r="Z19" s="1263"/>
      <c r="AA19" s="1263">
        <v>1</v>
      </c>
      <c r="AB19" s="1263">
        <v>1</v>
      </c>
      <c r="AC19" s="1263">
        <v>1</v>
      </c>
    </row>
    <row r="20" spans="1:29" ht="71.25">
      <c r="A20" s="366"/>
      <c r="B20" s="389" t="s">
        <v>1834</v>
      </c>
      <c r="C20" s="1753" t="str">
        <f>IF(B1="工业",估价对象房地状况!G7,估价对象房地状况!C9)</f>
        <v>周边有动物园、北京艺术博物馆、双榆树公园等自然人文环境，质量较好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48"/>
      <c r="Q20" s="1262" t="str">
        <f>B20</f>
        <v>自然及人文环境</v>
      </c>
      <c r="R20" s="666" t="s">
        <v>14</v>
      </c>
      <c r="S20" s="667">
        <f>F20</f>
        <v>100</v>
      </c>
      <c r="T20" s="666" t="s">
        <v>14</v>
      </c>
      <c r="U20" s="667">
        <f>H20</f>
        <v>100</v>
      </c>
      <c r="V20" s="666" t="s">
        <v>14</v>
      </c>
      <c r="W20" s="667">
        <f>J20</f>
        <v>100</v>
      </c>
      <c r="X20" s="1264"/>
      <c r="Y20" s="344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448"/>
      <c r="Q21" s="1262"/>
      <c r="R21" s="666"/>
      <c r="S21" s="667"/>
      <c r="T21" s="666"/>
      <c r="U21" s="667"/>
      <c r="V21" s="666"/>
      <c r="W21" s="667"/>
      <c r="X21" s="1264"/>
      <c r="Y21" s="344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48"/>
      <c r="Q22" s="1262" t="str">
        <f>B22</f>
        <v>楼层</v>
      </c>
      <c r="R22" s="666" t="s">
        <v>14</v>
      </c>
      <c r="S22" s="667">
        <f>F22</f>
        <v>100</v>
      </c>
      <c r="T22" s="666" t="s">
        <v>14</v>
      </c>
      <c r="U22" s="667">
        <f>H22</f>
        <v>100</v>
      </c>
      <c r="V22" s="666" t="s">
        <v>14</v>
      </c>
      <c r="W22" s="667">
        <f>J22</f>
        <v>100</v>
      </c>
      <c r="X22" s="1264"/>
      <c r="Y22" s="344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48"/>
      <c r="Q23" s="1262">
        <f>B23</f>
        <v>111</v>
      </c>
      <c r="R23" s="666" t="s">
        <v>14</v>
      </c>
      <c r="S23" s="667">
        <f>F23</f>
        <v>100</v>
      </c>
      <c r="T23" s="666" t="s">
        <v>14</v>
      </c>
      <c r="U23" s="667">
        <f>H23</f>
        <v>100</v>
      </c>
      <c r="V23" s="666" t="s">
        <v>14</v>
      </c>
      <c r="W23" s="667">
        <f>J23</f>
        <v>100</v>
      </c>
      <c r="X23" s="1264"/>
      <c r="Y23" s="344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48"/>
      <c r="Q24" s="1262">
        <f t="shared" ref="Q24:Q34" si="11">B24</f>
        <v>111</v>
      </c>
      <c r="R24" s="666" t="s">
        <v>14</v>
      </c>
      <c r="S24" s="667">
        <f>F24</f>
        <v>100</v>
      </c>
      <c r="T24" s="666" t="s">
        <v>14</v>
      </c>
      <c r="U24" s="667">
        <f>H24</f>
        <v>100</v>
      </c>
      <c r="V24" s="666" t="s">
        <v>14</v>
      </c>
      <c r="W24" s="667">
        <f>J24</f>
        <v>100</v>
      </c>
      <c r="X24" s="1264"/>
      <c r="Y24" s="3448"/>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448"/>
      <c r="Q25" s="529">
        <f t="shared" si="11"/>
        <v>111</v>
      </c>
      <c r="R25" s="663" t="s">
        <v>14</v>
      </c>
      <c r="S25" s="664">
        <f>F25</f>
        <v>100</v>
      </c>
      <c r="T25" s="663" t="s">
        <v>14</v>
      </c>
      <c r="U25" s="664">
        <f>H25</f>
        <v>100</v>
      </c>
      <c r="V25" s="663" t="s">
        <v>14</v>
      </c>
      <c r="W25" s="664">
        <f>J25</f>
        <v>100</v>
      </c>
      <c r="X25" s="665"/>
      <c r="Y25" s="3448"/>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9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5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52"/>
      <c r="Q27" s="530" t="str">
        <f t="shared" si="11"/>
        <v>成新率</v>
      </c>
      <c r="R27" s="668" t="s">
        <v>14</v>
      </c>
      <c r="S27" s="669" t="e">
        <f t="shared" si="12"/>
        <v>#N/A</v>
      </c>
      <c r="T27" s="668" t="s">
        <v>14</v>
      </c>
      <c r="U27" s="669" t="e">
        <f t="shared" si="13"/>
        <v>#N/A</v>
      </c>
      <c r="V27" s="668" t="s">
        <v>14</v>
      </c>
      <c r="W27" s="669" t="e">
        <f t="shared" si="14"/>
        <v>#N/A</v>
      </c>
      <c r="X27" s="670"/>
      <c r="Y27" s="345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52"/>
      <c r="Q28" s="1262" t="str">
        <f t="shared" si="11"/>
        <v>物业等级</v>
      </c>
      <c r="R28" s="666" t="s">
        <v>14</v>
      </c>
      <c r="S28" s="667">
        <f t="shared" si="12"/>
        <v>100</v>
      </c>
      <c r="T28" s="666" t="s">
        <v>14</v>
      </c>
      <c r="U28" s="667">
        <f t="shared" si="13"/>
        <v>100</v>
      </c>
      <c r="V28" s="666" t="s">
        <v>14</v>
      </c>
      <c r="W28" s="667">
        <f t="shared" si="14"/>
        <v>100</v>
      </c>
      <c r="X28" s="1264"/>
      <c r="Y28" s="345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52"/>
      <c r="Q29" s="1262" t="str">
        <f t="shared" si="11"/>
        <v>有无电梯</v>
      </c>
      <c r="R29" s="666" t="s">
        <v>14</v>
      </c>
      <c r="S29" s="667">
        <f t="shared" si="12"/>
        <v>100</v>
      </c>
      <c r="T29" s="666" t="s">
        <v>14</v>
      </c>
      <c r="U29" s="667">
        <f t="shared" si="13"/>
        <v>100</v>
      </c>
      <c r="V29" s="666" t="s">
        <v>14</v>
      </c>
      <c r="W29" s="667">
        <f t="shared" si="14"/>
        <v>100</v>
      </c>
      <c r="X29" s="1264"/>
      <c r="Y29" s="345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52"/>
      <c r="Q30" s="1262" t="str">
        <f t="shared" si="11"/>
        <v>建筑面积</v>
      </c>
      <c r="R30" s="666" t="s">
        <v>14</v>
      </c>
      <c r="S30" s="667" t="e">
        <f t="shared" si="12"/>
        <v>#N/A</v>
      </c>
      <c r="T30" s="666" t="s">
        <v>14</v>
      </c>
      <c r="U30" s="667" t="e">
        <f t="shared" si="13"/>
        <v>#N/A</v>
      </c>
      <c r="V30" s="666" t="s">
        <v>14</v>
      </c>
      <c r="W30" s="667" t="e">
        <f t="shared" si="14"/>
        <v>#N/A</v>
      </c>
      <c r="X30" s="1264"/>
      <c r="Y30" s="3452"/>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52"/>
      <c r="Q31" s="529" t="str">
        <f t="shared" si="11"/>
        <v>是否封闭</v>
      </c>
      <c r="R31" s="663" t="s">
        <v>14</v>
      </c>
      <c r="S31" s="664">
        <f t="shared" si="12"/>
        <v>100</v>
      </c>
      <c r="T31" s="663" t="s">
        <v>14</v>
      </c>
      <c r="U31" s="664">
        <f t="shared" si="13"/>
        <v>100</v>
      </c>
      <c r="V31" s="663" t="s">
        <v>14</v>
      </c>
      <c r="W31" s="664">
        <f t="shared" si="14"/>
        <v>100</v>
      </c>
      <c r="X31" s="665"/>
      <c r="Y31" s="345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52" t="s">
        <v>1696</v>
      </c>
      <c r="Q32" s="1262">
        <f t="shared" si="11"/>
        <v>111</v>
      </c>
      <c r="R32" s="666" t="s">
        <v>14</v>
      </c>
      <c r="S32" s="667">
        <f t="shared" si="12"/>
        <v>100</v>
      </c>
      <c r="T32" s="666" t="s">
        <v>14</v>
      </c>
      <c r="U32" s="667">
        <f t="shared" si="13"/>
        <v>100</v>
      </c>
      <c r="V32" s="666" t="s">
        <v>14</v>
      </c>
      <c r="W32" s="667">
        <f t="shared" si="14"/>
        <v>100</v>
      </c>
      <c r="X32" s="1264"/>
      <c r="Y32" s="345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52"/>
      <c r="Q33" s="1262">
        <f t="shared" si="11"/>
        <v>111</v>
      </c>
      <c r="R33" s="666" t="s">
        <v>14</v>
      </c>
      <c r="S33" s="667">
        <f t="shared" si="12"/>
        <v>100</v>
      </c>
      <c r="T33" s="666" t="s">
        <v>14</v>
      </c>
      <c r="U33" s="667">
        <f t="shared" si="13"/>
        <v>100</v>
      </c>
      <c r="V33" s="666" t="s">
        <v>14</v>
      </c>
      <c r="W33" s="667">
        <f t="shared" si="14"/>
        <v>100</v>
      </c>
      <c r="X33" s="1264"/>
      <c r="Y33" s="3452"/>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52"/>
      <c r="Q34" s="1262">
        <f t="shared" si="11"/>
        <v>111</v>
      </c>
      <c r="R34" s="666" t="s">
        <v>14</v>
      </c>
      <c r="S34" s="667">
        <f t="shared" si="12"/>
        <v>100</v>
      </c>
      <c r="T34" s="666" t="s">
        <v>14</v>
      </c>
      <c r="U34" s="667">
        <f t="shared" si="13"/>
        <v>100</v>
      </c>
      <c r="V34" s="666" t="s">
        <v>14</v>
      </c>
      <c r="W34" s="667">
        <f t="shared" si="14"/>
        <v>100</v>
      </c>
      <c r="X34" s="1264"/>
      <c r="Y34" s="3452"/>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2"/>
      <c r="M35" s="2485"/>
      <c r="N35" s="2485"/>
      <c r="O35" s="2485"/>
      <c r="P35" s="3454" t="str">
        <f>A35</f>
        <v>成交单价（元/平方米）</v>
      </c>
      <c r="Q35" s="3454"/>
      <c r="R35" s="3442">
        <f>E35</f>
        <v>0</v>
      </c>
      <c r="S35" s="3442"/>
      <c r="T35" s="3442">
        <f>G35</f>
        <v>0</v>
      </c>
      <c r="U35" s="3442"/>
      <c r="V35" s="3442">
        <f>I35</f>
        <v>0</v>
      </c>
      <c r="W35" s="3442"/>
      <c r="X35" s="384"/>
      <c r="Y35" s="672"/>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2"/>
      <c r="M36" s="2485"/>
      <c r="N36" s="2485"/>
      <c r="O36" s="2485"/>
      <c r="P36" s="3454" t="str">
        <f>A36</f>
        <v>比较价值（元/平方米）</v>
      </c>
      <c r="Q36" s="3454"/>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488" t="str">
        <f>A37</f>
        <v>估价对象XX用房的比较价值（楼面单价，元/平方米）</v>
      </c>
      <c r="Q37" s="3489"/>
      <c r="R37" s="3492" t="e">
        <f>IF(F1="售价",ROUND(IF(D36="简单平均",AVERAGE(R36:W36),R36*F36+T36*H36+V36*J36),0),ROUND(IF(D36="简单平均",AVERAGE(R36:V36),R36*F36+T36*H36+V36*J36),1))</f>
        <v>#DIV/0!</v>
      </c>
      <c r="S37" s="3492"/>
      <c r="T37" s="3492"/>
      <c r="U37" s="3492"/>
      <c r="V37" s="3492"/>
      <c r="W37" s="3492"/>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08"/>
      <c r="Q46" s="2508"/>
      <c r="R46" s="2508"/>
      <c r="S46" s="2508"/>
      <c r="T46" s="2508"/>
      <c r="U46" s="2508"/>
      <c r="V46" s="2508"/>
      <c r="W46" s="2508"/>
      <c r="X46" s="2508"/>
      <c r="Y46" s="2508"/>
      <c r="Z46" s="2508"/>
      <c r="AA46" s="2508"/>
      <c r="AB46" s="2508"/>
      <c r="AC46" s="2508"/>
      <c r="AD46" s="2508"/>
    </row>
    <row r="47" spans="1:30" s="102" customFormat="1" ht="15">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2" customFormat="1" ht="15.7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2" customFormat="1" ht="15">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429" t="s">
        <v>1770</v>
      </c>
      <c r="D4" s="3430"/>
      <c r="E4" s="3431" t="s">
        <v>1771</v>
      </c>
      <c r="F4" s="3432"/>
      <c r="G4" s="3429" t="s">
        <v>1772</v>
      </c>
      <c r="H4" s="3430"/>
      <c r="I4" s="3429" t="s">
        <v>1773</v>
      </c>
      <c r="J4" s="3430"/>
      <c r="K4" s="536" t="s">
        <v>1774</v>
      </c>
      <c r="L4" s="2484"/>
      <c r="M4" s="2485"/>
      <c r="N4" s="2485"/>
      <c r="O4" s="2485"/>
      <c r="P4" s="3484" t="s">
        <v>1775</v>
      </c>
      <c r="Q4" s="3485"/>
      <c r="R4" s="3480" t="s">
        <v>1771</v>
      </c>
      <c r="S4" s="3481"/>
      <c r="T4" s="3480" t="s">
        <v>1772</v>
      </c>
      <c r="U4" s="3481"/>
      <c r="V4" s="3442" t="s">
        <v>1773</v>
      </c>
      <c r="W4" s="3442"/>
      <c r="X4" s="1264"/>
      <c r="Y4" s="3480" t="s">
        <v>1775</v>
      </c>
      <c r="Z4" s="3481"/>
      <c r="AA4" s="3479" t="s">
        <v>1771</v>
      </c>
      <c r="AB4" s="3410" t="s">
        <v>1772</v>
      </c>
      <c r="AC4" s="3479" t="s">
        <v>1773</v>
      </c>
    </row>
    <row r="5" spans="1:29" ht="15">
      <c r="A5" s="347"/>
      <c r="B5" s="348"/>
      <c r="C5" s="3420" t="s">
        <v>1673</v>
      </c>
      <c r="D5" s="3419"/>
      <c r="E5" s="3482" t="s">
        <v>1674</v>
      </c>
      <c r="F5" s="3483"/>
      <c r="G5" s="3420" t="s">
        <v>1675</v>
      </c>
      <c r="H5" s="3419"/>
      <c r="I5" s="3420" t="s">
        <v>1676</v>
      </c>
      <c r="J5" s="3419"/>
      <c r="K5" s="536"/>
      <c r="L5" s="2484"/>
      <c r="M5" s="2485"/>
      <c r="N5" s="2485"/>
      <c r="O5" s="2485"/>
      <c r="P5" s="3486"/>
      <c r="Q5" s="3436"/>
      <c r="R5" s="3416"/>
      <c r="S5" s="3417"/>
      <c r="T5" s="3416"/>
      <c r="U5" s="3417"/>
      <c r="V5" s="3442"/>
      <c r="W5" s="3442"/>
      <c r="X5" s="1264"/>
      <c r="Y5" s="3416"/>
      <c r="Z5" s="3417"/>
      <c r="AA5" s="3410"/>
      <c r="AB5" s="3410"/>
      <c r="AC5" s="3410"/>
    </row>
    <row r="6" spans="1:29" ht="15.75" thickBot="1">
      <c r="A6" s="349"/>
      <c r="B6" s="350"/>
      <c r="C6" s="3421" t="s">
        <v>1677</v>
      </c>
      <c r="D6" s="3422"/>
      <c r="E6" s="3423" t="s">
        <v>1677</v>
      </c>
      <c r="F6" s="3424"/>
      <c r="G6" s="3421" t="s">
        <v>1677</v>
      </c>
      <c r="H6" s="3422"/>
      <c r="I6" s="3421" t="s">
        <v>1677</v>
      </c>
      <c r="J6" s="3422"/>
      <c r="K6" s="536" t="s">
        <v>1678</v>
      </c>
      <c r="L6" s="2484"/>
      <c r="M6" s="2485"/>
      <c r="N6" s="2485"/>
      <c r="O6" s="2485"/>
      <c r="P6" s="3487"/>
      <c r="Q6" s="3438"/>
      <c r="R6" s="3416"/>
      <c r="S6" s="3417"/>
      <c r="T6" s="3439"/>
      <c r="U6" s="3440"/>
      <c r="V6" s="3442"/>
      <c r="W6" s="3442"/>
      <c r="X6" s="1264"/>
      <c r="Y6" s="3439"/>
      <c r="Z6" s="3440"/>
      <c r="AA6" s="3411"/>
      <c r="AB6" s="3411"/>
      <c r="AC6" s="3411"/>
    </row>
    <row r="7" spans="1:29" s="102" customFormat="1" ht="15.75" thickBot="1">
      <c r="A7" s="351" t="s">
        <v>1679</v>
      </c>
      <c r="B7" s="352"/>
      <c r="C7" s="353">
        <f>'数据-取费表'!B2</f>
        <v>45762</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12" t="s">
        <v>1680</v>
      </c>
      <c r="Q7" s="3444"/>
      <c r="R7" s="663" t="s">
        <v>14</v>
      </c>
      <c r="S7" s="664">
        <f t="shared" ref="S7:S15" si="0">F7</f>
        <v>0</v>
      </c>
      <c r="T7" s="663" t="s">
        <v>14</v>
      </c>
      <c r="U7" s="664">
        <f t="shared" ref="U7:U15" si="1">H7</f>
        <v>0</v>
      </c>
      <c r="V7" s="663" t="s">
        <v>14</v>
      </c>
      <c r="W7" s="664">
        <f t="shared" ref="W7:W15" si="2">J7</f>
        <v>0</v>
      </c>
      <c r="X7" s="665"/>
      <c r="Y7" s="3412" t="s">
        <v>1680</v>
      </c>
      <c r="Z7" s="3413"/>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12" t="s">
        <v>1683</v>
      </c>
      <c r="Q8" s="3413"/>
      <c r="R8" s="663" t="s">
        <v>14</v>
      </c>
      <c r="S8" s="664">
        <f t="shared" si="0"/>
        <v>0</v>
      </c>
      <c r="T8" s="663" t="s">
        <v>14</v>
      </c>
      <c r="U8" s="664">
        <f t="shared" si="1"/>
        <v>0</v>
      </c>
      <c r="V8" s="663" t="s">
        <v>14</v>
      </c>
      <c r="W8" s="664">
        <f t="shared" si="2"/>
        <v>0</v>
      </c>
      <c r="X8" s="665"/>
      <c r="Y8" s="3412" t="s">
        <v>1683</v>
      </c>
      <c r="Z8" s="3413"/>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54" t="s">
        <v>1686</v>
      </c>
      <c r="Q9" s="529" t="str">
        <f t="shared" ref="Q9:Q15" si="6">B9</f>
        <v>用途</v>
      </c>
      <c r="R9" s="663" t="s">
        <v>14</v>
      </c>
      <c r="S9" s="664">
        <f t="shared" si="0"/>
        <v>100</v>
      </c>
      <c r="T9" s="663" t="s">
        <v>14</v>
      </c>
      <c r="U9" s="664">
        <f t="shared" si="1"/>
        <v>100</v>
      </c>
      <c r="V9" s="663" t="s">
        <v>14</v>
      </c>
      <c r="W9" s="664">
        <f t="shared" si="2"/>
        <v>100</v>
      </c>
      <c r="X9" s="665"/>
      <c r="Y9" s="335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155</v>
      </c>
      <c r="G10" s="401"/>
      <c r="H10" s="118">
        <f>ROUND(100/'数据-取费表'!G16,0)</f>
        <v>155</v>
      </c>
      <c r="I10" s="401"/>
      <c r="J10" s="118">
        <f>ROUND(100/'数据-取费表'!G16,0)</f>
        <v>155</v>
      </c>
      <c r="K10" s="591"/>
      <c r="L10" s="2487"/>
      <c r="M10" s="2488"/>
      <c r="N10" s="2488"/>
      <c r="O10" s="2539"/>
      <c r="P10" s="3454"/>
      <c r="Q10" s="529" t="str">
        <f t="shared" si="6"/>
        <v>土地使用年限（年）</v>
      </c>
      <c r="R10" s="663" t="s">
        <v>14</v>
      </c>
      <c r="S10" s="664">
        <f t="shared" si="0"/>
        <v>155</v>
      </c>
      <c r="T10" s="663" t="s">
        <v>14</v>
      </c>
      <c r="U10" s="664">
        <f t="shared" si="1"/>
        <v>155</v>
      </c>
      <c r="V10" s="663" t="s">
        <v>14</v>
      </c>
      <c r="W10" s="664">
        <f t="shared" si="2"/>
        <v>155</v>
      </c>
      <c r="X10" s="665"/>
      <c r="Y10" s="3358"/>
      <c r="Z10" s="50" t="str">
        <f t="shared" si="7"/>
        <v>土地使用年限（年）</v>
      </c>
      <c r="AA10" s="50">
        <f t="shared" si="3"/>
        <v>0.64516129032258063</v>
      </c>
      <c r="AB10" s="50">
        <f t="shared" si="4"/>
        <v>0.64516129032258063</v>
      </c>
      <c r="AC10" s="50">
        <f t="shared" si="5"/>
        <v>0.64516129032258063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54"/>
      <c r="Q11" s="529" t="str">
        <f t="shared" si="6"/>
        <v>容积率</v>
      </c>
      <c r="R11" s="663" t="s">
        <v>14</v>
      </c>
      <c r="S11" s="664" t="e">
        <f t="shared" si="0"/>
        <v>#N/A</v>
      </c>
      <c r="T11" s="663" t="s">
        <v>14</v>
      </c>
      <c r="U11" s="664" t="e">
        <f t="shared" si="1"/>
        <v>#N/A</v>
      </c>
      <c r="V11" s="663" t="s">
        <v>14</v>
      </c>
      <c r="W11" s="664" t="e">
        <f t="shared" si="2"/>
        <v>#N/A</v>
      </c>
      <c r="X11" s="665"/>
      <c r="Y11" s="3358"/>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454"/>
      <c r="Q12" s="529" t="str">
        <f t="shared" si="6"/>
        <v>配建</v>
      </c>
      <c r="R12" s="663" t="s">
        <v>14</v>
      </c>
      <c r="S12" s="664">
        <f t="shared" si="0"/>
        <v>100</v>
      </c>
      <c r="T12" s="663" t="s">
        <v>14</v>
      </c>
      <c r="U12" s="664">
        <f t="shared" si="1"/>
        <v>100</v>
      </c>
      <c r="V12" s="663" t="s">
        <v>14</v>
      </c>
      <c r="W12" s="664">
        <f t="shared" si="2"/>
        <v>100</v>
      </c>
      <c r="X12" s="665"/>
      <c r="Y12" s="335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54"/>
      <c r="Q13" s="529">
        <f t="shared" si="6"/>
        <v>111</v>
      </c>
      <c r="R13" s="663" t="s">
        <v>14</v>
      </c>
      <c r="S13" s="664">
        <f t="shared" si="0"/>
        <v>100</v>
      </c>
      <c r="T13" s="663" t="s">
        <v>14</v>
      </c>
      <c r="U13" s="664">
        <f t="shared" si="1"/>
        <v>100</v>
      </c>
      <c r="V13" s="663" t="s">
        <v>14</v>
      </c>
      <c r="W13" s="664">
        <f t="shared" si="2"/>
        <v>100</v>
      </c>
      <c r="X13" s="665"/>
      <c r="Y13" s="3358"/>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54"/>
      <c r="Q14" s="529">
        <f t="shared" si="6"/>
        <v>111</v>
      </c>
      <c r="R14" s="663" t="s">
        <v>14</v>
      </c>
      <c r="S14" s="664">
        <f t="shared" si="0"/>
        <v>100</v>
      </c>
      <c r="T14" s="663" t="s">
        <v>14</v>
      </c>
      <c r="U14" s="664">
        <f t="shared" si="1"/>
        <v>100</v>
      </c>
      <c r="V14" s="663" t="s">
        <v>14</v>
      </c>
      <c r="W14" s="664">
        <f t="shared" si="2"/>
        <v>100</v>
      </c>
      <c r="X14" s="665"/>
      <c r="Y14" s="3358"/>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47" t="s">
        <v>1691</v>
      </c>
      <c r="Q15" s="1262" t="str">
        <f t="shared" si="6"/>
        <v>居住社区成熟度</v>
      </c>
      <c r="R15" s="666" t="s">
        <v>14</v>
      </c>
      <c r="S15" s="667">
        <f t="shared" si="0"/>
        <v>100</v>
      </c>
      <c r="T15" s="666" t="s">
        <v>14</v>
      </c>
      <c r="U15" s="667">
        <f t="shared" si="1"/>
        <v>100</v>
      </c>
      <c r="V15" s="666" t="s">
        <v>14</v>
      </c>
      <c r="W15" s="667">
        <f t="shared" si="2"/>
        <v>100</v>
      </c>
      <c r="X15" s="1264"/>
      <c r="Y15" s="344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448"/>
      <c r="Q16" s="1262"/>
      <c r="R16" s="666"/>
      <c r="S16" s="667"/>
      <c r="T16" s="666"/>
      <c r="U16" s="667"/>
      <c r="V16" s="666"/>
      <c r="W16" s="667"/>
      <c r="X16" s="1264"/>
      <c r="Y16" s="3448"/>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48"/>
      <c r="Q17" s="1262" t="str">
        <f>B17</f>
        <v>商业繁华度</v>
      </c>
      <c r="R17" s="666" t="s">
        <v>14</v>
      </c>
      <c r="S17" s="667">
        <f>F17</f>
        <v>100</v>
      </c>
      <c r="T17" s="666" t="s">
        <v>14</v>
      </c>
      <c r="U17" s="667">
        <f>H17</f>
        <v>100</v>
      </c>
      <c r="V17" s="666" t="s">
        <v>14</v>
      </c>
      <c r="W17" s="667">
        <f>J17</f>
        <v>100</v>
      </c>
      <c r="X17" s="1264"/>
      <c r="Y17" s="344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448"/>
      <c r="Q18" s="1262"/>
      <c r="R18" s="666"/>
      <c r="S18" s="667"/>
      <c r="T18" s="666"/>
      <c r="U18" s="667"/>
      <c r="V18" s="666"/>
      <c r="W18" s="667"/>
      <c r="X18" s="1264"/>
      <c r="Y18" s="3448"/>
      <c r="Z18" s="1263"/>
      <c r="AA18" s="1263">
        <v>1</v>
      </c>
      <c r="AB18" s="1263">
        <v>1</v>
      </c>
      <c r="AC18" s="1263">
        <v>1</v>
      </c>
    </row>
    <row r="19" spans="1:29" ht="57">
      <c r="A19" s="366"/>
      <c r="B19" s="389" t="s">
        <v>1811</v>
      </c>
      <c r="C19" s="1805" t="str">
        <f>估价对象房地状况!C17</f>
        <v>周边有铸诚大厦、天作国际等较多办公项目，办公集聚程度较好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48"/>
      <c r="Q19" s="1262" t="str">
        <f>B19</f>
        <v>办公集聚程度</v>
      </c>
      <c r="R19" s="666" t="s">
        <v>14</v>
      </c>
      <c r="S19" s="667">
        <f>F19</f>
        <v>100</v>
      </c>
      <c r="T19" s="666" t="s">
        <v>14</v>
      </c>
      <c r="U19" s="667">
        <f>H19</f>
        <v>100</v>
      </c>
      <c r="V19" s="666" t="s">
        <v>14</v>
      </c>
      <c r="W19" s="667">
        <f>J19</f>
        <v>100</v>
      </c>
      <c r="X19" s="1264"/>
      <c r="Y19" s="344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448"/>
      <c r="Q20" s="1262"/>
      <c r="R20" s="666"/>
      <c r="S20" s="667"/>
      <c r="T20" s="666"/>
      <c r="U20" s="667"/>
      <c r="V20" s="666"/>
      <c r="W20" s="667"/>
      <c r="X20" s="1264"/>
      <c r="Y20" s="3448"/>
      <c r="Z20" s="1263"/>
      <c r="AA20" s="1263">
        <v>1</v>
      </c>
      <c r="AB20" s="1263">
        <v>1</v>
      </c>
      <c r="AC20" s="1263">
        <v>1</v>
      </c>
    </row>
    <row r="21" spans="1:29" ht="85.5">
      <c r="A21" s="366"/>
      <c r="B21" s="389" t="s">
        <v>1833</v>
      </c>
      <c r="C21" s="1753" t="str">
        <f>估价对象房地状况!C18</f>
        <v>有695、323、425路等公交路线经过，紧邻地铁4号线——人民大学站，交通便捷度较好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48"/>
      <c r="Q21" s="1262" t="str">
        <f>B21</f>
        <v>交通便捷度</v>
      </c>
      <c r="R21" s="666" t="s">
        <v>14</v>
      </c>
      <c r="S21" s="667">
        <f>F21</f>
        <v>100</v>
      </c>
      <c r="T21" s="666" t="s">
        <v>14</v>
      </c>
      <c r="U21" s="667">
        <f>H21</f>
        <v>100</v>
      </c>
      <c r="V21" s="666" t="s">
        <v>14</v>
      </c>
      <c r="W21" s="667">
        <f>J21</f>
        <v>100</v>
      </c>
      <c r="X21" s="1264"/>
      <c r="Y21" s="344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448"/>
      <c r="Q22" s="1262"/>
      <c r="R22" s="666"/>
      <c r="S22" s="667"/>
      <c r="T22" s="666"/>
      <c r="U22" s="667"/>
      <c r="V22" s="666"/>
      <c r="W22" s="667"/>
      <c r="X22" s="1264"/>
      <c r="Y22" s="3448"/>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48"/>
      <c r="Q23" s="1262" t="str">
        <f t="shared" ref="Q23:Q37" si="8">B23</f>
        <v>区域土地利用方向</v>
      </c>
      <c r="R23" s="666" t="s">
        <v>14</v>
      </c>
      <c r="S23" s="667">
        <f>F23</f>
        <v>100</v>
      </c>
      <c r="T23" s="666" t="s">
        <v>14</v>
      </c>
      <c r="U23" s="667">
        <f>H23</f>
        <v>100</v>
      </c>
      <c r="V23" s="666" t="s">
        <v>14</v>
      </c>
      <c r="W23" s="667">
        <f>J23</f>
        <v>100</v>
      </c>
      <c r="X23" s="1264"/>
      <c r="Y23" s="344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448"/>
      <c r="Q24" s="1262"/>
      <c r="R24" s="666"/>
      <c r="S24" s="667"/>
      <c r="T24" s="666"/>
      <c r="U24" s="667"/>
      <c r="V24" s="666"/>
      <c r="W24" s="667"/>
      <c r="X24" s="1264"/>
      <c r="Y24" s="3448"/>
      <c r="Z24" s="1263"/>
      <c r="AA24" s="1263"/>
      <c r="AB24" s="1263"/>
      <c r="AC24" s="1263"/>
    </row>
    <row r="25" spans="1:29" ht="71.25">
      <c r="A25" s="347"/>
      <c r="B25" s="585" t="s">
        <v>1872</v>
      </c>
      <c r="C25" s="1805" t="str">
        <f>估价对象房地状况!C20</f>
        <v>周边有动物园、北京艺术博物馆、双榆树公园等自然人文环境，质量较好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48"/>
      <c r="Q25" s="1262" t="str">
        <f t="shared" si="8"/>
        <v>自然及人文环境状况</v>
      </c>
      <c r="R25" s="666" t="s">
        <v>14</v>
      </c>
      <c r="S25" s="667">
        <f>F25</f>
        <v>100</v>
      </c>
      <c r="T25" s="666" t="s">
        <v>14</v>
      </c>
      <c r="U25" s="667">
        <f>H25</f>
        <v>100</v>
      </c>
      <c r="V25" s="666" t="s">
        <v>14</v>
      </c>
      <c r="W25" s="667">
        <f>J25</f>
        <v>100</v>
      </c>
      <c r="X25" s="1264"/>
      <c r="Y25" s="344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448"/>
      <c r="Q26" s="1262"/>
      <c r="R26" s="666"/>
      <c r="S26" s="667"/>
      <c r="T26" s="666"/>
      <c r="U26" s="667"/>
      <c r="V26" s="666"/>
      <c r="W26" s="667"/>
      <c r="X26" s="1264"/>
      <c r="Y26" s="3448"/>
      <c r="Z26" s="1263"/>
      <c r="AA26" s="1263">
        <v>1</v>
      </c>
      <c r="AB26" s="1263">
        <v>1</v>
      </c>
      <c r="AC26" s="1263">
        <v>1</v>
      </c>
    </row>
    <row r="27" spans="1:29" s="102" customFormat="1" ht="42.75">
      <c r="A27" s="442"/>
      <c r="B27" s="585" t="s">
        <v>1778</v>
      </c>
      <c r="C27" s="1753" t="str">
        <f>估价对象房地状况!C21</f>
        <v>估价对象所在区域公共配套设施较齐备</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448"/>
      <c r="Q27" s="529" t="str">
        <f t="shared" si="8"/>
        <v>公共配套设施</v>
      </c>
      <c r="R27" s="663" t="s">
        <v>14</v>
      </c>
      <c r="S27" s="664">
        <f>F27</f>
        <v>100</v>
      </c>
      <c r="T27" s="663" t="s">
        <v>14</v>
      </c>
      <c r="U27" s="664">
        <f>H27</f>
        <v>100</v>
      </c>
      <c r="V27" s="663" t="s">
        <v>14</v>
      </c>
      <c r="W27" s="664">
        <f>J27</f>
        <v>100</v>
      </c>
      <c r="X27" s="665"/>
      <c r="Y27" s="3448"/>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6"/>
      <c r="M28" s="2438"/>
      <c r="N28" s="2438"/>
      <c r="O28" s="2538"/>
      <c r="P28" s="3448"/>
      <c r="Q28" s="529"/>
      <c r="R28" s="663"/>
      <c r="S28" s="664"/>
      <c r="T28" s="663"/>
      <c r="U28" s="664"/>
      <c r="V28" s="663"/>
      <c r="W28" s="664"/>
      <c r="X28" s="665"/>
      <c r="Y28" s="3448"/>
      <c r="Z28" s="50"/>
      <c r="AA28" s="1263">
        <v>1</v>
      </c>
      <c r="AB28" s="1263">
        <v>1</v>
      </c>
      <c r="AC28" s="1263">
        <v>1</v>
      </c>
    </row>
    <row r="29" spans="1:29" s="102" customFormat="1" ht="42.75">
      <c r="A29" s="442"/>
      <c r="B29" s="585" t="s">
        <v>1779</v>
      </c>
      <c r="C29" s="1753" t="str">
        <f>估价对象房地状况!C22</f>
        <v>估价对象所在区域基础设施水平较好</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448"/>
      <c r="Q29" s="529" t="str">
        <f t="shared" ref="Q29" si="9">B29</f>
        <v>基础设施水平</v>
      </c>
      <c r="R29" s="663" t="s">
        <v>14</v>
      </c>
      <c r="S29" s="664">
        <f>F29</f>
        <v>100</v>
      </c>
      <c r="T29" s="663" t="s">
        <v>14</v>
      </c>
      <c r="U29" s="664">
        <f>H29</f>
        <v>100</v>
      </c>
      <c r="V29" s="663" t="s">
        <v>14</v>
      </c>
      <c r="W29" s="664">
        <f>J29</f>
        <v>100</v>
      </c>
      <c r="X29" s="665"/>
      <c r="Y29" s="3448"/>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6"/>
      <c r="M30" s="2438"/>
      <c r="N30" s="2438"/>
      <c r="O30" s="2538"/>
      <c r="P30" s="3448"/>
      <c r="Q30" s="529"/>
      <c r="R30" s="663"/>
      <c r="S30" s="664"/>
      <c r="T30" s="663"/>
      <c r="U30" s="664"/>
      <c r="V30" s="663"/>
      <c r="W30" s="664"/>
      <c r="X30" s="665"/>
      <c r="Y30" s="344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4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8"/>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48"/>
      <c r="Q32" s="1262" t="str">
        <f t="shared" si="8"/>
        <v>毗邻道路的类型与等级</v>
      </c>
      <c r="R32" s="666" t="s">
        <v>14</v>
      </c>
      <c r="S32" s="667">
        <f t="shared" si="10"/>
        <v>100</v>
      </c>
      <c r="T32" s="666" t="s">
        <v>14</v>
      </c>
      <c r="U32" s="667">
        <f t="shared" si="11"/>
        <v>100</v>
      </c>
      <c r="V32" s="666" t="s">
        <v>14</v>
      </c>
      <c r="W32" s="667">
        <f t="shared" si="12"/>
        <v>100</v>
      </c>
      <c r="X32" s="1264"/>
      <c r="Y32" s="344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448"/>
      <c r="Q33" s="1262"/>
      <c r="R33" s="666"/>
      <c r="S33" s="667"/>
      <c r="T33" s="666"/>
      <c r="U33" s="667"/>
      <c r="V33" s="666"/>
      <c r="W33" s="667"/>
      <c r="X33" s="1264"/>
      <c r="Y33" s="344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48"/>
      <c r="Q34" s="1262" t="str">
        <f t="shared" si="8"/>
        <v>土地级别</v>
      </c>
      <c r="R34" s="666" t="s">
        <v>14</v>
      </c>
      <c r="S34" s="667">
        <f t="shared" si="10"/>
        <v>100</v>
      </c>
      <c r="T34" s="666" t="s">
        <v>14</v>
      </c>
      <c r="U34" s="667">
        <f t="shared" si="11"/>
        <v>100</v>
      </c>
      <c r="V34" s="666" t="s">
        <v>14</v>
      </c>
      <c r="W34" s="667">
        <f t="shared" si="12"/>
        <v>100</v>
      </c>
      <c r="X34" s="1264"/>
      <c r="Y34" s="344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48"/>
      <c r="Q35" s="1262">
        <f t="shared" si="8"/>
        <v>111</v>
      </c>
      <c r="R35" s="666" t="s">
        <v>14</v>
      </c>
      <c r="S35" s="667">
        <f t="shared" si="10"/>
        <v>100</v>
      </c>
      <c r="T35" s="666" t="s">
        <v>14</v>
      </c>
      <c r="U35" s="667">
        <f t="shared" si="11"/>
        <v>100</v>
      </c>
      <c r="V35" s="666" t="s">
        <v>14</v>
      </c>
      <c r="W35" s="667">
        <f t="shared" si="12"/>
        <v>100</v>
      </c>
      <c r="X35" s="1264"/>
      <c r="Y35" s="344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91" t="s">
        <v>1696</v>
      </c>
      <c r="Q36" s="1262">
        <f t="shared" si="8"/>
        <v>111</v>
      </c>
      <c r="R36" s="666" t="s">
        <v>14</v>
      </c>
      <c r="S36" s="667">
        <f t="shared" si="10"/>
        <v>100</v>
      </c>
      <c r="T36" s="666" t="s">
        <v>14</v>
      </c>
      <c r="U36" s="667">
        <f t="shared" si="11"/>
        <v>100</v>
      </c>
      <c r="V36" s="666" t="s">
        <v>14</v>
      </c>
      <c r="W36" s="667">
        <f t="shared" si="12"/>
        <v>100</v>
      </c>
      <c r="X36" s="1264"/>
      <c r="Y36" s="3452"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52"/>
      <c r="Q37" s="1262">
        <f t="shared" si="8"/>
        <v>111</v>
      </c>
      <c r="R37" s="668" t="s">
        <v>14</v>
      </c>
      <c r="S37" s="669">
        <f t="shared" si="10"/>
        <v>100</v>
      </c>
      <c r="T37" s="668" t="s">
        <v>14</v>
      </c>
      <c r="U37" s="669">
        <f t="shared" si="11"/>
        <v>100</v>
      </c>
      <c r="V37" s="668" t="s">
        <v>14</v>
      </c>
      <c r="W37" s="669">
        <f t="shared" si="12"/>
        <v>100</v>
      </c>
      <c r="X37" s="670"/>
      <c r="Y37" s="3452"/>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52"/>
      <c r="Q38" s="1262" t="str">
        <f>B38</f>
        <v>宗地面积</v>
      </c>
      <c r="R38" s="666" t="s">
        <v>14</v>
      </c>
      <c r="S38" s="667" t="e">
        <f t="shared" si="10"/>
        <v>#N/A</v>
      </c>
      <c r="T38" s="666" t="s">
        <v>14</v>
      </c>
      <c r="U38" s="667" t="e">
        <f t="shared" si="11"/>
        <v>#N/A</v>
      </c>
      <c r="V38" s="666" t="s">
        <v>14</v>
      </c>
      <c r="W38" s="667" t="e">
        <f t="shared" si="12"/>
        <v>#N/A</v>
      </c>
      <c r="X38" s="1264"/>
      <c r="Y38" s="345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52"/>
      <c r="Q39" s="1262" t="str">
        <f t="shared" ref="Q39:Q45" si="14">B39</f>
        <v>宗地形状</v>
      </c>
      <c r="R39" s="666" t="s">
        <v>14</v>
      </c>
      <c r="S39" s="667">
        <f t="shared" si="10"/>
        <v>100</v>
      </c>
      <c r="T39" s="666" t="s">
        <v>14</v>
      </c>
      <c r="U39" s="667">
        <f t="shared" si="11"/>
        <v>100</v>
      </c>
      <c r="V39" s="666" t="s">
        <v>14</v>
      </c>
      <c r="W39" s="667">
        <f t="shared" si="12"/>
        <v>100</v>
      </c>
      <c r="X39" s="1264"/>
      <c r="Y39" s="345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52"/>
      <c r="Q40" s="1262" t="str">
        <f t="shared" si="14"/>
        <v>临街宽度及深度</v>
      </c>
      <c r="R40" s="666" t="s">
        <v>14</v>
      </c>
      <c r="S40" s="667">
        <f t="shared" si="10"/>
        <v>100</v>
      </c>
      <c r="T40" s="666" t="s">
        <v>14</v>
      </c>
      <c r="U40" s="667">
        <f t="shared" si="11"/>
        <v>100</v>
      </c>
      <c r="V40" s="666" t="s">
        <v>14</v>
      </c>
      <c r="W40" s="667">
        <f t="shared" si="12"/>
        <v>100</v>
      </c>
      <c r="X40" s="1264"/>
      <c r="Y40" s="3452"/>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52"/>
      <c r="Q41" s="1262" t="str">
        <f t="shared" si="14"/>
        <v>宗地开发程度</v>
      </c>
      <c r="R41" s="663" t="s">
        <v>14</v>
      </c>
      <c r="S41" s="664">
        <f t="shared" si="10"/>
        <v>100</v>
      </c>
      <c r="T41" s="663" t="s">
        <v>14</v>
      </c>
      <c r="U41" s="664">
        <f t="shared" si="11"/>
        <v>100</v>
      </c>
      <c r="V41" s="663" t="s">
        <v>14</v>
      </c>
      <c r="W41" s="664">
        <f t="shared" si="12"/>
        <v>100</v>
      </c>
      <c r="X41" s="665"/>
      <c r="Y41" s="345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52" t="s">
        <v>1696</v>
      </c>
      <c r="Q42" s="1262" t="str">
        <f t="shared" si="14"/>
        <v>工程地质条件</v>
      </c>
      <c r="R42" s="666" t="s">
        <v>14</v>
      </c>
      <c r="S42" s="667">
        <f t="shared" si="10"/>
        <v>100</v>
      </c>
      <c r="T42" s="666" t="s">
        <v>14</v>
      </c>
      <c r="U42" s="667">
        <f t="shared" si="11"/>
        <v>100</v>
      </c>
      <c r="V42" s="666" t="s">
        <v>14</v>
      </c>
      <c r="W42" s="667">
        <f t="shared" si="12"/>
        <v>100</v>
      </c>
      <c r="X42" s="1264"/>
      <c r="Y42" s="345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52"/>
      <c r="Q43" s="1262">
        <f t="shared" si="14"/>
        <v>111</v>
      </c>
      <c r="R43" s="666" t="s">
        <v>14</v>
      </c>
      <c r="S43" s="667">
        <f t="shared" si="10"/>
        <v>100</v>
      </c>
      <c r="T43" s="666" t="s">
        <v>14</v>
      </c>
      <c r="U43" s="667">
        <f t="shared" si="11"/>
        <v>100</v>
      </c>
      <c r="V43" s="666" t="s">
        <v>14</v>
      </c>
      <c r="W43" s="667">
        <f t="shared" si="12"/>
        <v>100</v>
      </c>
      <c r="X43" s="1264"/>
      <c r="Y43" s="345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52"/>
      <c r="Q44" s="1262">
        <f t="shared" si="14"/>
        <v>111</v>
      </c>
      <c r="R44" s="666" t="s">
        <v>14</v>
      </c>
      <c r="S44" s="667">
        <f t="shared" si="10"/>
        <v>100</v>
      </c>
      <c r="T44" s="666" t="s">
        <v>14</v>
      </c>
      <c r="U44" s="667">
        <f t="shared" si="11"/>
        <v>100</v>
      </c>
      <c r="V44" s="666" t="s">
        <v>14</v>
      </c>
      <c r="W44" s="667">
        <f t="shared" si="12"/>
        <v>100</v>
      </c>
      <c r="X44" s="1264"/>
      <c r="Y44" s="3452"/>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52"/>
      <c r="Q45" s="1262">
        <f t="shared" si="14"/>
        <v>111</v>
      </c>
      <c r="R45" s="668" t="s">
        <v>14</v>
      </c>
      <c r="S45" s="669">
        <f t="shared" si="10"/>
        <v>100</v>
      </c>
      <c r="T45" s="668" t="s">
        <v>14</v>
      </c>
      <c r="U45" s="669">
        <f t="shared" si="11"/>
        <v>100</v>
      </c>
      <c r="V45" s="668" t="s">
        <v>14</v>
      </c>
      <c r="W45" s="669">
        <f t="shared" si="12"/>
        <v>100</v>
      </c>
      <c r="X45" s="670"/>
      <c r="Y45" s="3452"/>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2"/>
      <c r="M46" s="2485"/>
      <c r="N46" s="2485"/>
      <c r="O46" s="2485"/>
      <c r="P46" s="3454" t="str">
        <f>A46</f>
        <v>成交单价</v>
      </c>
      <c r="Q46" s="3454"/>
      <c r="R46" s="3442">
        <f>E46</f>
        <v>0</v>
      </c>
      <c r="S46" s="3442"/>
      <c r="T46" s="3442">
        <f>G46</f>
        <v>0</v>
      </c>
      <c r="U46" s="3442"/>
      <c r="V46" s="3442">
        <f>I46</f>
        <v>0</v>
      </c>
      <c r="W46" s="3442"/>
      <c r="X46" s="384"/>
      <c r="Y46" s="672"/>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2"/>
      <c r="M47" s="2485"/>
      <c r="N47" s="2485"/>
      <c r="O47" s="2485"/>
      <c r="P47" s="3454" t="str">
        <f>A47</f>
        <v>比较价值（元/平方米）</v>
      </c>
      <c r="Q47" s="3454"/>
      <c r="R47" s="3493" t="e">
        <f>ROUND(PRODUCT(R46,AA7:AA45),0)</f>
        <v>#DIV/0!</v>
      </c>
      <c r="S47" s="3493"/>
      <c r="T47" s="3493" t="e">
        <f>ROUND(PRODUCT(T46,AB7:AB45),0)</f>
        <v>#DIV/0!</v>
      </c>
      <c r="U47" s="3493"/>
      <c r="V47" s="3493" t="e">
        <f>ROUND(PRODUCT(V46,AC7:AC45),0)</f>
        <v>#DIV/0!</v>
      </c>
      <c r="W47" s="349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488" t="str">
        <f>A48</f>
        <v>估价对象XX用房的比较价值（楼面单价，元/平方米）</v>
      </c>
      <c r="Q48" s="3489"/>
      <c r="R48" s="3494" t="e">
        <f>ROUND(IF(D47="简单平均",AVERAGE(R47:W47),R47*F47+T47*H47+V47*J47),0)</f>
        <v>#DIV/0!</v>
      </c>
      <c r="S48" s="3494"/>
      <c r="T48" s="3494"/>
      <c r="U48" s="3494"/>
      <c r="V48" s="3494"/>
      <c r="W48" s="3494"/>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29" t="s">
        <v>1887</v>
      </c>
      <c r="H55" s="3495"/>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4967.6099999999997</v>
      </c>
      <c r="F56" s="832" t="e">
        <f t="shared" ref="F56:F64" si="15">ROUND(B56*E56/10000,0)</f>
        <v>#DIV/0!</v>
      </c>
      <c r="G56" s="3425"/>
      <c r="H56" s="3454"/>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90">
        <v>0.25</v>
      </c>
      <c r="E57" s="613"/>
      <c r="F57" s="832" t="e">
        <f t="shared" si="15"/>
        <v>#DIV/0!</v>
      </c>
      <c r="G57" s="2748" t="s">
        <v>1892</v>
      </c>
      <c r="H57" s="833" t="str">
        <f>项目基本情况!B37</f>
        <v>一级</v>
      </c>
      <c r="I57" s="837">
        <f>SUMIF(修正!A57:A68,H57,修正!B57:B68)</f>
        <v>0.7</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90">
        <v>0.25</v>
      </c>
      <c r="E58" s="613"/>
      <c r="F58" s="832" t="e">
        <f t="shared" si="15"/>
        <v>#DIV/0!</v>
      </c>
      <c r="G58" s="2749"/>
      <c r="H58" s="833" t="str">
        <f>项目基本情况!B37</f>
        <v>一级</v>
      </c>
      <c r="I58" s="837">
        <f>SUMIF(修正!A57:A68,H58,修正!C57:C68)</f>
        <v>0.4</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90">
        <v>0.25</v>
      </c>
      <c r="E59" s="613"/>
      <c r="F59" s="832" t="e">
        <f t="shared" si="15"/>
        <v>#DIV/0!</v>
      </c>
      <c r="G59" s="2749"/>
      <c r="H59" s="833" t="str">
        <f>项目基本情况!B37</f>
        <v>一级</v>
      </c>
      <c r="I59" s="837">
        <f>SUMIF(修正!A57:A68,H59,修正!D57:D68)</f>
        <v>0.3</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90">
        <v>0.25</v>
      </c>
      <c r="E60" s="208">
        <f>'数据-汇总表'!E11</f>
        <v>0</v>
      </c>
      <c r="F60" s="832" t="e">
        <f t="shared" si="15"/>
        <v>#DIV/0!</v>
      </c>
      <c r="G60" s="1834" t="s">
        <v>1896</v>
      </c>
      <c r="H60" s="833" t="str">
        <f>项目基本情况!C37</f>
        <v>一级</v>
      </c>
      <c r="I60" s="837">
        <f>SUMIF(修正!A57:A68,H60,修正!E57:E68)</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90">
        <v>0.25</v>
      </c>
      <c r="E61" s="208">
        <f>'数据-汇总表'!E12</f>
        <v>0</v>
      </c>
      <c r="F61" s="832" t="e">
        <f t="shared" si="15"/>
        <v>#DIV/0!</v>
      </c>
      <c r="G61" s="838" t="s">
        <v>1898</v>
      </c>
      <c r="H61" s="833" t="str">
        <f>IF(G61="商业",项目基本情况!B37,IF(G61="办公",项目基本情况!C37,IF(G61="住宅",项目基本情况!D37,项目基本情况!E37)))</f>
        <v>一级</v>
      </c>
      <c r="I61" s="837">
        <f>SUMIF(修正!A57:A68,H61,修正!F57:F68)</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90">
        <v>0.25</v>
      </c>
      <c r="E63" s="208">
        <f>'数据-汇总表'!E14</f>
        <v>0</v>
      </c>
      <c r="F63" s="832" t="e">
        <f t="shared" si="15"/>
        <v>#DIV/0!</v>
      </c>
      <c r="G63" s="1834" t="s">
        <v>1892</v>
      </c>
      <c r="H63" s="833" t="str">
        <f>项目基本情况!B37</f>
        <v>一级</v>
      </c>
      <c r="I63" s="837">
        <f>SUMIF(修正!A57:A68,H63,修正!G57:G68)</f>
        <v>0.2</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0.2</v>
      </c>
      <c r="D64" s="890">
        <v>0.25</v>
      </c>
      <c r="E64" s="208">
        <f>'数据-汇总表'!E15</f>
        <v>0</v>
      </c>
      <c r="F64" s="832" t="e">
        <f t="shared" si="15"/>
        <v>#DIV/0!</v>
      </c>
      <c r="G64" s="1835" t="s">
        <v>1896</v>
      </c>
      <c r="H64" s="843" t="str">
        <f>项目基本情况!C37</f>
        <v>一级</v>
      </c>
      <c r="I64" s="839">
        <f>SUMIF(修正!A57:A68,H64,修正!G57:G68)</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4967.6099999999997</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7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2" customFormat="1" ht="15">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2" customFormat="1" ht="15.75"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9" priority="13" stopIfTrue="1">
      <formula>$F$51="超过30%"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F7:F45 H7:H45 J7:J45">
    <cfRule type="cellIs" dxfId="26" priority="1" operator="notEqual">
      <formula>100</formula>
    </cfRule>
  </conditionalFormatting>
  <conditionalFormatting sqref="F47">
    <cfRule type="expression" dxfId="25" priority="4">
      <formula>$D$47="简单平均"</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H47">
    <cfRule type="expression" dxfId="20" priority="3">
      <formula>$D$47="简单平均"</formula>
    </cfRule>
  </conditionalFormatting>
  <conditionalFormatting sqref="I51">
    <cfRule type="expression" dxfId="19" priority="7" stopIfTrue="1">
      <formula>$J$51="超过30%"</formula>
    </cfRule>
  </conditionalFormatting>
  <conditionalFormatting sqref="I52">
    <cfRule type="expression" dxfId="18" priority="6" stopIfTrue="1">
      <formula>$J$52="超过20%"</formula>
    </cfRule>
  </conditionalFormatting>
  <conditionalFormatting sqref="I53">
    <cfRule type="expression" dxfId="17" priority="5" stopIfTrue="1">
      <formula>$J$53="超过30%"</formula>
    </cfRule>
  </conditionalFormatting>
  <conditionalFormatting sqref="J47">
    <cfRule type="expression" dxfId="1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429" t="s">
        <v>1770</v>
      </c>
      <c r="D4" s="3430"/>
      <c r="E4" s="3431" t="s">
        <v>1771</v>
      </c>
      <c r="F4" s="3432"/>
      <c r="G4" s="3429" t="s">
        <v>1772</v>
      </c>
      <c r="H4" s="3430"/>
      <c r="I4" s="3429" t="s">
        <v>1773</v>
      </c>
      <c r="J4" s="3430"/>
      <c r="K4" s="536" t="s">
        <v>1774</v>
      </c>
      <c r="L4" s="2484"/>
      <c r="M4" s="2485"/>
      <c r="N4" s="2485"/>
      <c r="O4" s="2485"/>
      <c r="P4" s="3484" t="s">
        <v>1775</v>
      </c>
      <c r="Q4" s="3485"/>
      <c r="R4" s="3480" t="s">
        <v>1771</v>
      </c>
      <c r="S4" s="3481"/>
      <c r="T4" s="3480" t="s">
        <v>1772</v>
      </c>
      <c r="U4" s="3481"/>
      <c r="V4" s="3442" t="s">
        <v>1773</v>
      </c>
      <c r="W4" s="3442"/>
      <c r="X4" s="1264"/>
      <c r="Y4" s="3480" t="s">
        <v>1775</v>
      </c>
      <c r="Z4" s="3481"/>
      <c r="AA4" s="3479" t="s">
        <v>1771</v>
      </c>
      <c r="AB4" s="3410" t="s">
        <v>1772</v>
      </c>
      <c r="AC4" s="3479" t="s">
        <v>1773</v>
      </c>
    </row>
    <row r="5" spans="1:29" ht="15">
      <c r="A5" s="347"/>
      <c r="B5" s="348"/>
      <c r="C5" s="3420" t="s">
        <v>1673</v>
      </c>
      <c r="D5" s="3419"/>
      <c r="E5" s="3482" t="s">
        <v>1674</v>
      </c>
      <c r="F5" s="3483"/>
      <c r="G5" s="3420" t="s">
        <v>1675</v>
      </c>
      <c r="H5" s="3419"/>
      <c r="I5" s="3420" t="s">
        <v>1676</v>
      </c>
      <c r="J5" s="3419"/>
      <c r="K5" s="536"/>
      <c r="L5" s="2484"/>
      <c r="M5" s="2485"/>
      <c r="N5" s="2485"/>
      <c r="O5" s="2485"/>
      <c r="P5" s="3486"/>
      <c r="Q5" s="3436"/>
      <c r="R5" s="3416"/>
      <c r="S5" s="3417"/>
      <c r="T5" s="3416"/>
      <c r="U5" s="3417"/>
      <c r="V5" s="3442"/>
      <c r="W5" s="3442"/>
      <c r="X5" s="1264"/>
      <c r="Y5" s="3416"/>
      <c r="Z5" s="3417"/>
      <c r="AA5" s="3410"/>
      <c r="AB5" s="3410"/>
      <c r="AC5" s="3410"/>
    </row>
    <row r="6" spans="1:29" ht="15.75" thickBot="1">
      <c r="A6" s="349"/>
      <c r="B6" s="350"/>
      <c r="C6" s="3496" t="s">
        <v>1919</v>
      </c>
      <c r="D6" s="3497"/>
      <c r="E6" s="3498" t="s">
        <v>1919</v>
      </c>
      <c r="F6" s="3499"/>
      <c r="G6" s="3496" t="s">
        <v>1919</v>
      </c>
      <c r="H6" s="3497"/>
      <c r="I6" s="3496" t="s">
        <v>1919</v>
      </c>
      <c r="J6" s="3497"/>
      <c r="K6" s="536" t="s">
        <v>1678</v>
      </c>
      <c r="L6" s="2484"/>
      <c r="M6" s="2485"/>
      <c r="N6" s="2485"/>
      <c r="O6" s="2485"/>
      <c r="P6" s="3487"/>
      <c r="Q6" s="3438"/>
      <c r="R6" s="3416"/>
      <c r="S6" s="3417"/>
      <c r="T6" s="3439"/>
      <c r="U6" s="3440"/>
      <c r="V6" s="3442"/>
      <c r="W6" s="3442"/>
      <c r="X6" s="1264"/>
      <c r="Y6" s="3439"/>
      <c r="Z6" s="3440"/>
      <c r="AA6" s="3411"/>
      <c r="AB6" s="3411"/>
      <c r="AC6" s="3411"/>
    </row>
    <row r="7" spans="1:29" s="102" customFormat="1" ht="15.75" thickBot="1">
      <c r="A7" s="351" t="s">
        <v>1679</v>
      </c>
      <c r="B7" s="352"/>
      <c r="C7" s="353">
        <f>'数据-取费表'!B2</f>
        <v>45762</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12" t="s">
        <v>1680</v>
      </c>
      <c r="Q7" s="3444"/>
      <c r="R7" s="663" t="s">
        <v>14</v>
      </c>
      <c r="S7" s="664">
        <f t="shared" ref="S7:S15" si="0">F7</f>
        <v>0</v>
      </c>
      <c r="T7" s="663" t="s">
        <v>14</v>
      </c>
      <c r="U7" s="664">
        <f t="shared" ref="U7:U15" si="1">H7</f>
        <v>0</v>
      </c>
      <c r="V7" s="663" t="s">
        <v>14</v>
      </c>
      <c r="W7" s="664">
        <f t="shared" ref="W7:W15" si="2">J7</f>
        <v>0</v>
      </c>
      <c r="X7" s="665"/>
      <c r="Y7" s="3412" t="s">
        <v>1680</v>
      </c>
      <c r="Z7" s="3413"/>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12" t="s">
        <v>1683</v>
      </c>
      <c r="Q8" s="3413"/>
      <c r="R8" s="663" t="s">
        <v>14</v>
      </c>
      <c r="S8" s="664">
        <f t="shared" si="0"/>
        <v>0</v>
      </c>
      <c r="T8" s="663" t="s">
        <v>14</v>
      </c>
      <c r="U8" s="664">
        <f t="shared" si="1"/>
        <v>0</v>
      </c>
      <c r="V8" s="663" t="s">
        <v>14</v>
      </c>
      <c r="W8" s="664">
        <f t="shared" si="2"/>
        <v>0</v>
      </c>
      <c r="X8" s="665"/>
      <c r="Y8" s="3412" t="s">
        <v>1683</v>
      </c>
      <c r="Z8" s="3413"/>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54" t="s">
        <v>1686</v>
      </c>
      <c r="Q9" s="529" t="str">
        <f t="shared" ref="Q9:Q15" si="6">B9</f>
        <v>用途</v>
      </c>
      <c r="R9" s="663" t="s">
        <v>14</v>
      </c>
      <c r="S9" s="664">
        <f t="shared" si="0"/>
        <v>100</v>
      </c>
      <c r="T9" s="663" t="s">
        <v>14</v>
      </c>
      <c r="U9" s="664">
        <f t="shared" si="1"/>
        <v>100</v>
      </c>
      <c r="V9" s="663" t="s">
        <v>14</v>
      </c>
      <c r="W9" s="664">
        <f t="shared" si="2"/>
        <v>100</v>
      </c>
      <c r="X9" s="665"/>
      <c r="Y9" s="335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155</v>
      </c>
      <c r="G10" s="370"/>
      <c r="H10" s="118">
        <f>ROUND(100/'数据-取费表'!G16,0)</f>
        <v>155</v>
      </c>
      <c r="I10" s="370"/>
      <c r="J10" s="118">
        <f>ROUND(100/'数据-取费表'!G16,0)</f>
        <v>155</v>
      </c>
      <c r="K10" s="591"/>
      <c r="L10" s="2487"/>
      <c r="M10" s="2488"/>
      <c r="N10" s="2488"/>
      <c r="O10" s="2539"/>
      <c r="P10" s="3454"/>
      <c r="Q10" s="529" t="str">
        <f t="shared" si="6"/>
        <v>土地使用年限（年）</v>
      </c>
      <c r="R10" s="663" t="s">
        <v>14</v>
      </c>
      <c r="S10" s="664">
        <f t="shared" si="0"/>
        <v>155</v>
      </c>
      <c r="T10" s="663" t="s">
        <v>14</v>
      </c>
      <c r="U10" s="664">
        <f t="shared" si="1"/>
        <v>155</v>
      </c>
      <c r="V10" s="663" t="s">
        <v>14</v>
      </c>
      <c r="W10" s="664">
        <f t="shared" si="2"/>
        <v>155</v>
      </c>
      <c r="X10" s="665"/>
      <c r="Y10" s="3358"/>
      <c r="Z10" s="50" t="str">
        <f t="shared" si="7"/>
        <v>土地使用年限（年）</v>
      </c>
      <c r="AA10" s="50">
        <f t="shared" si="3"/>
        <v>0.64516129032258063</v>
      </c>
      <c r="AB10" s="50">
        <f t="shared" si="4"/>
        <v>0.64516129032258063</v>
      </c>
      <c r="AC10" s="50">
        <f t="shared" si="5"/>
        <v>0.64516129032258063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54"/>
      <c r="Q11" s="529" t="str">
        <f t="shared" si="6"/>
        <v>容积率</v>
      </c>
      <c r="R11" s="663" t="s">
        <v>14</v>
      </c>
      <c r="S11" s="664" t="e">
        <f t="shared" si="0"/>
        <v>#N/A</v>
      </c>
      <c r="T11" s="663" t="s">
        <v>14</v>
      </c>
      <c r="U11" s="664" t="e">
        <f t="shared" si="1"/>
        <v>#N/A</v>
      </c>
      <c r="V11" s="663" t="s">
        <v>14</v>
      </c>
      <c r="W11" s="664" t="e">
        <f t="shared" si="2"/>
        <v>#N/A</v>
      </c>
      <c r="X11" s="665"/>
      <c r="Y11" s="3358"/>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454"/>
      <c r="Q12" s="529">
        <f t="shared" si="6"/>
        <v>111</v>
      </c>
      <c r="R12" s="663" t="s">
        <v>14</v>
      </c>
      <c r="S12" s="664">
        <f t="shared" si="0"/>
        <v>100</v>
      </c>
      <c r="T12" s="663" t="s">
        <v>14</v>
      </c>
      <c r="U12" s="664">
        <f t="shared" si="1"/>
        <v>100</v>
      </c>
      <c r="V12" s="663" t="s">
        <v>14</v>
      </c>
      <c r="W12" s="664">
        <f t="shared" si="2"/>
        <v>100</v>
      </c>
      <c r="X12" s="665"/>
      <c r="Y12" s="335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54"/>
      <c r="Q13" s="529">
        <f t="shared" si="6"/>
        <v>111</v>
      </c>
      <c r="R13" s="663" t="s">
        <v>14</v>
      </c>
      <c r="S13" s="664">
        <f t="shared" si="0"/>
        <v>100</v>
      </c>
      <c r="T13" s="663" t="s">
        <v>14</v>
      </c>
      <c r="U13" s="664">
        <f t="shared" si="1"/>
        <v>100</v>
      </c>
      <c r="V13" s="663" t="s">
        <v>14</v>
      </c>
      <c r="W13" s="664">
        <f t="shared" si="2"/>
        <v>100</v>
      </c>
      <c r="X13" s="665"/>
      <c r="Y13" s="3358"/>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54"/>
      <c r="Q14" s="529">
        <f t="shared" si="6"/>
        <v>111</v>
      </c>
      <c r="R14" s="663" t="s">
        <v>14</v>
      </c>
      <c r="S14" s="664">
        <f t="shared" si="0"/>
        <v>100</v>
      </c>
      <c r="T14" s="663" t="s">
        <v>14</v>
      </c>
      <c r="U14" s="664">
        <f t="shared" si="1"/>
        <v>100</v>
      </c>
      <c r="V14" s="663" t="s">
        <v>14</v>
      </c>
      <c r="W14" s="664">
        <f t="shared" si="2"/>
        <v>100</v>
      </c>
      <c r="X14" s="665"/>
      <c r="Y14" s="3358"/>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47" t="s">
        <v>1691</v>
      </c>
      <c r="Q15" s="1262" t="str">
        <f t="shared" si="6"/>
        <v>产业集聚程度</v>
      </c>
      <c r="R15" s="666" t="s">
        <v>14</v>
      </c>
      <c r="S15" s="667">
        <f t="shared" si="0"/>
        <v>100</v>
      </c>
      <c r="T15" s="666" t="s">
        <v>14</v>
      </c>
      <c r="U15" s="667">
        <f t="shared" si="1"/>
        <v>100</v>
      </c>
      <c r="V15" s="666" t="s">
        <v>14</v>
      </c>
      <c r="W15" s="667">
        <f t="shared" si="2"/>
        <v>100</v>
      </c>
      <c r="X15" s="1264"/>
      <c r="Y15" s="344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448"/>
      <c r="Q16" s="1262"/>
      <c r="R16" s="666"/>
      <c r="S16" s="667"/>
      <c r="T16" s="666"/>
      <c r="U16" s="667"/>
      <c r="V16" s="666"/>
      <c r="W16" s="667"/>
      <c r="X16" s="1264"/>
      <c r="Y16" s="3448"/>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48"/>
      <c r="Q17" s="1262" t="str">
        <f>B17</f>
        <v>交通便捷度</v>
      </c>
      <c r="R17" s="666" t="s">
        <v>14</v>
      </c>
      <c r="S17" s="667">
        <f>F17</f>
        <v>100</v>
      </c>
      <c r="T17" s="666" t="s">
        <v>14</v>
      </c>
      <c r="U17" s="667">
        <f>H17</f>
        <v>100</v>
      </c>
      <c r="V17" s="666" t="s">
        <v>14</v>
      </c>
      <c r="W17" s="667">
        <f>J17</f>
        <v>100</v>
      </c>
      <c r="X17" s="1264"/>
      <c r="Y17" s="344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448"/>
      <c r="Q18" s="1262"/>
      <c r="R18" s="666"/>
      <c r="S18" s="667"/>
      <c r="T18" s="666"/>
      <c r="U18" s="667"/>
      <c r="V18" s="666"/>
      <c r="W18" s="667"/>
      <c r="X18" s="1264"/>
      <c r="Y18" s="3448"/>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48"/>
      <c r="Q19" s="1262" t="str">
        <f t="shared" ref="Q19:Q33" si="8">B19</f>
        <v>区域土地利用方向</v>
      </c>
      <c r="R19" s="666" t="s">
        <v>14</v>
      </c>
      <c r="S19" s="667">
        <f>F19</f>
        <v>100</v>
      </c>
      <c r="T19" s="666" t="s">
        <v>14</v>
      </c>
      <c r="U19" s="667">
        <f>H19</f>
        <v>100</v>
      </c>
      <c r="V19" s="666" t="s">
        <v>14</v>
      </c>
      <c r="W19" s="667">
        <f>J19</f>
        <v>100</v>
      </c>
      <c r="X19" s="1264"/>
      <c r="Y19" s="344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448"/>
      <c r="Q20" s="1262"/>
      <c r="R20" s="666"/>
      <c r="S20" s="667"/>
      <c r="T20" s="666"/>
      <c r="U20" s="667"/>
      <c r="V20" s="666"/>
      <c r="W20" s="667"/>
      <c r="X20" s="1264"/>
      <c r="Y20" s="3448"/>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48"/>
      <c r="Q21" s="1262" t="str">
        <f t="shared" si="8"/>
        <v>环境状况</v>
      </c>
      <c r="R21" s="666" t="s">
        <v>14</v>
      </c>
      <c r="S21" s="667">
        <f>F21</f>
        <v>100</v>
      </c>
      <c r="T21" s="666" t="s">
        <v>14</v>
      </c>
      <c r="U21" s="667">
        <f>H21</f>
        <v>100</v>
      </c>
      <c r="V21" s="666" t="s">
        <v>14</v>
      </c>
      <c r="W21" s="667">
        <f>J21</f>
        <v>100</v>
      </c>
      <c r="X21" s="1264"/>
      <c r="Y21" s="344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448"/>
      <c r="Q22" s="1262"/>
      <c r="R22" s="666"/>
      <c r="S22" s="667"/>
      <c r="T22" s="666"/>
      <c r="U22" s="667"/>
      <c r="V22" s="666"/>
      <c r="W22" s="667"/>
      <c r="X22" s="1264"/>
      <c r="Y22" s="3448"/>
      <c r="Z22" s="1263"/>
      <c r="AA22" s="1263">
        <v>1</v>
      </c>
      <c r="AB22" s="1263">
        <v>1</v>
      </c>
      <c r="AC22" s="1263">
        <v>1</v>
      </c>
    </row>
    <row r="23" spans="1:29" s="102"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448"/>
      <c r="Q23" s="529" t="str">
        <f t="shared" si="8"/>
        <v>公共配套设施</v>
      </c>
      <c r="R23" s="663" t="s">
        <v>14</v>
      </c>
      <c r="S23" s="664">
        <f>F23</f>
        <v>100</v>
      </c>
      <c r="T23" s="663" t="s">
        <v>14</v>
      </c>
      <c r="U23" s="664">
        <f>H23</f>
        <v>100</v>
      </c>
      <c r="V23" s="663" t="s">
        <v>14</v>
      </c>
      <c r="W23" s="664">
        <f>J23</f>
        <v>100</v>
      </c>
      <c r="X23" s="665"/>
      <c r="Y23" s="3448"/>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6"/>
      <c r="M24" s="2438"/>
      <c r="N24" s="2438"/>
      <c r="O24" s="2538"/>
      <c r="P24" s="3448"/>
      <c r="Q24" s="529"/>
      <c r="R24" s="663"/>
      <c r="S24" s="664"/>
      <c r="T24" s="663"/>
      <c r="U24" s="664"/>
      <c r="V24" s="663"/>
      <c r="W24" s="664"/>
      <c r="X24" s="665"/>
      <c r="Y24" s="3448"/>
      <c r="Z24" s="50"/>
      <c r="AA24" s="50">
        <v>1</v>
      </c>
      <c r="AB24" s="50">
        <v>1</v>
      </c>
      <c r="AC24" s="50">
        <v>1</v>
      </c>
    </row>
    <row r="25" spans="1:29" s="102"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448"/>
      <c r="Q25" s="529" t="str">
        <f t="shared" ref="Q25" si="9">B25</f>
        <v>基础设施水平</v>
      </c>
      <c r="R25" s="663" t="s">
        <v>14</v>
      </c>
      <c r="S25" s="664">
        <f>F25</f>
        <v>100</v>
      </c>
      <c r="T25" s="663" t="s">
        <v>14</v>
      </c>
      <c r="U25" s="664">
        <f>H25</f>
        <v>100</v>
      </c>
      <c r="V25" s="663" t="s">
        <v>14</v>
      </c>
      <c r="W25" s="664">
        <f>J25</f>
        <v>100</v>
      </c>
      <c r="X25" s="665"/>
      <c r="Y25" s="3448"/>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6"/>
      <c r="M26" s="2438"/>
      <c r="N26" s="2438"/>
      <c r="O26" s="2538"/>
      <c r="P26" s="3448"/>
      <c r="Q26" s="529"/>
      <c r="R26" s="663"/>
      <c r="S26" s="664"/>
      <c r="T26" s="663"/>
      <c r="U26" s="664"/>
      <c r="V26" s="663"/>
      <c r="W26" s="664"/>
      <c r="X26" s="665"/>
      <c r="Y26" s="344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4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8"/>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48"/>
      <c r="Q28" s="1262" t="str">
        <f t="shared" si="8"/>
        <v>毗邻道路的类型与等级</v>
      </c>
      <c r="R28" s="666" t="s">
        <v>14</v>
      </c>
      <c r="S28" s="667">
        <f t="shared" si="10"/>
        <v>100</v>
      </c>
      <c r="T28" s="666" t="s">
        <v>14</v>
      </c>
      <c r="U28" s="667">
        <f t="shared" si="11"/>
        <v>100</v>
      </c>
      <c r="V28" s="666" t="s">
        <v>14</v>
      </c>
      <c r="W28" s="667">
        <f t="shared" si="12"/>
        <v>100</v>
      </c>
      <c r="X28" s="1264"/>
      <c r="Y28" s="344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448"/>
      <c r="Q29" s="1262"/>
      <c r="R29" s="666"/>
      <c r="S29" s="667"/>
      <c r="T29" s="666"/>
      <c r="U29" s="667"/>
      <c r="V29" s="666"/>
      <c r="W29" s="667"/>
      <c r="X29" s="1264"/>
      <c r="Y29" s="344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48"/>
      <c r="Q30" s="1262" t="str">
        <f t="shared" si="8"/>
        <v>土地级别</v>
      </c>
      <c r="R30" s="666" t="s">
        <v>14</v>
      </c>
      <c r="S30" s="667">
        <f t="shared" si="10"/>
        <v>100</v>
      </c>
      <c r="T30" s="666" t="s">
        <v>14</v>
      </c>
      <c r="U30" s="667">
        <f t="shared" si="11"/>
        <v>100</v>
      </c>
      <c r="V30" s="666" t="s">
        <v>14</v>
      </c>
      <c r="W30" s="667">
        <f t="shared" si="12"/>
        <v>100</v>
      </c>
      <c r="X30" s="1264"/>
      <c r="Y30" s="344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48"/>
      <c r="Q31" s="1262">
        <f t="shared" si="8"/>
        <v>111</v>
      </c>
      <c r="R31" s="666" t="s">
        <v>14</v>
      </c>
      <c r="S31" s="667">
        <f t="shared" si="10"/>
        <v>100</v>
      </c>
      <c r="T31" s="666" t="s">
        <v>14</v>
      </c>
      <c r="U31" s="667">
        <f t="shared" si="11"/>
        <v>100</v>
      </c>
      <c r="V31" s="666" t="s">
        <v>14</v>
      </c>
      <c r="W31" s="667">
        <f t="shared" si="12"/>
        <v>100</v>
      </c>
      <c r="X31" s="1264"/>
      <c r="Y31" s="344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91" t="s">
        <v>1696</v>
      </c>
      <c r="Q32" s="1262">
        <f t="shared" si="8"/>
        <v>111</v>
      </c>
      <c r="R32" s="666" t="s">
        <v>14</v>
      </c>
      <c r="S32" s="667">
        <f t="shared" si="10"/>
        <v>100</v>
      </c>
      <c r="T32" s="666" t="s">
        <v>14</v>
      </c>
      <c r="U32" s="667">
        <f t="shared" si="11"/>
        <v>100</v>
      </c>
      <c r="V32" s="666" t="s">
        <v>14</v>
      </c>
      <c r="W32" s="667">
        <f t="shared" si="12"/>
        <v>100</v>
      </c>
      <c r="X32" s="1264"/>
      <c r="Y32" s="3452"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52"/>
      <c r="Q33" s="1262">
        <f t="shared" si="8"/>
        <v>111</v>
      </c>
      <c r="R33" s="668" t="s">
        <v>14</v>
      </c>
      <c r="S33" s="669">
        <f t="shared" si="10"/>
        <v>100</v>
      </c>
      <c r="T33" s="668" t="s">
        <v>14</v>
      </c>
      <c r="U33" s="669">
        <f t="shared" si="11"/>
        <v>100</v>
      </c>
      <c r="V33" s="668" t="s">
        <v>14</v>
      </c>
      <c r="W33" s="669">
        <f t="shared" si="12"/>
        <v>100</v>
      </c>
      <c r="X33" s="670"/>
      <c r="Y33" s="345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52"/>
      <c r="Q34" s="1262" t="str">
        <f>B34</f>
        <v>宗地面积</v>
      </c>
      <c r="R34" s="666" t="s">
        <v>14</v>
      </c>
      <c r="S34" s="667" t="e">
        <f t="shared" si="10"/>
        <v>#N/A</v>
      </c>
      <c r="T34" s="666" t="s">
        <v>14</v>
      </c>
      <c r="U34" s="667" t="e">
        <f t="shared" si="11"/>
        <v>#N/A</v>
      </c>
      <c r="V34" s="666" t="s">
        <v>14</v>
      </c>
      <c r="W34" s="667" t="e">
        <f t="shared" si="12"/>
        <v>#N/A</v>
      </c>
      <c r="X34" s="1264"/>
      <c r="Y34" s="345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52"/>
      <c r="Q35" s="1262" t="str">
        <f t="shared" ref="Q35:Q40" si="14">B35</f>
        <v>宗地形状</v>
      </c>
      <c r="R35" s="666" t="s">
        <v>14</v>
      </c>
      <c r="S35" s="667">
        <f t="shared" si="10"/>
        <v>100</v>
      </c>
      <c r="T35" s="666" t="s">
        <v>14</v>
      </c>
      <c r="U35" s="667">
        <f t="shared" si="11"/>
        <v>100</v>
      </c>
      <c r="V35" s="666" t="s">
        <v>14</v>
      </c>
      <c r="W35" s="667">
        <f t="shared" si="12"/>
        <v>100</v>
      </c>
      <c r="X35" s="1264"/>
      <c r="Y35" s="3452"/>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52"/>
      <c r="Q36" s="1262" t="str">
        <f t="shared" si="14"/>
        <v>宗地开发程度</v>
      </c>
      <c r="R36" s="663" t="s">
        <v>14</v>
      </c>
      <c r="S36" s="664">
        <f t="shared" si="10"/>
        <v>100</v>
      </c>
      <c r="T36" s="663" t="s">
        <v>14</v>
      </c>
      <c r="U36" s="664">
        <f t="shared" si="11"/>
        <v>100</v>
      </c>
      <c r="V36" s="663" t="s">
        <v>14</v>
      </c>
      <c r="W36" s="664">
        <f t="shared" si="12"/>
        <v>100</v>
      </c>
      <c r="X36" s="665"/>
      <c r="Y36" s="345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52" t="s">
        <v>1696</v>
      </c>
      <c r="Q37" s="1262" t="str">
        <f t="shared" si="14"/>
        <v>工程地质条件</v>
      </c>
      <c r="R37" s="666" t="s">
        <v>14</v>
      </c>
      <c r="S37" s="667">
        <f t="shared" si="10"/>
        <v>100</v>
      </c>
      <c r="T37" s="666" t="s">
        <v>14</v>
      </c>
      <c r="U37" s="667">
        <f t="shared" si="11"/>
        <v>100</v>
      </c>
      <c r="V37" s="666" t="s">
        <v>14</v>
      </c>
      <c r="W37" s="667">
        <f t="shared" si="12"/>
        <v>100</v>
      </c>
      <c r="X37" s="1264"/>
      <c r="Y37" s="345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52"/>
      <c r="Q38" s="1262">
        <f t="shared" si="14"/>
        <v>111</v>
      </c>
      <c r="R38" s="666" t="s">
        <v>14</v>
      </c>
      <c r="S38" s="667">
        <f t="shared" si="10"/>
        <v>100</v>
      </c>
      <c r="T38" s="666" t="s">
        <v>14</v>
      </c>
      <c r="U38" s="667">
        <f t="shared" si="11"/>
        <v>100</v>
      </c>
      <c r="V38" s="666" t="s">
        <v>14</v>
      </c>
      <c r="W38" s="667">
        <f t="shared" si="12"/>
        <v>100</v>
      </c>
      <c r="X38" s="1264"/>
      <c r="Y38" s="345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52"/>
      <c r="Q39" s="1262">
        <f t="shared" si="14"/>
        <v>111</v>
      </c>
      <c r="R39" s="666" t="s">
        <v>14</v>
      </c>
      <c r="S39" s="667">
        <f t="shared" si="10"/>
        <v>100</v>
      </c>
      <c r="T39" s="666" t="s">
        <v>14</v>
      </c>
      <c r="U39" s="667">
        <f t="shared" si="11"/>
        <v>100</v>
      </c>
      <c r="V39" s="666" t="s">
        <v>14</v>
      </c>
      <c r="W39" s="667">
        <f t="shared" si="12"/>
        <v>100</v>
      </c>
      <c r="X39" s="1264"/>
      <c r="Y39" s="3452"/>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52"/>
      <c r="Q40" s="1262">
        <f t="shared" si="14"/>
        <v>111</v>
      </c>
      <c r="R40" s="668" t="s">
        <v>14</v>
      </c>
      <c r="S40" s="669">
        <f t="shared" si="10"/>
        <v>100</v>
      </c>
      <c r="T40" s="668" t="s">
        <v>14</v>
      </c>
      <c r="U40" s="669">
        <f t="shared" si="11"/>
        <v>100</v>
      </c>
      <c r="V40" s="668" t="s">
        <v>14</v>
      </c>
      <c r="W40" s="669">
        <f t="shared" si="12"/>
        <v>100</v>
      </c>
      <c r="X40" s="670"/>
      <c r="Y40" s="3452"/>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2"/>
      <c r="M41" s="2485"/>
      <c r="N41" s="2485"/>
      <c r="O41" s="2485"/>
      <c r="P41" s="3454" t="str">
        <f>A41</f>
        <v>成交单价</v>
      </c>
      <c r="Q41" s="3454"/>
      <c r="R41" s="3442">
        <f>E41</f>
        <v>0</v>
      </c>
      <c r="S41" s="3442"/>
      <c r="T41" s="3442">
        <f>G41</f>
        <v>0</v>
      </c>
      <c r="U41" s="3442"/>
      <c r="V41" s="3442">
        <f>I41</f>
        <v>0</v>
      </c>
      <c r="W41" s="3442"/>
      <c r="X41" s="384"/>
      <c r="Y41" s="672"/>
      <c r="Z41" s="384"/>
      <c r="AA41" s="384"/>
      <c r="AB41" s="384"/>
      <c r="AC41" s="384"/>
    </row>
    <row r="42" spans="1:31" ht="15.75" thickBot="1">
      <c r="A42" s="422" t="s">
        <v>1793</v>
      </c>
      <c r="B42" s="602"/>
      <c r="C42" s="425" t="e">
        <f>R43</f>
        <v>#DIV/0!</v>
      </c>
      <c r="D42" s="2140" t="s">
        <v>2137</v>
      </c>
      <c r="E42" s="425" t="e">
        <f>R42</f>
        <v>#DIV/0!</v>
      </c>
      <c r="F42" s="2141"/>
      <c r="G42" s="424" t="e">
        <f>T42</f>
        <v>#DIV/0!</v>
      </c>
      <c r="H42" s="2141"/>
      <c r="I42" s="425" t="e">
        <f>V42</f>
        <v>#DIV/0!</v>
      </c>
      <c r="J42" s="2141"/>
      <c r="K42" s="2143">
        <f>F42+H42+J42</f>
        <v>0</v>
      </c>
      <c r="L42" s="2492"/>
      <c r="M42" s="2485"/>
      <c r="N42" s="2485"/>
      <c r="O42" s="2485"/>
      <c r="P42" s="3454" t="str">
        <f>A42</f>
        <v>比较价值（元/平方米）</v>
      </c>
      <c r="Q42" s="3454"/>
      <c r="R42" s="3493" t="e">
        <f>ROUND(PRODUCT(R41,AA7:AA40),0)</f>
        <v>#DIV/0!</v>
      </c>
      <c r="S42" s="3493"/>
      <c r="T42" s="3493" t="e">
        <f>ROUND(PRODUCT(T41,AB7:AB40),0)</f>
        <v>#DIV/0!</v>
      </c>
      <c r="U42" s="3493"/>
      <c r="V42" s="3493" t="e">
        <f>ROUND(PRODUCT(V41,AC7:AC40),0)</f>
        <v>#DIV/0!</v>
      </c>
      <c r="W42" s="349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488" t="str">
        <f>A43</f>
        <v>估价对象XX用房的比较价值（楼面单价，元/平方米）</v>
      </c>
      <c r="Q43" s="3489"/>
      <c r="R43" s="3494" t="e">
        <f>ROUND(IF(D42="简单平均",AVERAGE(R42:W42),R42*F42+T42*H42+V42*J42),0)</f>
        <v>#DIV/0!</v>
      </c>
      <c r="S43" s="3494"/>
      <c r="T43" s="3494"/>
      <c r="U43" s="3494"/>
      <c r="V43" s="3494"/>
      <c r="W43" s="3494"/>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30" t="s">
        <v>1883</v>
      </c>
      <c r="D50" s="1831" t="s">
        <v>1884</v>
      </c>
      <c r="E50" s="605" t="s">
        <v>1885</v>
      </c>
      <c r="F50" s="606" t="s">
        <v>1886</v>
      </c>
      <c r="G50" s="3429" t="s">
        <v>1887</v>
      </c>
      <c r="H50" s="3495"/>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4967.6099999999997</v>
      </c>
      <c r="F51" s="610" t="e">
        <f t="shared" ref="F51:F60" si="15">ROUND(B51*E51/10000,0)</f>
        <v>#DIV/0!</v>
      </c>
      <c r="G51" s="3425"/>
      <c r="H51" s="3454"/>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90">
        <v>0.25</v>
      </c>
      <c r="E52" s="613"/>
      <c r="F52" s="610" t="e">
        <f t="shared" si="15"/>
        <v>#DIV/0!</v>
      </c>
      <c r="G52" s="2748" t="s">
        <v>1892</v>
      </c>
      <c r="H52" s="833" t="str">
        <f>项目基本情况!B37</f>
        <v>一级</v>
      </c>
      <c r="I52" s="726">
        <f>SUMIF(修正!A57:A68,H52,修正!B57:B68)</f>
        <v>0.7</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90">
        <v>0.25</v>
      </c>
      <c r="E53" s="613"/>
      <c r="F53" s="610" t="e">
        <f t="shared" si="15"/>
        <v>#DIV/0!</v>
      </c>
      <c r="G53" s="2749"/>
      <c r="H53" s="833" t="str">
        <f>项目基本情况!B37</f>
        <v>一级</v>
      </c>
      <c r="I53" s="726">
        <f>SUMIF(修正!A57:A68,H53,修正!C57:C68)</f>
        <v>0.4</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90">
        <v>0.25</v>
      </c>
      <c r="E54" s="613"/>
      <c r="F54" s="610" t="e">
        <f t="shared" si="15"/>
        <v>#DIV/0!</v>
      </c>
      <c r="G54" s="2749"/>
      <c r="H54" s="833" t="str">
        <f>项目基本情况!B37</f>
        <v>一级</v>
      </c>
      <c r="I54" s="726">
        <f>SUMIF(修正!A57:A68,H54,修正!D57:D68)</f>
        <v>0.3</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90">
        <v>0.25</v>
      </c>
      <c r="E56" s="208">
        <f>'数据-汇总表'!E11</f>
        <v>0</v>
      </c>
      <c r="F56" s="610" t="e">
        <f t="shared" si="15"/>
        <v>#DIV/0!</v>
      </c>
      <c r="G56" s="1834" t="s">
        <v>1896</v>
      </c>
      <c r="H56" s="833" t="str">
        <f>项目基本情况!C37</f>
        <v>一级</v>
      </c>
      <c r="I56" s="726">
        <f>SUMIF(修正!A57:A68,H56,修正!E57:E68)</f>
        <v>0.3</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90">
        <v>0.25</v>
      </c>
      <c r="E57" s="208">
        <f>'数据-汇总表'!E12</f>
        <v>0</v>
      </c>
      <c r="F57" s="610" t="e">
        <f t="shared" si="15"/>
        <v>#DIV/0!</v>
      </c>
      <c r="G57" s="838" t="s">
        <v>1898</v>
      </c>
      <c r="H57" s="833" t="str">
        <f>IF(G57="商业",项目基本情况!B37,IF(G57="办公",项目基本情况!C37,IF(G57="住宅",项目基本情况!D37,项目基本情况!E37)))</f>
        <v>一级</v>
      </c>
      <c r="I57" s="726">
        <f>SUMIF(修正!A57:A68,H57,修正!F57:F68)</f>
        <v>0.3</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90">
        <v>0.25</v>
      </c>
      <c r="E59" s="208">
        <f>'数据-汇总表'!E14</f>
        <v>0</v>
      </c>
      <c r="F59" s="610" t="e">
        <f t="shared" si="15"/>
        <v>#DIV/0!</v>
      </c>
      <c r="G59" s="1834" t="s">
        <v>1892</v>
      </c>
      <c r="H59" s="833" t="str">
        <f>项目基本情况!B37</f>
        <v>一级</v>
      </c>
      <c r="I59" s="726">
        <f>SUMIF(修正!A57:A68,H59,修正!G57:G68)</f>
        <v>0.2</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0.2</v>
      </c>
      <c r="D60" s="890">
        <v>0.25</v>
      </c>
      <c r="E60" s="208">
        <f>'数据-汇总表'!E15</f>
        <v>0</v>
      </c>
      <c r="F60" s="610" t="e">
        <f t="shared" si="15"/>
        <v>#DIV/0!</v>
      </c>
      <c r="G60" s="1835" t="s">
        <v>1896</v>
      </c>
      <c r="H60" s="843" t="str">
        <f>项目基本情况!C37</f>
        <v>一级</v>
      </c>
      <c r="I60" s="726">
        <f>SUMIF(修正!A57:A68,H60,修正!G57:G68)</f>
        <v>0.2</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2" customFormat="1" ht="15">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5" priority="13" stopIfTrue="1">
      <formula>$F$46="超过30%"</formula>
    </cfRule>
  </conditionalFormatting>
  <conditionalFormatting sqref="E47">
    <cfRule type="expression" dxfId="14" priority="53" stopIfTrue="1">
      <formula>#REF!+$F$47="超过20%"</formula>
    </cfRule>
  </conditionalFormatting>
  <conditionalFormatting sqref="E48">
    <cfRule type="expression" dxfId="13" priority="10"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J46:J48">
    <cfRule type="containsText" dxfId="10" priority="14" stopIfTrue="1" operator="containsText" text="超过">
      <formula>NOT(ISERROR(SEARCH("超过",F46)))</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G48">
    <cfRule type="expression" dxfId="7" priority="12"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503" t="s">
        <v>2084</v>
      </c>
      <c r="D1" s="3504"/>
      <c r="E1" s="3504"/>
      <c r="F1" s="3504"/>
      <c r="G1" s="3504"/>
      <c r="H1" s="3504"/>
      <c r="I1" s="3504"/>
      <c r="J1" s="3504"/>
      <c r="K1" s="3504"/>
      <c r="L1" s="3504"/>
      <c r="M1" s="3504"/>
      <c r="N1" s="3504"/>
      <c r="O1" s="3504"/>
      <c r="P1" s="3504"/>
      <c r="Q1" s="3504"/>
      <c r="R1" s="3504"/>
      <c r="S1" s="3505"/>
      <c r="T1" s="928" t="s">
        <v>2085</v>
      </c>
    </row>
    <row r="2" spans="1:45" s="624" customFormat="1" ht="38.25">
      <c r="A2" s="929"/>
      <c r="B2" s="621" t="s">
        <v>2086</v>
      </c>
      <c r="C2" s="14" t="str">
        <f t="shared" ref="C2:L2" si="0">C3&amp;"(含)"&amp;"-"&amp;D3</f>
        <v>0(含)-300</v>
      </c>
      <c r="D2" s="622" t="str">
        <f t="shared" si="0"/>
        <v>300(含)-500</v>
      </c>
      <c r="E2" s="622" t="str">
        <f t="shared" si="0"/>
        <v>500(含)-800</v>
      </c>
      <c r="F2" s="622" t="str">
        <f t="shared" si="0"/>
        <v>800(含)-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300</v>
      </c>
      <c r="E3" s="627">
        <v>500</v>
      </c>
      <c r="F3" s="1219">
        <v>800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98</v>
      </c>
      <c r="D4" s="935">
        <v>100</v>
      </c>
      <c r="E4" s="935">
        <v>98</v>
      </c>
      <c r="F4" s="1223">
        <v>96</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f ca="1">IF(D20="——",S22,S22-F20)</f>
        <v>14034</v>
      </c>
      <c r="C20" s="150"/>
      <c r="D20" s="1988" t="s">
        <v>43</v>
      </c>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f ca="1">ROUND(B20*10000/B22,0)</f>
        <v>28251</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4967.6099999999997</v>
      </c>
      <c r="C22" s="3500" t="s">
        <v>27</v>
      </c>
      <c r="D22" s="3501"/>
      <c r="E22" s="3501"/>
      <c r="F22" s="3501"/>
      <c r="G22" s="3501"/>
      <c r="H22" s="3501"/>
      <c r="I22" s="3501"/>
      <c r="J22" s="3501"/>
      <c r="K22" s="3501"/>
      <c r="L22" s="3501"/>
      <c r="M22" s="3501"/>
      <c r="N22" s="3501"/>
      <c r="O22" s="3501"/>
      <c r="P22" s="3501"/>
      <c r="Q22" s="3502"/>
      <c r="R22" s="21">
        <f ca="1">ROUND(S22*10000/B22,0)</f>
        <v>28251</v>
      </c>
      <c r="S22" s="21">
        <f ca="1">SUM(S24:S10000)</f>
        <v>14034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802</v>
      </c>
      <c r="B24" s="632">
        <f>'数据-基础表'!I13</f>
        <v>185.19</v>
      </c>
      <c r="C24" s="2568">
        <v>1</v>
      </c>
      <c r="D24" s="2569"/>
      <c r="E24" s="2568">
        <v>1</v>
      </c>
      <c r="F24" s="2569"/>
      <c r="G24" s="2568">
        <v>1</v>
      </c>
      <c r="H24" s="2569"/>
      <c r="I24" s="2568">
        <v>1</v>
      </c>
      <c r="J24" s="2569"/>
      <c r="K24" s="2568">
        <v>1</v>
      </c>
      <c r="L24" s="2569"/>
      <c r="M24" s="2568">
        <v>1</v>
      </c>
      <c r="N24" s="2569"/>
      <c r="O24" s="2568">
        <v>1</v>
      </c>
      <c r="P24" s="2569"/>
      <c r="Q24" s="2568">
        <v>1</v>
      </c>
      <c r="R24" s="632">
        <f ca="1">结果表!G20</f>
        <v>28473</v>
      </c>
      <c r="S24" s="633">
        <f t="shared" ref="S24:S54" ca="1" si="11">ROUND(R24*B24/10000,0)</f>
        <v>527</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902</v>
      </c>
      <c r="B25" s="632">
        <f>'数据-基础表'!I14</f>
        <v>185.19</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28473</v>
      </c>
      <c r="S25" s="307">
        <f t="shared" ca="1" si="11"/>
        <v>527</v>
      </c>
    </row>
    <row r="26" spans="1:45">
      <c r="A26" s="632">
        <f>'数据-基础表'!C15</f>
        <v>1002</v>
      </c>
      <c r="B26" s="632">
        <f>'数据-基础表'!I15</f>
        <v>185.19</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28473</v>
      </c>
      <c r="S26" s="307">
        <f t="shared" ca="1" si="11"/>
        <v>527</v>
      </c>
    </row>
    <row r="27" spans="1:45">
      <c r="A27" s="632">
        <f>'数据-基础表'!C16</f>
        <v>1602</v>
      </c>
      <c r="B27" s="632">
        <f>'数据-基础表'!I16</f>
        <v>410.04</v>
      </c>
      <c r="C27" s="21">
        <f t="shared" si="12"/>
        <v>1.02</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29042</v>
      </c>
      <c r="S27" s="307">
        <f t="shared" ca="1" si="11"/>
        <v>1191</v>
      </c>
    </row>
    <row r="28" spans="1:45">
      <c r="A28" s="632">
        <f>'数据-基础表'!C17</f>
        <v>1702</v>
      </c>
      <c r="B28" s="632">
        <f>'数据-基础表'!I17</f>
        <v>410.04</v>
      </c>
      <c r="C28" s="21">
        <f t="shared" si="12"/>
        <v>1.02</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ca="1" si="20"/>
        <v>29042</v>
      </c>
      <c r="S28" s="307">
        <f t="shared" ca="1" si="11"/>
        <v>1191</v>
      </c>
    </row>
    <row r="29" spans="1:45">
      <c r="A29" s="632">
        <f>'数据-基础表'!C18</f>
        <v>1801</v>
      </c>
      <c r="B29" s="632">
        <f>'数据-基础表'!I18</f>
        <v>953.48</v>
      </c>
      <c r="C29" s="21">
        <f t="shared" si="12"/>
        <v>0.98</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ca="1" si="20"/>
        <v>27904</v>
      </c>
      <c r="S29" s="307">
        <f t="shared" ca="1" si="11"/>
        <v>2661</v>
      </c>
    </row>
    <row r="30" spans="1:45">
      <c r="A30" s="632">
        <f>'数据-基础表'!C19</f>
        <v>502</v>
      </c>
      <c r="B30" s="632">
        <f>'数据-基础表'!I19</f>
        <v>1801.86</v>
      </c>
      <c r="C30" s="21">
        <f t="shared" si="12"/>
        <v>0.98</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ca="1" si="20"/>
        <v>27904</v>
      </c>
      <c r="S30" s="307">
        <f t="shared" ca="1" si="11"/>
        <v>5028</v>
      </c>
    </row>
    <row r="31" spans="1:45">
      <c r="A31" s="632">
        <f>'数据-基础表'!C20</f>
        <v>503</v>
      </c>
      <c r="B31" s="632">
        <f>'数据-基础表'!I20</f>
        <v>279.99</v>
      </c>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ca="1" si="20"/>
        <v>28473</v>
      </c>
      <c r="S31" s="307">
        <f t="shared" ca="1" si="11"/>
        <v>797</v>
      </c>
    </row>
    <row r="32" spans="1:45">
      <c r="A32" s="632">
        <f>'数据-基础表'!C21</f>
        <v>504</v>
      </c>
      <c r="B32" s="632">
        <f>'数据-基础表'!I21</f>
        <v>556.63</v>
      </c>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ca="1" si="20"/>
        <v>28473</v>
      </c>
      <c r="S32" s="307">
        <f t="shared" ca="1" si="11"/>
        <v>1585</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f ca="1">SUMIF(B6:B13,"&lt;&gt;#ref!",B6:B13)</f>
        <v>9319</v>
      </c>
      <c r="C2" s="1983" t="s">
        <v>2074</v>
      </c>
      <c r="D2" s="1983" t="s">
        <v>2075</v>
      </c>
      <c r="E2" s="2396">
        <f ca="1">SUMIF(E6:E13,"&lt;&gt;#ref!",E6:E13)</f>
        <v>0</v>
      </c>
      <c r="F2" s="2542"/>
      <c r="G2" s="2542"/>
      <c r="H2" s="2542"/>
      <c r="I2" s="2542"/>
      <c r="J2" s="2542"/>
      <c r="K2" s="2542"/>
      <c r="L2" s="2542"/>
      <c r="M2" s="2542"/>
      <c r="N2" s="2542"/>
      <c r="O2" s="2542"/>
      <c r="P2" s="2542"/>
    </row>
    <row r="3" spans="1:16" ht="15.75">
      <c r="A3" s="1983" t="s">
        <v>2076</v>
      </c>
      <c r="B3" s="2386" t="e">
        <f ca="1">ROUND(B2*10000/E2,0)</f>
        <v>#DIV/0!</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9319</v>
      </c>
      <c r="C6" s="1983"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513" t="s">
        <v>2602</v>
      </c>
      <c r="B20" s="3506" t="s">
        <v>2623</v>
      </c>
      <c r="C20" s="2840" t="s">
        <v>2434</v>
      </c>
      <c r="D20" s="2841"/>
      <c r="E20" s="2842">
        <v>1</v>
      </c>
      <c r="F20" s="2843" t="s">
        <v>2435</v>
      </c>
      <c r="G20" s="2843"/>
    </row>
    <row r="21" spans="1:13" ht="19.5" customHeight="1">
      <c r="A21" s="3514"/>
      <c r="B21" s="3507"/>
      <c r="C21" s="2844" t="s">
        <v>2436</v>
      </c>
      <c r="D21" s="2845"/>
      <c r="E21" s="2846">
        <v>1</v>
      </c>
      <c r="F21" s="2843" t="s">
        <v>2437</v>
      </c>
      <c r="G21" s="2843"/>
    </row>
    <row r="22" spans="1:13" ht="19.5" customHeight="1">
      <c r="A22" s="3514"/>
      <c r="B22" s="3507"/>
      <c r="C22" s="2844" t="s">
        <v>2438</v>
      </c>
      <c r="D22" s="2845"/>
      <c r="E22" s="2846">
        <v>0.9</v>
      </c>
      <c r="F22" s="2843" t="s">
        <v>2439</v>
      </c>
      <c r="G22" s="2843"/>
    </row>
    <row r="23" spans="1:13" ht="19.5" customHeight="1">
      <c r="A23" s="3514"/>
      <c r="B23" s="3507"/>
      <c r="C23" s="2844" t="s">
        <v>2440</v>
      </c>
      <c r="D23" s="2845"/>
      <c r="E23" s="2846">
        <v>0.9</v>
      </c>
      <c r="F23" s="2843" t="s">
        <v>2441</v>
      </c>
      <c r="G23" s="2843"/>
    </row>
    <row r="24" spans="1:13" ht="19.5" customHeight="1">
      <c r="A24" s="3514"/>
      <c r="B24" s="3507"/>
      <c r="C24" s="2844" t="s">
        <v>2442</v>
      </c>
      <c r="D24" s="2845"/>
      <c r="E24" s="2846">
        <v>0.8</v>
      </c>
      <c r="F24" s="2843" t="s">
        <v>2443</v>
      </c>
      <c r="G24" s="2843"/>
    </row>
    <row r="25" spans="1:13" ht="19.5" customHeight="1" thickBot="1">
      <c r="A25" s="3515"/>
      <c r="B25" s="3508"/>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509" t="s">
        <v>2626</v>
      </c>
      <c r="B27" s="3506" t="s">
        <v>2607</v>
      </c>
      <c r="C27" s="2840" t="s">
        <v>2447</v>
      </c>
      <c r="D27" s="2841"/>
      <c r="E27" s="2842">
        <v>1</v>
      </c>
      <c r="F27" s="2843" t="s">
        <v>2448</v>
      </c>
      <c r="G27" s="2843"/>
    </row>
    <row r="28" spans="1:13" ht="19.5" customHeight="1">
      <c r="A28" s="3510"/>
      <c r="B28" s="3507"/>
      <c r="C28" s="2844" t="s">
        <v>2449</v>
      </c>
      <c r="D28" s="2845"/>
      <c r="E28" s="2846">
        <v>1</v>
      </c>
      <c r="F28" s="2843" t="s">
        <v>2450</v>
      </c>
      <c r="G28" s="2843"/>
    </row>
    <row r="29" spans="1:13" ht="19.5" customHeight="1">
      <c r="A29" s="3510"/>
      <c r="B29" s="3507"/>
      <c r="C29" s="2844" t="s">
        <v>2451</v>
      </c>
      <c r="D29" s="2845"/>
      <c r="E29" s="2846">
        <v>0.8</v>
      </c>
      <c r="F29" s="2843" t="s">
        <v>2452</v>
      </c>
      <c r="G29" s="2843"/>
    </row>
    <row r="30" spans="1:13" ht="19.5" customHeight="1">
      <c r="A30" s="3510"/>
      <c r="B30" s="3507"/>
      <c r="C30" s="2844" t="s">
        <v>2453</v>
      </c>
      <c r="D30" s="2845"/>
      <c r="E30" s="2846">
        <v>0.8</v>
      </c>
      <c r="F30" s="2843" t="s">
        <v>2454</v>
      </c>
      <c r="G30" s="2843"/>
    </row>
    <row r="31" spans="1:13" ht="19.5" customHeight="1">
      <c r="A31" s="3510"/>
      <c r="B31" s="3507"/>
      <c r="C31" s="2844" t="s">
        <v>2455</v>
      </c>
      <c r="D31" s="2845"/>
      <c r="E31" s="2846">
        <v>0.8</v>
      </c>
      <c r="F31" s="2843" t="s">
        <v>2456</v>
      </c>
      <c r="G31" s="2843"/>
    </row>
    <row r="32" spans="1:13" ht="19.5" customHeight="1">
      <c r="A32" s="3510"/>
      <c r="B32" s="3507"/>
      <c r="C32" s="2844" t="s">
        <v>2457</v>
      </c>
      <c r="D32" s="2845"/>
      <c r="E32" s="2846">
        <v>0.7</v>
      </c>
      <c r="F32" s="2843" t="s">
        <v>2458</v>
      </c>
      <c r="G32" s="2843"/>
    </row>
    <row r="33" spans="1:7" ht="19.5" customHeight="1">
      <c r="A33" s="3510"/>
      <c r="B33" s="3507"/>
      <c r="C33" s="2844" t="s">
        <v>2459</v>
      </c>
      <c r="D33" s="2845"/>
      <c r="E33" s="2846">
        <v>0.8</v>
      </c>
      <c r="F33" s="2843" t="s">
        <v>2460</v>
      </c>
      <c r="G33" s="2843"/>
    </row>
    <row r="34" spans="1:7" ht="19.5" customHeight="1">
      <c r="A34" s="3510"/>
      <c r="B34" s="3507"/>
      <c r="C34" s="2844" t="s">
        <v>2461</v>
      </c>
      <c r="D34" s="2845"/>
      <c r="E34" s="2846">
        <v>0.6</v>
      </c>
      <c r="F34" s="2843" t="s">
        <v>2462</v>
      </c>
      <c r="G34" s="2843"/>
    </row>
    <row r="35" spans="1:7" ht="19.5" customHeight="1">
      <c r="A35" s="3510"/>
      <c r="B35" s="3507"/>
      <c r="C35" s="2844" t="s">
        <v>2463</v>
      </c>
      <c r="D35" s="2845"/>
      <c r="E35" s="2846">
        <v>0.2</v>
      </c>
      <c r="F35" s="2843" t="s">
        <v>2464</v>
      </c>
      <c r="G35" s="2843"/>
    </row>
    <row r="36" spans="1:7" ht="19.5" customHeight="1">
      <c r="A36" s="3510"/>
      <c r="B36" s="3507"/>
      <c r="C36" s="2844" t="s">
        <v>2465</v>
      </c>
      <c r="D36" s="2845"/>
      <c r="E36" s="2846">
        <v>0.2</v>
      </c>
      <c r="F36" s="2843" t="s">
        <v>2466</v>
      </c>
      <c r="G36" s="2843"/>
    </row>
    <row r="37" spans="1:7" ht="19.5" customHeight="1">
      <c r="A37" s="3510"/>
      <c r="B37" s="3512" t="s">
        <v>2627</v>
      </c>
      <c r="C37" s="2844" t="s">
        <v>2467</v>
      </c>
      <c r="D37" s="2845"/>
      <c r="E37" s="2846">
        <v>0.6</v>
      </c>
      <c r="F37" s="2843" t="s">
        <v>2468</v>
      </c>
      <c r="G37" s="2843"/>
    </row>
    <row r="38" spans="1:7" ht="19.5" customHeight="1">
      <c r="A38" s="3510"/>
      <c r="B38" s="3507"/>
      <c r="C38" s="2844" t="s">
        <v>2469</v>
      </c>
      <c r="D38" s="2845"/>
      <c r="E38" s="2846">
        <v>0.6</v>
      </c>
      <c r="F38" s="2843" t="s">
        <v>2470</v>
      </c>
      <c r="G38" s="2843"/>
    </row>
    <row r="39" spans="1:7" ht="19.5" customHeight="1" thickBot="1">
      <c r="A39" s="3511"/>
      <c r="B39" s="3508"/>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513" t="s">
        <v>2605</v>
      </c>
      <c r="B41" s="3506" t="s">
        <v>2629</v>
      </c>
      <c r="C41" s="2840" t="s">
        <v>2474</v>
      </c>
      <c r="D41" s="2841"/>
      <c r="E41" s="2842">
        <v>1</v>
      </c>
      <c r="F41" s="2843" t="s">
        <v>2475</v>
      </c>
      <c r="G41" s="2843"/>
    </row>
    <row r="42" spans="1:7" ht="19.5" customHeight="1">
      <c r="A42" s="3514"/>
      <c r="B42" s="3507"/>
      <c r="C42" s="2844" t="s">
        <v>2476</v>
      </c>
      <c r="D42" s="2845"/>
      <c r="E42" s="2846">
        <v>1</v>
      </c>
      <c r="F42" s="2843" t="s">
        <v>2477</v>
      </c>
      <c r="G42" s="2843"/>
    </row>
    <row r="43" spans="1:7" ht="19.5" customHeight="1">
      <c r="A43" s="3514"/>
      <c r="B43" s="3516"/>
      <c r="C43" s="2844" t="s">
        <v>2478</v>
      </c>
      <c r="D43" s="2845"/>
      <c r="E43" s="2846">
        <v>1.5</v>
      </c>
      <c r="F43" s="2843" t="s">
        <v>2479</v>
      </c>
      <c r="G43" s="2843"/>
    </row>
    <row r="44" spans="1:7" ht="19.5" customHeight="1">
      <c r="A44" s="3514"/>
      <c r="B44" s="2855" t="s">
        <v>2630</v>
      </c>
      <c r="C44" s="2844" t="s">
        <v>2631</v>
      </c>
      <c r="D44" s="2845"/>
      <c r="E44" s="2846">
        <v>2</v>
      </c>
      <c r="F44" s="2843" t="s">
        <v>2480</v>
      </c>
      <c r="G44" s="2843"/>
    </row>
    <row r="45" spans="1:7" ht="19.5" customHeight="1">
      <c r="A45" s="3514"/>
      <c r="B45" s="3512" t="s">
        <v>2632</v>
      </c>
      <c r="C45" s="2844" t="s">
        <v>2481</v>
      </c>
      <c r="D45" s="2845"/>
      <c r="E45" s="2846">
        <v>1</v>
      </c>
      <c r="F45" s="2843" t="s">
        <v>2482</v>
      </c>
      <c r="G45" s="2843"/>
    </row>
    <row r="46" spans="1:7" ht="19.5" customHeight="1">
      <c r="A46" s="3514"/>
      <c r="B46" s="3507"/>
      <c r="C46" s="2844" t="s">
        <v>2483</v>
      </c>
      <c r="D46" s="2845"/>
      <c r="E46" s="2846">
        <v>1</v>
      </c>
      <c r="F46" s="2843" t="s">
        <v>2484</v>
      </c>
      <c r="G46" s="2843"/>
    </row>
    <row r="47" spans="1:7" ht="19.5" customHeight="1">
      <c r="A47" s="3514"/>
      <c r="B47" s="3507"/>
      <c r="C47" s="2844" t="s">
        <v>2485</v>
      </c>
      <c r="D47" s="2845"/>
      <c r="E47" s="2846">
        <v>1</v>
      </c>
      <c r="F47" s="2843" t="s">
        <v>2486</v>
      </c>
      <c r="G47" s="2843"/>
    </row>
    <row r="48" spans="1:7" ht="19.5" customHeight="1">
      <c r="A48" s="3514"/>
      <c r="B48" s="3507"/>
      <c r="C48" s="2844" t="s">
        <v>2487</v>
      </c>
      <c r="D48" s="2845"/>
      <c r="E48" s="2846">
        <v>1</v>
      </c>
      <c r="F48" s="2843" t="s">
        <v>2488</v>
      </c>
      <c r="G48" s="2843"/>
    </row>
    <row r="49" spans="1:7" ht="19.5" customHeight="1">
      <c r="A49" s="3514"/>
      <c r="B49" s="3507"/>
      <c r="C49" s="2844" t="s">
        <v>2489</v>
      </c>
      <c r="D49" s="2845"/>
      <c r="E49" s="2846">
        <v>1</v>
      </c>
      <c r="F49" s="2843" t="s">
        <v>2490</v>
      </c>
      <c r="G49" s="2843"/>
    </row>
    <row r="50" spans="1:7" ht="19.5" customHeight="1">
      <c r="A50" s="3514"/>
      <c r="B50" s="3507"/>
      <c r="C50" s="2844" t="s">
        <v>2491</v>
      </c>
      <c r="D50" s="2845"/>
      <c r="E50" s="2846">
        <v>1</v>
      </c>
      <c r="F50" s="2843" t="s">
        <v>2492</v>
      </c>
      <c r="G50" s="2843"/>
    </row>
    <row r="51" spans="1:7" ht="19.5" customHeight="1" thickBot="1">
      <c r="A51" s="3515"/>
      <c r="B51" s="3508"/>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3.5">
      <c r="A72" s="2855"/>
      <c r="B72" s="2855"/>
      <c r="C72" s="2855" t="s">
        <v>2645</v>
      </c>
      <c r="D72" s="2855"/>
      <c r="E72" s="2855" t="s">
        <v>2616</v>
      </c>
      <c r="F72" s="2855" t="s">
        <v>2616</v>
      </c>
    </row>
    <row r="73" spans="1:7" ht="13.5">
      <c r="A73" s="2855">
        <v>1</v>
      </c>
      <c r="B73" s="3512" t="s">
        <v>2646</v>
      </c>
      <c r="C73" s="2829" t="s">
        <v>2647</v>
      </c>
      <c r="D73" s="2829" t="s">
        <v>2648</v>
      </c>
      <c r="E73" s="2855">
        <v>0.2</v>
      </c>
      <c r="F73" s="2855">
        <v>25</v>
      </c>
    </row>
    <row r="74" spans="1:7" ht="24">
      <c r="A74" s="2855">
        <v>2</v>
      </c>
      <c r="B74" s="3507"/>
      <c r="C74" s="2829" t="s">
        <v>2649</v>
      </c>
      <c r="D74" s="2829" t="s">
        <v>2650</v>
      </c>
      <c r="E74" s="2855">
        <v>0.2</v>
      </c>
      <c r="F74" s="2855">
        <v>25</v>
      </c>
    </row>
    <row r="75" spans="1:7" ht="24">
      <c r="A75" s="2855">
        <v>3</v>
      </c>
      <c r="B75" s="3507"/>
      <c r="C75" s="2829" t="s">
        <v>2651</v>
      </c>
      <c r="D75" s="2829" t="s">
        <v>2652</v>
      </c>
      <c r="E75" s="2855">
        <v>0.2</v>
      </c>
      <c r="F75" s="2855">
        <v>25</v>
      </c>
    </row>
    <row r="76" spans="1:7" ht="13.5">
      <c r="A76" s="2855">
        <v>4</v>
      </c>
      <c r="B76" s="3507"/>
      <c r="C76" s="2829" t="s">
        <v>2653</v>
      </c>
      <c r="D76" s="2829" t="s">
        <v>2654</v>
      </c>
      <c r="E76" s="2855">
        <v>0.15</v>
      </c>
      <c r="F76" s="2855">
        <v>20</v>
      </c>
    </row>
    <row r="77" spans="1:7" ht="24">
      <c r="A77" s="2855">
        <v>5</v>
      </c>
      <c r="B77" s="3507"/>
      <c r="C77" s="2829" t="s">
        <v>2655</v>
      </c>
      <c r="D77" s="2829" t="s">
        <v>2656</v>
      </c>
      <c r="E77" s="2855">
        <v>0.15</v>
      </c>
      <c r="F77" s="2855">
        <v>20</v>
      </c>
    </row>
    <row r="78" spans="1:7" ht="24">
      <c r="A78" s="2855">
        <v>6</v>
      </c>
      <c r="B78" s="3507"/>
      <c r="C78" s="2829" t="s">
        <v>2657</v>
      </c>
      <c r="D78" s="2829" t="s">
        <v>2658</v>
      </c>
      <c r="E78" s="2855">
        <v>0.15</v>
      </c>
      <c r="F78" s="2855">
        <v>20</v>
      </c>
    </row>
    <row r="79" spans="1:7" ht="24">
      <c r="A79" s="2855">
        <v>7</v>
      </c>
      <c r="B79" s="3507"/>
      <c r="C79" s="2829" t="s">
        <v>2659</v>
      </c>
      <c r="D79" s="2829" t="s">
        <v>2660</v>
      </c>
      <c r="E79" s="2855">
        <v>0.15</v>
      </c>
      <c r="F79" s="2855">
        <v>20</v>
      </c>
    </row>
    <row r="80" spans="1:7" ht="24">
      <c r="A80" s="2855">
        <v>8</v>
      </c>
      <c r="B80" s="3507"/>
      <c r="C80" s="2829" t="s">
        <v>2661</v>
      </c>
      <c r="D80" s="2829" t="s">
        <v>2662</v>
      </c>
      <c r="E80" s="2855">
        <v>0.1</v>
      </c>
      <c r="F80" s="2855">
        <v>15</v>
      </c>
    </row>
    <row r="81" spans="1:6" ht="24">
      <c r="A81" s="2855">
        <v>9</v>
      </c>
      <c r="B81" s="3507"/>
      <c r="C81" s="2829" t="s">
        <v>2663</v>
      </c>
      <c r="D81" s="2829" t="s">
        <v>2664</v>
      </c>
      <c r="E81" s="2855">
        <v>0.1</v>
      </c>
      <c r="F81" s="2855">
        <v>15</v>
      </c>
    </row>
    <row r="82" spans="1:6" ht="24">
      <c r="A82" s="2855">
        <v>10</v>
      </c>
      <c r="B82" s="3507"/>
      <c r="C82" s="2829" t="s">
        <v>2665</v>
      </c>
      <c r="D82" s="2829" t="s">
        <v>2666</v>
      </c>
      <c r="E82" s="2855">
        <v>0.1</v>
      </c>
      <c r="F82" s="2855">
        <v>15</v>
      </c>
    </row>
    <row r="83" spans="1:6" ht="24">
      <c r="A83" s="2855">
        <v>11</v>
      </c>
      <c r="B83" s="3507"/>
      <c r="C83" s="2829" t="s">
        <v>2667</v>
      </c>
      <c r="D83" s="2829" t="s">
        <v>2668</v>
      </c>
      <c r="E83" s="2855">
        <v>0.1</v>
      </c>
      <c r="F83" s="2855">
        <v>15</v>
      </c>
    </row>
    <row r="84" spans="1:6" ht="24">
      <c r="A84" s="2855">
        <v>12</v>
      </c>
      <c r="B84" s="3507"/>
      <c r="C84" s="2829" t="s">
        <v>2669</v>
      </c>
      <c r="D84" s="2829" t="s">
        <v>2670</v>
      </c>
      <c r="E84" s="2855">
        <v>0.1</v>
      </c>
      <c r="F84" s="2855">
        <v>15</v>
      </c>
    </row>
    <row r="85" spans="1:6" ht="13.5">
      <c r="A85" s="2855">
        <v>13</v>
      </c>
      <c r="B85" s="3507"/>
      <c r="C85" s="2829" t="s">
        <v>2671</v>
      </c>
      <c r="D85" s="2829" t="s">
        <v>2672</v>
      </c>
      <c r="E85" s="2855">
        <v>0.1</v>
      </c>
      <c r="F85" s="2855">
        <v>15</v>
      </c>
    </row>
    <row r="86" spans="1:6" ht="13.5">
      <c r="A86" s="2855">
        <v>14</v>
      </c>
      <c r="B86" s="3507"/>
      <c r="C86" s="2829" t="s">
        <v>2673</v>
      </c>
      <c r="D86" s="2829" t="s">
        <v>2674</v>
      </c>
      <c r="E86" s="2855">
        <v>0.1</v>
      </c>
      <c r="F86" s="2855">
        <v>15</v>
      </c>
    </row>
    <row r="87" spans="1:6" ht="13.5">
      <c r="A87" s="2855">
        <v>15</v>
      </c>
      <c r="B87" s="3507"/>
      <c r="C87" s="2829" t="s">
        <v>2675</v>
      </c>
      <c r="D87" s="2829" t="s">
        <v>2676</v>
      </c>
      <c r="E87" s="2855">
        <v>0.1</v>
      </c>
      <c r="F87" s="2855">
        <v>15</v>
      </c>
    </row>
    <row r="88" spans="1:6" ht="24">
      <c r="A88" s="2855">
        <v>16</v>
      </c>
      <c r="B88" s="3507"/>
      <c r="C88" s="2829" t="s">
        <v>2677</v>
      </c>
      <c r="D88" s="2829" t="s">
        <v>2678</v>
      </c>
      <c r="E88" s="2855">
        <v>0.1</v>
      </c>
      <c r="F88" s="2855">
        <v>15</v>
      </c>
    </row>
    <row r="89" spans="1:6" ht="24">
      <c r="A89" s="2855">
        <v>17</v>
      </c>
      <c r="B89" s="3516"/>
      <c r="C89" s="2829" t="s">
        <v>2679</v>
      </c>
      <c r="D89" s="2829" t="s">
        <v>2680</v>
      </c>
      <c r="E89" s="2855">
        <v>0.1</v>
      </c>
      <c r="F89" s="2855">
        <v>15</v>
      </c>
    </row>
    <row r="90" spans="1:6" ht="13.5">
      <c r="A90" s="2855">
        <v>18</v>
      </c>
      <c r="B90" s="3512" t="s">
        <v>2681</v>
      </c>
      <c r="C90" s="2829" t="s">
        <v>2682</v>
      </c>
      <c r="D90" s="2829" t="s">
        <v>2683</v>
      </c>
      <c r="E90" s="2855">
        <v>0.2</v>
      </c>
      <c r="F90" s="2855">
        <v>25</v>
      </c>
    </row>
    <row r="91" spans="1:6" ht="24">
      <c r="A91" s="2855">
        <v>19</v>
      </c>
      <c r="B91" s="3507"/>
      <c r="C91" s="2829" t="s">
        <v>2684</v>
      </c>
      <c r="D91" s="2829" t="s">
        <v>2685</v>
      </c>
      <c r="E91" s="2855">
        <v>0.2</v>
      </c>
      <c r="F91" s="2855">
        <v>25</v>
      </c>
    </row>
    <row r="92" spans="1:6" ht="13.5">
      <c r="A92" s="2855">
        <v>20</v>
      </c>
      <c r="B92" s="3507"/>
      <c r="C92" s="2829" t="s">
        <v>2686</v>
      </c>
      <c r="D92" s="2829" t="s">
        <v>2687</v>
      </c>
      <c r="E92" s="2855">
        <v>0.15</v>
      </c>
      <c r="F92" s="2855">
        <v>20</v>
      </c>
    </row>
    <row r="93" spans="1:6" ht="13.5">
      <c r="A93" s="2855">
        <v>21</v>
      </c>
      <c r="B93" s="3507"/>
      <c r="C93" s="2829" t="s">
        <v>2688</v>
      </c>
      <c r="D93" s="2829" t="s">
        <v>2689</v>
      </c>
      <c r="E93" s="2855">
        <v>0.15</v>
      </c>
      <c r="F93" s="2855">
        <v>20</v>
      </c>
    </row>
    <row r="94" spans="1:6" ht="13.5">
      <c r="A94" s="2855">
        <v>22</v>
      </c>
      <c r="B94" s="3507"/>
      <c r="C94" s="2829" t="s">
        <v>2690</v>
      </c>
      <c r="D94" s="2829" t="s">
        <v>2691</v>
      </c>
      <c r="E94" s="2855">
        <v>0.15</v>
      </c>
      <c r="F94" s="2855">
        <v>20</v>
      </c>
    </row>
    <row r="95" spans="1:6" ht="36">
      <c r="A95" s="2855">
        <v>23</v>
      </c>
      <c r="B95" s="3507"/>
      <c r="C95" s="2829" t="s">
        <v>2692</v>
      </c>
      <c r="D95" s="2829" t="s">
        <v>2693</v>
      </c>
      <c r="E95" s="2855">
        <v>0.15</v>
      </c>
      <c r="F95" s="2855">
        <v>20</v>
      </c>
    </row>
    <row r="96" spans="1:6" ht="13.5">
      <c r="A96" s="2855">
        <v>24</v>
      </c>
      <c r="B96" s="3507"/>
      <c r="C96" s="2829" t="s">
        <v>2694</v>
      </c>
      <c r="D96" s="2829" t="s">
        <v>2695</v>
      </c>
      <c r="E96" s="2855">
        <v>0.1</v>
      </c>
      <c r="F96" s="2855">
        <v>15</v>
      </c>
    </row>
    <row r="97" spans="1:6" ht="13.5">
      <c r="A97" s="2855">
        <v>25</v>
      </c>
      <c r="B97" s="3507"/>
      <c r="C97" s="2829" t="s">
        <v>2696</v>
      </c>
      <c r="D97" s="2829" t="s">
        <v>2697</v>
      </c>
      <c r="E97" s="2855">
        <v>0.1</v>
      </c>
      <c r="F97" s="2855">
        <v>15</v>
      </c>
    </row>
    <row r="98" spans="1:6" ht="24">
      <c r="A98" s="2855">
        <v>26</v>
      </c>
      <c r="B98" s="3507"/>
      <c r="C98" s="2829" t="s">
        <v>2698</v>
      </c>
      <c r="D98" s="2829" t="s">
        <v>2699</v>
      </c>
      <c r="E98" s="2855">
        <v>0.1</v>
      </c>
      <c r="F98" s="2855">
        <v>15</v>
      </c>
    </row>
    <row r="99" spans="1:6" ht="24">
      <c r="A99" s="2855">
        <v>27</v>
      </c>
      <c r="B99" s="3507"/>
      <c r="C99" s="2829" t="s">
        <v>2700</v>
      </c>
      <c r="D99" s="2829" t="s">
        <v>2701</v>
      </c>
      <c r="E99" s="2855">
        <v>0.1</v>
      </c>
      <c r="F99" s="2855">
        <v>15</v>
      </c>
    </row>
    <row r="100" spans="1:6" ht="13.5">
      <c r="A100" s="2855">
        <v>28</v>
      </c>
      <c r="B100" s="3507"/>
      <c r="C100" s="2829" t="s">
        <v>2702</v>
      </c>
      <c r="D100" s="2829" t="s">
        <v>2703</v>
      </c>
      <c r="E100" s="2855">
        <v>0.1</v>
      </c>
      <c r="F100" s="2855">
        <v>15</v>
      </c>
    </row>
    <row r="101" spans="1:6" ht="13.5">
      <c r="A101" s="2855">
        <v>29</v>
      </c>
      <c r="B101" s="3507"/>
      <c r="C101" s="2829" t="s">
        <v>2704</v>
      </c>
      <c r="D101" s="2829" t="s">
        <v>2705</v>
      </c>
      <c r="E101" s="2855">
        <v>0.1</v>
      </c>
      <c r="F101" s="2855">
        <v>15</v>
      </c>
    </row>
    <row r="102" spans="1:6" ht="13.5">
      <c r="A102" s="2855">
        <v>30</v>
      </c>
      <c r="B102" s="3507"/>
      <c r="C102" s="2829" t="s">
        <v>2706</v>
      </c>
      <c r="D102" s="2829" t="s">
        <v>2707</v>
      </c>
      <c r="E102" s="2855">
        <v>0.1</v>
      </c>
      <c r="F102" s="2855">
        <v>15</v>
      </c>
    </row>
    <row r="103" spans="1:6" ht="24">
      <c r="A103" s="2855">
        <v>31</v>
      </c>
      <c r="B103" s="3507"/>
      <c r="C103" s="2829" t="s">
        <v>2708</v>
      </c>
      <c r="D103" s="2829" t="s">
        <v>2709</v>
      </c>
      <c r="E103" s="2855">
        <v>0.1</v>
      </c>
      <c r="F103" s="2855">
        <v>15</v>
      </c>
    </row>
    <row r="104" spans="1:6" ht="24">
      <c r="A104" s="2855">
        <v>32</v>
      </c>
      <c r="B104" s="3507"/>
      <c r="C104" s="2829" t="s">
        <v>2710</v>
      </c>
      <c r="D104" s="2829" t="s">
        <v>2711</v>
      </c>
      <c r="E104" s="2855">
        <v>0.1</v>
      </c>
      <c r="F104" s="2855">
        <v>15</v>
      </c>
    </row>
    <row r="105" spans="1:6" ht="24">
      <c r="A105" s="2855">
        <v>33</v>
      </c>
      <c r="B105" s="3507"/>
      <c r="C105" s="2829" t="s">
        <v>2712</v>
      </c>
      <c r="D105" s="2829" t="s">
        <v>2713</v>
      </c>
      <c r="E105" s="2855">
        <v>0.1</v>
      </c>
      <c r="F105" s="2855">
        <v>15</v>
      </c>
    </row>
    <row r="106" spans="1:6" ht="24">
      <c r="A106" s="2855">
        <v>34</v>
      </c>
      <c r="B106" s="3516"/>
      <c r="C106" s="2829" t="s">
        <v>2714</v>
      </c>
      <c r="D106" s="2829" t="s">
        <v>2715</v>
      </c>
      <c r="E106" s="2855">
        <v>0.1</v>
      </c>
      <c r="F106" s="2855">
        <v>15</v>
      </c>
    </row>
    <row r="107" spans="1:6" ht="24">
      <c r="A107" s="2855">
        <v>35</v>
      </c>
      <c r="B107" s="3512" t="s">
        <v>2716</v>
      </c>
      <c r="C107" s="2855" t="s">
        <v>2717</v>
      </c>
      <c r="D107" s="2829" t="s">
        <v>2718</v>
      </c>
      <c r="E107" s="2855">
        <v>0.15</v>
      </c>
      <c r="F107" s="2855">
        <v>20</v>
      </c>
    </row>
    <row r="108" spans="1:6" ht="13.5">
      <c r="A108" s="2855">
        <v>36</v>
      </c>
      <c r="B108" s="3507"/>
      <c r="C108" s="2855" t="s">
        <v>2719</v>
      </c>
      <c r="D108" s="2829" t="s">
        <v>2720</v>
      </c>
      <c r="E108" s="2855">
        <v>0.15</v>
      </c>
      <c r="F108" s="2855">
        <v>20</v>
      </c>
    </row>
    <row r="109" spans="1:6" ht="13.5">
      <c r="A109" s="2855">
        <v>37</v>
      </c>
      <c r="B109" s="3507"/>
      <c r="C109" s="2855" t="s">
        <v>2721</v>
      </c>
      <c r="D109" s="2829" t="s">
        <v>2722</v>
      </c>
      <c r="E109" s="2855">
        <v>0.15</v>
      </c>
      <c r="F109" s="2855">
        <v>20</v>
      </c>
    </row>
    <row r="110" spans="1:6" ht="13.5">
      <c r="A110" s="2855">
        <v>38</v>
      </c>
      <c r="B110" s="3507"/>
      <c r="C110" s="2855" t="s">
        <v>2723</v>
      </c>
      <c r="D110" s="2829" t="s">
        <v>2724</v>
      </c>
      <c r="E110" s="2855">
        <v>0.1</v>
      </c>
      <c r="F110" s="2855">
        <v>15</v>
      </c>
    </row>
    <row r="111" spans="1:6" ht="24">
      <c r="A111" s="2855">
        <v>39</v>
      </c>
      <c r="B111" s="3507"/>
      <c r="C111" s="2855" t="s">
        <v>2725</v>
      </c>
      <c r="D111" s="2829" t="s">
        <v>2726</v>
      </c>
      <c r="E111" s="2855">
        <v>0.1</v>
      </c>
      <c r="F111" s="2855">
        <v>15</v>
      </c>
    </row>
    <row r="112" spans="1:6" ht="24">
      <c r="A112" s="2855">
        <v>40</v>
      </c>
      <c r="B112" s="3516"/>
      <c r="C112" s="2855" t="s">
        <v>2727</v>
      </c>
      <c r="D112" s="2829" t="s">
        <v>2728</v>
      </c>
      <c r="E112" s="2855">
        <v>0.1</v>
      </c>
      <c r="F112" s="2855">
        <v>15</v>
      </c>
    </row>
    <row r="113" spans="1:6" ht="13.5">
      <c r="A113" s="2855">
        <v>41</v>
      </c>
      <c r="B113" s="3517" t="s">
        <v>2729</v>
      </c>
      <c r="C113" s="2855" t="s">
        <v>2730</v>
      </c>
      <c r="D113" s="2829" t="s">
        <v>2731</v>
      </c>
      <c r="E113" s="2855">
        <v>0.1</v>
      </c>
      <c r="F113" s="2855">
        <v>15</v>
      </c>
    </row>
    <row r="114" spans="1:6" ht="13.5">
      <c r="A114" s="2855">
        <v>42</v>
      </c>
      <c r="B114" s="3517"/>
      <c r="C114" s="2855" t="s">
        <v>2732</v>
      </c>
      <c r="D114" s="2829" t="s">
        <v>2733</v>
      </c>
      <c r="E114" s="2855">
        <v>0.1</v>
      </c>
      <c r="F114" s="2855">
        <v>15</v>
      </c>
    </row>
    <row r="115" spans="1:6" ht="24">
      <c r="A115" s="2855">
        <v>43</v>
      </c>
      <c r="B115" s="3517"/>
      <c r="C115" s="2855" t="s">
        <v>2734</v>
      </c>
      <c r="D115" s="2829" t="s">
        <v>2735</v>
      </c>
      <c r="E115" s="2855">
        <v>0.1</v>
      </c>
      <c r="F115" s="2855">
        <v>15</v>
      </c>
    </row>
    <row r="116" spans="1:6" ht="13.5">
      <c r="A116" s="2855">
        <v>44</v>
      </c>
      <c r="B116" s="3512" t="s">
        <v>2736</v>
      </c>
      <c r="C116" s="2855" t="s">
        <v>2737</v>
      </c>
      <c r="D116" s="2829" t="s">
        <v>2738</v>
      </c>
      <c r="E116" s="2855">
        <v>0.1</v>
      </c>
      <c r="F116" s="2855">
        <v>15</v>
      </c>
    </row>
    <row r="117" spans="1:6" ht="24">
      <c r="A117" s="2855">
        <v>45</v>
      </c>
      <c r="B117" s="3516"/>
      <c r="C117" s="2829" t="s">
        <v>2739</v>
      </c>
      <c r="D117" s="2829" t="s">
        <v>2740</v>
      </c>
      <c r="E117" s="2855">
        <v>0.1</v>
      </c>
      <c r="F117" s="2855">
        <v>15</v>
      </c>
    </row>
    <row r="118" spans="1:6" ht="24">
      <c r="A118" s="2855">
        <v>46</v>
      </c>
      <c r="B118" s="3512" t="s">
        <v>2741</v>
      </c>
      <c r="C118" s="2855" t="s">
        <v>2742</v>
      </c>
      <c r="D118" s="2829" t="s">
        <v>2743</v>
      </c>
      <c r="E118" s="2855">
        <v>0.1</v>
      </c>
      <c r="F118" s="2855">
        <v>15</v>
      </c>
    </row>
    <row r="119" spans="1:6" ht="24">
      <c r="A119" s="2855">
        <v>47</v>
      </c>
      <c r="B119" s="3516"/>
      <c r="C119" s="2855" t="s">
        <v>2744</v>
      </c>
      <c r="D119" s="2829" t="s">
        <v>2745</v>
      </c>
      <c r="E119" s="2855">
        <v>0.1</v>
      </c>
      <c r="F119" s="2855">
        <v>15</v>
      </c>
    </row>
    <row r="120" spans="1:6" ht="13.5">
      <c r="A120" s="2855">
        <v>48</v>
      </c>
      <c r="B120" s="3512" t="s">
        <v>2746</v>
      </c>
      <c r="C120" s="2855" t="s">
        <v>2747</v>
      </c>
      <c r="D120" s="2829" t="s">
        <v>2748</v>
      </c>
      <c r="E120" s="2855">
        <v>0.1</v>
      </c>
      <c r="F120" s="2855">
        <v>15</v>
      </c>
    </row>
    <row r="121" spans="1:6" ht="13.5">
      <c r="A121" s="2855">
        <v>49</v>
      </c>
      <c r="B121" s="3516"/>
      <c r="C121" s="2855" t="s">
        <v>2749</v>
      </c>
      <c r="D121" s="2829" t="s">
        <v>2750</v>
      </c>
      <c r="E121" s="2855">
        <v>0.1</v>
      </c>
      <c r="F121" s="2855">
        <v>15</v>
      </c>
    </row>
    <row r="122" spans="1:6" ht="24">
      <c r="A122" s="2855">
        <v>50</v>
      </c>
      <c r="B122" s="3517" t="s">
        <v>2751</v>
      </c>
      <c r="C122" s="2855" t="s">
        <v>2752</v>
      </c>
      <c r="D122" s="2829" t="s">
        <v>2753</v>
      </c>
      <c r="E122" s="2855">
        <v>0.1</v>
      </c>
      <c r="F122" s="2855">
        <v>15</v>
      </c>
    </row>
    <row r="123" spans="1:6" ht="24">
      <c r="A123" s="2855">
        <v>51</v>
      </c>
      <c r="B123" s="3517"/>
      <c r="C123" s="2855" t="s">
        <v>2754</v>
      </c>
      <c r="D123" s="2829" t="s">
        <v>2755</v>
      </c>
      <c r="E123" s="2855">
        <v>0.1</v>
      </c>
      <c r="F123" s="2855">
        <v>15</v>
      </c>
    </row>
    <row r="124" spans="1:6" ht="24">
      <c r="A124" s="2855">
        <v>52</v>
      </c>
      <c r="B124" s="3517" t="s">
        <v>2756</v>
      </c>
      <c r="C124" s="2855" t="s">
        <v>2757</v>
      </c>
      <c r="D124" s="2829" t="s">
        <v>2758</v>
      </c>
      <c r="E124" s="2855">
        <v>0.1</v>
      </c>
      <c r="F124" s="2855">
        <v>15</v>
      </c>
    </row>
    <row r="125" spans="1:6" ht="24">
      <c r="A125" s="2855">
        <v>53</v>
      </c>
      <c r="B125" s="3517"/>
      <c r="C125" s="2855" t="s">
        <v>2759</v>
      </c>
      <c r="D125" s="2829" t="s">
        <v>2760</v>
      </c>
      <c r="E125" s="2855">
        <v>0.1</v>
      </c>
      <c r="F125" s="2855">
        <v>15</v>
      </c>
    </row>
    <row r="126" spans="1:6" ht="13.5">
      <c r="A126" s="2855">
        <v>54</v>
      </c>
      <c r="B126" s="2855" t="s">
        <v>2761</v>
      </c>
      <c r="C126" s="2855" t="s">
        <v>2762</v>
      </c>
      <c r="D126" s="2829" t="s">
        <v>2763</v>
      </c>
      <c r="E126" s="2855">
        <v>0.1</v>
      </c>
      <c r="F126" s="2855">
        <v>15</v>
      </c>
    </row>
    <row r="127" spans="1:6" ht="13.5">
      <c r="A127" s="2855">
        <v>55</v>
      </c>
      <c r="B127" s="3517" t="s">
        <v>2764</v>
      </c>
      <c r="C127" s="2855" t="s">
        <v>2765</v>
      </c>
      <c r="D127" s="2829" t="s">
        <v>2766</v>
      </c>
      <c r="E127" s="2855">
        <v>0.1</v>
      </c>
      <c r="F127" s="2855">
        <v>15</v>
      </c>
    </row>
    <row r="128" spans="1:6" ht="13.5">
      <c r="A128" s="2855">
        <v>56</v>
      </c>
      <c r="B128" s="3517"/>
      <c r="C128" s="2855" t="s">
        <v>2767</v>
      </c>
      <c r="D128" s="2829" t="s">
        <v>2768</v>
      </c>
      <c r="E128" s="2855">
        <v>0.1</v>
      </c>
      <c r="F128" s="2855">
        <v>15</v>
      </c>
    </row>
    <row r="129" spans="1:6" ht="24">
      <c r="A129" s="2855">
        <v>57</v>
      </c>
      <c r="B129" s="3517"/>
      <c r="C129" s="2855" t="s">
        <v>2769</v>
      </c>
      <c r="D129" s="2829" t="s">
        <v>2770</v>
      </c>
      <c r="E129" s="2855">
        <v>0.1</v>
      </c>
      <c r="F129" s="2855">
        <v>15</v>
      </c>
    </row>
    <row r="130" spans="1:6" ht="24">
      <c r="A130" s="2855">
        <v>58</v>
      </c>
      <c r="B130" s="3517" t="s">
        <v>2771</v>
      </c>
      <c r="C130" s="2855" t="s">
        <v>2772</v>
      </c>
      <c r="D130" s="2829" t="s">
        <v>2773</v>
      </c>
      <c r="E130" s="2855">
        <v>0.1</v>
      </c>
      <c r="F130" s="2855">
        <v>15</v>
      </c>
    </row>
    <row r="131" spans="1:6" ht="13.5">
      <c r="A131" s="2855">
        <v>59</v>
      </c>
      <c r="B131" s="3517"/>
      <c r="C131" s="2855" t="s">
        <v>2774</v>
      </c>
      <c r="D131" s="2829" t="s">
        <v>2775</v>
      </c>
      <c r="E131" s="2855">
        <v>0.1</v>
      </c>
      <c r="F131" s="2855">
        <v>15</v>
      </c>
    </row>
    <row r="132" spans="1:6" ht="13.5">
      <c r="A132" s="2855">
        <v>60</v>
      </c>
      <c r="B132" s="3512" t="s">
        <v>2776</v>
      </c>
      <c r="C132" s="2855" t="s">
        <v>2777</v>
      </c>
      <c r="D132" s="2829" t="s">
        <v>2778</v>
      </c>
      <c r="E132" s="2855">
        <v>0.1</v>
      </c>
      <c r="F132" s="2855">
        <v>15</v>
      </c>
    </row>
    <row r="133" spans="1:6" ht="13.5">
      <c r="A133" s="2855">
        <v>61</v>
      </c>
      <c r="B133" s="3516"/>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13.5">
      <c r="A135" s="2855">
        <v>63</v>
      </c>
      <c r="B135" s="3517" t="s">
        <v>2784</v>
      </c>
      <c r="C135" s="2855" t="s">
        <v>2785</v>
      </c>
      <c r="D135" s="2829" t="s">
        <v>2786</v>
      </c>
      <c r="E135" s="2855">
        <v>0.1</v>
      </c>
      <c r="F135" s="2855">
        <v>15</v>
      </c>
    </row>
    <row r="136" spans="1:6" ht="13.5">
      <c r="A136" s="2855">
        <v>64</v>
      </c>
      <c r="B136" s="3517"/>
      <c r="C136" s="2855" t="s">
        <v>2787</v>
      </c>
      <c r="D136" s="2829" t="s">
        <v>2788</v>
      </c>
      <c r="E136" s="2855">
        <v>0.1</v>
      </c>
      <c r="F136" s="2855">
        <v>15</v>
      </c>
    </row>
    <row r="137" spans="1:6" ht="13.5">
      <c r="A137" s="2855">
        <v>65</v>
      </c>
      <c r="B137" s="2855" t="s">
        <v>2789</v>
      </c>
      <c r="C137" s="2855" t="s">
        <v>2790</v>
      </c>
      <c r="D137" s="2829" t="s">
        <v>2791</v>
      </c>
      <c r="E137" s="2855">
        <v>0.1</v>
      </c>
      <c r="F137" s="2855">
        <v>15</v>
      </c>
    </row>
    <row r="138" spans="1:6" ht="13.5">
      <c r="A138" s="2855"/>
      <c r="B138" s="2855"/>
      <c r="C138" s="2855"/>
      <c r="D138" s="2855"/>
      <c r="E138" s="2855" t="s">
        <v>2792</v>
      </c>
      <c r="F138" s="285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2793</v>
      </c>
      <c r="B1" s="2863"/>
      <c r="C1" s="2863"/>
      <c r="D1" s="2863"/>
      <c r="E1" s="2863"/>
      <c r="F1" s="2863"/>
      <c r="G1" s="2863"/>
      <c r="H1" s="2863"/>
      <c r="I1" s="2863"/>
      <c r="J1" s="2863"/>
      <c r="K1" s="2863"/>
      <c r="L1" s="2863"/>
      <c r="M1" s="2863"/>
      <c r="N1" s="706"/>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1</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0.94710000000000005</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390"/>
      <c r="B4" s="3204" t="s">
        <v>917</v>
      </c>
      <c r="C4" s="3204"/>
      <c r="D4" s="3204"/>
      <c r="E4" s="1390"/>
    </row>
    <row r="5" spans="1:5" ht="16.5" thickTop="1">
      <c r="B5" s="3202" t="s">
        <v>909</v>
      </c>
      <c r="C5" s="1391" t="s">
        <v>910</v>
      </c>
      <c r="D5" s="796">
        <f ca="1">结果表!H101</f>
        <v>14144</v>
      </c>
    </row>
    <row r="6" spans="1:5" ht="15.75">
      <c r="B6" s="3202"/>
      <c r="C6" s="1391" t="s">
        <v>911</v>
      </c>
      <c r="D6" s="796" t="str">
        <f ca="1">NUMBERSTRING(INT(D5*10000),2)&amp;"元整"</f>
        <v>壹亿肆仟壹佰肆拾肆万元整</v>
      </c>
    </row>
    <row r="7" spans="1:5" ht="15.75">
      <c r="B7" s="3207"/>
      <c r="C7" s="1392" t="s">
        <v>912</v>
      </c>
      <c r="D7" s="797">
        <f ca="1">结果表!H102</f>
        <v>28472</v>
      </c>
    </row>
    <row r="8" spans="1:5" ht="15.75">
      <c r="B8" s="3208" t="str">
        <f>结果表!E103</f>
        <v>2.估价师知悉的法定优先受偿款</v>
      </c>
      <c r="C8" s="1393" t="s">
        <v>913</v>
      </c>
      <c r="D8" s="797">
        <f>结果表!H103</f>
        <v>0</v>
      </c>
    </row>
    <row r="9" spans="1:5" ht="15.75">
      <c r="B9" s="3210"/>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01" t="str">
        <f>结果表!E107</f>
        <v>3.房地产抵押价值</v>
      </c>
      <c r="C13" s="1396" t="s">
        <v>910</v>
      </c>
      <c r="D13" s="799">
        <f ca="1">结果表!H107</f>
        <v>14144</v>
      </c>
    </row>
    <row r="14" spans="1:5" ht="15.75">
      <c r="B14" s="3202"/>
      <c r="C14" s="1391" t="s">
        <v>911</v>
      </c>
      <c r="D14" s="796" t="str">
        <f ca="1">NUMBERSTRING(INT(D13*10000),2)&amp;"元整"</f>
        <v>壹亿肆仟壹佰肆拾肆万元整</v>
      </c>
    </row>
    <row r="15" spans="1:5" ht="15">
      <c r="B15" s="3207"/>
      <c r="C15" s="1392" t="s">
        <v>921</v>
      </c>
      <c r="D15" s="805">
        <f ca="1">结果表!H108</f>
        <v>28472</v>
      </c>
    </row>
    <row r="16" spans="1:5" ht="15">
      <c r="B16" s="3208" t="str">
        <f>结果表!E109</f>
        <v>——</v>
      </c>
      <c r="C16" s="1396" t="s">
        <v>922</v>
      </c>
      <c r="D16" s="1397" t="str">
        <f>结果表!H109</f>
        <v>——</v>
      </c>
    </row>
    <row r="17" spans="1:5" ht="15.75">
      <c r="B17" s="3209"/>
      <c r="C17" s="1391" t="s">
        <v>923</v>
      </c>
      <c r="D17" s="796" t="e">
        <f>NUMBERSTRING(INT(D16*10000),2)&amp;"元整"</f>
        <v>#VALUE!</v>
      </c>
    </row>
    <row r="18" spans="1:5" ht="15">
      <c r="B18" s="3210"/>
      <c r="C18" s="1392" t="s">
        <v>912</v>
      </c>
      <c r="D18" s="805" t="str">
        <f>结果表!H110</f>
        <v>——</v>
      </c>
    </row>
    <row r="19" spans="1:5" ht="15.75">
      <c r="B19" s="3201" t="str">
        <f>结果表!E111</f>
        <v>——</v>
      </c>
      <c r="C19" s="1396" t="s">
        <v>910</v>
      </c>
      <c r="D19" s="797" t="str">
        <f>结果表!H111</f>
        <v>——</v>
      </c>
    </row>
    <row r="20" spans="1:5" ht="15.75">
      <c r="B20" s="3202"/>
      <c r="C20" s="1391" t="s">
        <v>923</v>
      </c>
      <c r="D20" s="796" t="e">
        <f>NUMBERSTRING(INT(D19*10000),2)&amp;"元整"</f>
        <v>#VALUE!</v>
      </c>
    </row>
    <row r="21" spans="1:5" ht="15.75" thickBot="1">
      <c r="B21" s="3203"/>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31748</v>
      </c>
      <c r="C2" s="2" t="s">
        <v>106</v>
      </c>
      <c r="D2" s="190"/>
      <c r="E2" s="190"/>
      <c r="F2" s="190"/>
      <c r="G2" s="190"/>
    </row>
    <row r="3" spans="1:7" s="191" customFormat="1" ht="18" customHeight="1" thickBot="1">
      <c r="A3" s="194" t="s">
        <v>58</v>
      </c>
      <c r="B3" s="195">
        <f ca="1">ROUND(B2*10000/'数据-汇总表'!E3,0)</f>
        <v>63910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99</v>
      </c>
      <c r="D10" s="794">
        <f>'数据-汇总表'!E6</f>
        <v>4967.6099999999997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99</v>
      </c>
      <c r="D19" s="203">
        <f>'数据-汇总表'!E3</f>
        <v>4967.6099999999997</v>
      </c>
      <c r="E19" s="202">
        <f>'数据-取费表'!B31</f>
        <v>200</v>
      </c>
      <c r="F19" s="222"/>
      <c r="G19" s="1" t="s">
        <v>436</v>
      </c>
    </row>
    <row r="20" spans="1:7" s="205" customFormat="1" ht="13.5" customHeight="1">
      <c r="A20" s="730" t="s">
        <v>419</v>
      </c>
      <c r="B20" s="201" t="s">
        <v>77</v>
      </c>
      <c r="C20" s="223">
        <f>ROUND((C5+C19)*F20,0)</f>
        <v>621</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1667</v>
      </c>
      <c r="D22" s="226">
        <f ca="1">C26</f>
        <v>8.0000000000000004E-4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8</v>
      </c>
      <c r="D24" s="229"/>
      <c r="E24" s="229"/>
      <c r="F24" s="230"/>
      <c r="G24" s="231" t="s">
        <v>82</v>
      </c>
    </row>
    <row r="25" spans="1:7" s="205" customFormat="1" ht="24">
      <c r="A25" s="733" t="s">
        <v>348</v>
      </c>
      <c r="B25" s="206" t="s">
        <v>420</v>
      </c>
      <c r="C25" s="1041">
        <f ca="1">ROUND(IF('数据-取费表'!B22&lt;=1,C20*F22*'数据-取费表'!B23/2,C20*(POWER((1+F22),'数据-取费表'!B23/2)-1)),0)</f>
        <v>24</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4.75">
      <c r="A27" s="730" t="s">
        <v>342</v>
      </c>
      <c r="B27" s="235" t="s">
        <v>85</v>
      </c>
      <c r="C27" s="236">
        <f>C28</f>
        <v>3200</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3200</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28387</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3289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2981</v>
      </c>
      <c r="D34" s="208"/>
      <c r="E34" s="211"/>
      <c r="F34" s="248">
        <f>IF('数据-取费表'!B24=0,1,'数据-取费表'!N16)</f>
        <v>1</v>
      </c>
      <c r="G34" s="210" t="s">
        <v>89</v>
      </c>
    </row>
    <row r="35" spans="1:7" ht="13.5" customHeight="1">
      <c r="A35" s="733" t="s">
        <v>351</v>
      </c>
      <c r="B35" s="206" t="s">
        <v>33</v>
      </c>
      <c r="C35" s="211">
        <f>ROUND(C34*F35,0)</f>
        <v>149</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99</v>
      </c>
      <c r="D37" s="208">
        <f>'数据-汇总表'!E3</f>
        <v>4967.6099999999997</v>
      </c>
      <c r="E37" s="240">
        <f>'数据-取费表'!B35</f>
        <v>200</v>
      </c>
      <c r="F37" s="250"/>
      <c r="G37" s="252" t="s">
        <v>92</v>
      </c>
    </row>
    <row r="38" spans="1:7" ht="13.5" customHeight="1">
      <c r="A38" s="733" t="s">
        <v>354</v>
      </c>
      <c r="B38" s="206" t="s">
        <v>36</v>
      </c>
      <c r="C38" s="211">
        <f>ROUND(C34*F38,0)</f>
        <v>60</v>
      </c>
      <c r="D38" s="211"/>
      <c r="E38" s="211"/>
      <c r="F38" s="250">
        <f>'数据-取费表'!B36</f>
        <v>0.02</v>
      </c>
      <c r="G38" s="210" t="s">
        <v>90</v>
      </c>
    </row>
    <row r="39" spans="1:7" s="205" customFormat="1" ht="13.5" customHeight="1">
      <c r="A39" s="730" t="s">
        <v>338</v>
      </c>
      <c r="B39" s="201" t="s">
        <v>77</v>
      </c>
      <c r="C39" s="223">
        <f>ROUND(C33*F20,0)</f>
        <v>99</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132</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128</v>
      </c>
      <c r="D42" s="229"/>
      <c r="E42" s="229"/>
      <c r="F42" s="230"/>
      <c r="G42" s="3401" t="s">
        <v>94</v>
      </c>
    </row>
    <row r="43" spans="1:7" ht="13.5" customHeight="1">
      <c r="A43" s="733" t="s">
        <v>347</v>
      </c>
      <c r="B43" s="206" t="s">
        <v>426</v>
      </c>
      <c r="C43" s="229">
        <f ca="1">ROUND(IF('数据-取费表'!B22&lt;=1,C39*F22*'数据-取费表'!B21/2,C39*(POWER((1+F22),'数据-取费表'!B21/2)-1)),0)</f>
        <v>4</v>
      </c>
      <c r="D43" s="229"/>
      <c r="E43" s="229"/>
      <c r="F43" s="230"/>
      <c r="G43" s="3402"/>
    </row>
    <row r="44" spans="1:7" ht="13.5" customHeight="1">
      <c r="A44" s="733" t="s">
        <v>348</v>
      </c>
      <c r="B44" s="206" t="s">
        <v>428</v>
      </c>
      <c r="C44" s="229">
        <f ca="1">ROUND(IF('数据-取费表'!B22&lt;=1,C40*F22*'数据-取费表'!B21/2,C40*(POWER((1+F22),'数据-取费表'!B21/2)-1)),4)</f>
        <v>8.0000000000000004E-4</v>
      </c>
      <c r="D44" s="229"/>
      <c r="E44" s="229"/>
      <c r="F44" s="230"/>
      <c r="G44" s="3403"/>
    </row>
    <row r="45" spans="1:7" s="205" customFormat="1" ht="13.5" customHeight="1">
      <c r="A45" s="730" t="s">
        <v>341</v>
      </c>
      <c r="B45" s="235" t="s">
        <v>85</v>
      </c>
      <c r="C45" s="236">
        <f>C46</f>
        <v>508</v>
      </c>
      <c r="D45" s="226">
        <f>C47</f>
        <v>3.0000000000000001E-3</v>
      </c>
      <c r="E45" s="227" t="s">
        <v>102</v>
      </c>
      <c r="F45" s="237"/>
      <c r="G45" s="238" t="s">
        <v>434</v>
      </c>
    </row>
    <row r="46" spans="1:7" s="205" customFormat="1" ht="13.5" customHeight="1">
      <c r="A46" s="733" t="s">
        <v>349</v>
      </c>
      <c r="B46" s="239" t="s">
        <v>427</v>
      </c>
      <c r="C46" s="240">
        <f>ROUND((C33+C39)*F27,0)</f>
        <v>508</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4365</v>
      </c>
      <c r="D49" s="223"/>
      <c r="E49" s="223"/>
      <c r="F49" s="255"/>
      <c r="G49" s="225" t="s">
        <v>435</v>
      </c>
    </row>
    <row r="50" spans="1:7" s="249" customFormat="1" ht="24">
      <c r="A50" s="730" t="s">
        <v>344</v>
      </c>
      <c r="B50" s="201" t="s">
        <v>97</v>
      </c>
      <c r="C50" s="223"/>
      <c r="D50" s="223"/>
      <c r="E50" s="223"/>
      <c r="F50" s="255">
        <f>IF('数据-取费表'!B24=0,'数据-取费表'!N16,1)</f>
        <v>0.77</v>
      </c>
      <c r="G50" s="238" t="s">
        <v>98</v>
      </c>
    </row>
    <row r="51" spans="1:7" ht="16.5" customHeight="1">
      <c r="A51" s="730" t="s">
        <v>345</v>
      </c>
      <c r="B51" s="201" t="s">
        <v>105</v>
      </c>
      <c r="C51" s="223">
        <f ca="1">ROUND(C49*F50,0)</f>
        <v>3361</v>
      </c>
      <c r="D51" s="223"/>
      <c r="E51" s="223"/>
      <c r="F51" s="255"/>
      <c r="G51" s="225" t="s">
        <v>37</v>
      </c>
    </row>
    <row r="52" spans="1:7" s="199" customFormat="1" ht="16.5" thickBot="1">
      <c r="A52" s="256" t="s">
        <v>38</v>
      </c>
      <c r="B52" s="257"/>
      <c r="C52" s="258">
        <f ca="1">C31+C51</f>
        <v>31748</v>
      </c>
      <c r="D52" s="257"/>
      <c r="E52" s="257"/>
      <c r="F52" s="257"/>
      <c r="G52" s="259"/>
    </row>
    <row r="55" spans="1:7" ht="15">
      <c r="B55" s="261" t="s">
        <v>39</v>
      </c>
      <c r="C55" s="262"/>
    </row>
    <row r="56" spans="1:7">
      <c r="B56" s="264" t="s">
        <v>40</v>
      </c>
      <c r="C56" s="265">
        <f ca="1">ROUND(C51/C52,3)</f>
        <v>0.106</v>
      </c>
    </row>
    <row r="57" spans="1:7">
      <c r="B57" s="264" t="s">
        <v>41</v>
      </c>
      <c r="C57" s="266">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8" t="s">
        <v>3176</v>
      </c>
      <c r="B1" s="3518"/>
    </row>
    <row r="2" spans="1:7" ht="14.25" thickBot="1">
      <c r="A2" s="2966"/>
      <c r="B2" s="2966"/>
    </row>
    <row r="3" spans="1:7" ht="14.25" thickBot="1">
      <c r="A3" s="2966"/>
      <c r="B3" s="2966"/>
      <c r="C3" s="2967" t="s">
        <v>2806</v>
      </c>
      <c r="D3" s="2967" t="s">
        <v>2862</v>
      </c>
      <c r="E3" s="2967" t="s">
        <v>2808</v>
      </c>
      <c r="F3" s="2967" t="s">
        <v>2863</v>
      </c>
      <c r="G3" s="2967" t="s">
        <v>2626</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19" t="s">
        <v>3227</v>
      </c>
      <c r="B1" s="3519"/>
      <c r="C1" s="3519"/>
      <c r="D1" s="3519"/>
      <c r="E1" s="3519"/>
      <c r="F1" s="3520"/>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45762</v>
      </c>
      <c r="B1" s="2927" t="s">
        <v>3372</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44" s="2009" customFormat="1" ht="14.25" thickBot="1">
      <c r="B2" s="2879"/>
      <c r="C2" s="2880"/>
      <c r="D2" s="2010" t="s">
        <v>2805</v>
      </c>
      <c r="E2" s="2011" t="s">
        <v>2806</v>
      </c>
      <c r="F2" s="2011" t="s">
        <v>2807</v>
      </c>
      <c r="G2" s="2011" t="s">
        <v>2808</v>
      </c>
      <c r="H2" s="2011" t="s">
        <v>2809</v>
      </c>
      <c r="I2" s="2011" t="s">
        <v>2626</v>
      </c>
      <c r="J2" s="2881"/>
      <c r="K2" s="2010" t="s">
        <v>2805</v>
      </c>
      <c r="L2" s="2011" t="s">
        <v>2806</v>
      </c>
      <c r="M2" s="2011" t="s">
        <v>2807</v>
      </c>
      <c r="N2" s="2011" t="s">
        <v>2808</v>
      </c>
      <c r="O2" s="2011" t="s">
        <v>2810</v>
      </c>
      <c r="P2" s="2011" t="s">
        <v>2626</v>
      </c>
      <c r="Q2" s="2881"/>
      <c r="R2" s="2010" t="s">
        <v>2805</v>
      </c>
      <c r="S2" s="2011" t="s">
        <v>2806</v>
      </c>
      <c r="T2" s="2011" t="s">
        <v>2807</v>
      </c>
      <c r="U2" s="2011" t="s">
        <v>2811</v>
      </c>
      <c r="V2" s="2011" t="s">
        <v>2812</v>
      </c>
      <c r="W2" s="2011" t="s">
        <v>2626</v>
      </c>
      <c r="X2" s="2881"/>
      <c r="Y2" s="2010" t="s">
        <v>2805</v>
      </c>
      <c r="Z2" s="2011" t="s">
        <v>2806</v>
      </c>
      <c r="AA2" s="2011" t="s">
        <v>2807</v>
      </c>
      <c r="AB2" s="2011" t="s">
        <v>2813</v>
      </c>
      <c r="AC2" s="2011" t="s">
        <v>2812</v>
      </c>
      <c r="AD2" s="2011" t="s">
        <v>2626</v>
      </c>
      <c r="AF2" t="s">
        <v>3399</v>
      </c>
      <c r="AG2" t="s">
        <v>673</v>
      </c>
      <c r="AH2" t="s">
        <v>21</v>
      </c>
      <c r="AI2" t="s">
        <v>3400</v>
      </c>
      <c r="AJ2" t="s">
        <v>3</v>
      </c>
      <c r="AK2" t="s">
        <v>3401</v>
      </c>
      <c r="AM2" t="s">
        <v>3399</v>
      </c>
      <c r="AN2" t="s">
        <v>673</v>
      </c>
      <c r="AO2" t="s">
        <v>21</v>
      </c>
      <c r="AP2" t="s">
        <v>3400</v>
      </c>
      <c r="AQ2" t="s">
        <v>3</v>
      </c>
      <c r="AR2" t="s">
        <v>3401</v>
      </c>
    </row>
    <row r="3" spans="1:44" s="2884" customFormat="1" ht="12.75">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3398</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2.75">
      <c r="A6" s="2039" t="s">
        <v>3397</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4" customFormat="1" ht="12.75">
      <c r="A7" s="2905" t="s">
        <v>3396</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2.75">
      <c r="A8" s="2039" t="s">
        <v>3404</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2.75">
      <c r="A9" s="2039" t="s">
        <v>3403</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2.75">
      <c r="A10" s="2039" t="s">
        <v>3376</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2.75">
      <c r="A11" s="2903" t="s">
        <v>3370</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2.75">
      <c r="A12" s="2903" t="s">
        <v>3369</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2.75">
      <c r="A13" s="2903" t="s">
        <v>3365</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2.75">
      <c r="A14" s="2903" t="s">
        <v>3364</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2.75">
      <c r="A15" s="2903" t="s">
        <v>3362</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2.75">
      <c r="A16" s="2903" t="s">
        <v>3361</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2.75">
      <c r="A17" s="2903" t="s">
        <v>3360</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2.75">
      <c r="A18" s="2903" t="s">
        <v>3358</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2.75">
      <c r="A19" s="2903" t="s">
        <v>3349</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2.75">
      <c r="A20" s="2903" t="s">
        <v>2815</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2.75">
      <c r="A21" s="2903" t="s">
        <v>2816</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2.75">
      <c r="A22" s="2903" t="s">
        <v>2817</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2.75">
      <c r="A23" s="2903" t="s">
        <v>2818</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6" customFormat="1" ht="14.2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3375</v>
      </c>
    </row>
    <row r="27" spans="1:44">
      <c r="I27" s="1404" t="s">
        <v>2820</v>
      </c>
    </row>
    <row r="29" spans="1:44" s="2008" customFormat="1" ht="12.75">
      <c r="B29" s="2927" t="s">
        <v>3373</v>
      </c>
      <c r="C29" s="2928"/>
      <c r="D29" s="2928"/>
      <c r="E29" s="2928"/>
      <c r="F29" s="2928"/>
      <c r="G29" s="2928"/>
      <c r="H29" s="2928"/>
      <c r="I29" s="2928"/>
      <c r="J29" s="2894"/>
      <c r="K29" s="2928" t="s">
        <v>2821</v>
      </c>
      <c r="L29" s="2928"/>
      <c r="M29" s="2928"/>
      <c r="N29" s="2928"/>
      <c r="O29" s="2928"/>
      <c r="P29" s="2928"/>
      <c r="Q29" s="2894"/>
      <c r="R29" s="3521" t="s">
        <v>2822</v>
      </c>
      <c r="S29" s="3522"/>
      <c r="T29" s="3522"/>
      <c r="U29" s="3522"/>
      <c r="V29" s="3522"/>
      <c r="W29" s="3522"/>
      <c r="X29" s="2894"/>
      <c r="Y29" s="3521" t="s">
        <v>2823</v>
      </c>
      <c r="Z29" s="3522"/>
      <c r="AA29" s="3522"/>
      <c r="AB29" s="3522"/>
      <c r="AC29" s="3522"/>
      <c r="AD29" s="3522"/>
    </row>
    <row r="30" spans="1:44" s="2009" customFormat="1" ht="14.25" thickBot="1">
      <c r="B30" s="2879"/>
      <c r="C30" s="2880"/>
      <c r="D30" s="2010" t="s">
        <v>2824</v>
      </c>
      <c r="E30" s="2011" t="s">
        <v>2825</v>
      </c>
      <c r="F30" s="2011" t="s">
        <v>2826</v>
      </c>
      <c r="G30" s="2011" t="s">
        <v>2827</v>
      </c>
      <c r="H30" s="2011"/>
      <c r="I30" s="2011" t="s">
        <v>2828</v>
      </c>
      <c r="J30" s="2881"/>
      <c r="K30" s="2010" t="s">
        <v>2824</v>
      </c>
      <c r="L30" s="2011" t="s">
        <v>2825</v>
      </c>
      <c r="M30" s="2011" t="s">
        <v>2826</v>
      </c>
      <c r="N30" s="2011" t="s">
        <v>2827</v>
      </c>
      <c r="O30" s="2011"/>
      <c r="P30" s="2011" t="s">
        <v>2828</v>
      </c>
      <c r="Q30" s="2881"/>
      <c r="R30" s="2010" t="s">
        <v>2824</v>
      </c>
      <c r="S30" s="2011" t="s">
        <v>2825</v>
      </c>
      <c r="T30" s="2011" t="s">
        <v>2826</v>
      </c>
      <c r="U30" s="2011" t="s">
        <v>2827</v>
      </c>
      <c r="V30" s="2011"/>
      <c r="W30" s="2011" t="s">
        <v>2828</v>
      </c>
      <c r="X30" s="2881"/>
      <c r="Y30" s="2010" t="s">
        <v>2824</v>
      </c>
      <c r="Z30" s="2011" t="s">
        <v>2825</v>
      </c>
      <c r="AA30" s="2011" t="s">
        <v>2826</v>
      </c>
      <c r="AB30" s="2011" t="s">
        <v>2827</v>
      </c>
      <c r="AC30" s="2011"/>
      <c r="AD30" s="2011" t="s">
        <v>2828</v>
      </c>
      <c r="AG30" t="s">
        <v>673</v>
      </c>
      <c r="AH30" t="s">
        <v>21</v>
      </c>
      <c r="AI30" t="s">
        <v>3400</v>
      </c>
      <c r="AJ30"/>
      <c r="AK30" t="s">
        <v>3401</v>
      </c>
      <c r="AN30" t="s">
        <v>673</v>
      </c>
      <c r="AO30" t="s">
        <v>21</v>
      </c>
      <c r="AP30" t="s">
        <v>3400</v>
      </c>
      <c r="AQ30"/>
      <c r="AR30" t="s">
        <v>3401</v>
      </c>
    </row>
    <row r="31" spans="1:44" s="2884" customFormat="1" ht="12.75">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2.75">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3398</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2.75">
      <c r="A34" s="2039" t="s">
        <v>3397</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4" customFormat="1" ht="12.75">
      <c r="A35" s="2905" t="s">
        <v>3405</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2.75">
      <c r="A36" s="2039" t="s">
        <v>3402</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2.75">
      <c r="A37" s="2039" t="s">
        <v>3403</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2.75">
      <c r="A38" s="2039" t="s">
        <v>3367</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2.75">
      <c r="A39" s="2903" t="s">
        <v>3371</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2.75">
      <c r="A40" s="2903" t="s">
        <v>3368</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2.75">
      <c r="A41" s="2903" t="s">
        <v>3366</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2.75">
      <c r="A42" s="2903" t="s">
        <v>3364</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2.75">
      <c r="A43" s="2903" t="s">
        <v>3363</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2.75">
      <c r="A44" s="2903" t="s">
        <v>3361</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2.75">
      <c r="A45" s="2903" t="s">
        <v>3360</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2.75">
      <c r="A46" s="2903" t="s">
        <v>3359</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2.75">
      <c r="A47" s="2903" t="s">
        <v>3349</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2.75">
      <c r="A48" s="2903" t="s">
        <v>2830</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2.75">
      <c r="A49" s="2903" t="s">
        <v>2831</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2.75">
      <c r="A50" s="2903" t="s">
        <v>2832</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2.75">
      <c r="A51" s="2903" t="s">
        <v>2833</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6" customFormat="1" ht="14.2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2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34" t="s">
        <v>2834</v>
      </c>
      <c r="B1" s="3534"/>
      <c r="C1" s="3534"/>
      <c r="D1" s="3534"/>
      <c r="E1" s="3534"/>
      <c r="F1" s="3534"/>
      <c r="G1" s="3535"/>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32"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533"/>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45762</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13"/>
      <c r="B3" s="3213"/>
      <c r="C3" s="3213"/>
      <c r="D3" s="800" t="s">
        <v>925</v>
      </c>
      <c r="E3" s="800" t="s">
        <v>931</v>
      </c>
      <c r="F3" s="800" t="s">
        <v>925</v>
      </c>
      <c r="G3" s="800" t="s">
        <v>926</v>
      </c>
      <c r="H3" s="800" t="s">
        <v>925</v>
      </c>
      <c r="I3" s="800" t="s">
        <v>926</v>
      </c>
    </row>
    <row r="4" spans="1:9" ht="30">
      <c r="A4" s="1402" t="str">
        <f>项目基本情况!S2</f>
        <v>北京市朝阳区日坛北路17号院2号楼房地产</v>
      </c>
      <c r="B4" s="800">
        <f>项目基本情况!C17</f>
        <v>4967.6099999999997</v>
      </c>
      <c r="C4" s="800">
        <f>项目基本情况!C18</f>
        <v>0</v>
      </c>
      <c r="D4" s="800">
        <f ca="1">结果表!D118</f>
        <v>11287</v>
      </c>
      <c r="E4" s="800">
        <f ca="1">结果表!E118</f>
        <v>22721</v>
      </c>
      <c r="F4" s="800">
        <f ca="1">结果表!F118</f>
        <v>2857</v>
      </c>
      <c r="G4" s="800">
        <f ca="1">结果表!G118</f>
        <v>5751</v>
      </c>
      <c r="H4" s="800">
        <f ca="1">结果表!H118</f>
        <v>14144</v>
      </c>
      <c r="I4" s="800">
        <f ca="1">结果表!I118</f>
        <v>28472</v>
      </c>
    </row>
    <row r="5" spans="1:9" ht="30" customHeight="1">
      <c r="A5" s="3213" t="s">
        <v>927</v>
      </c>
      <c r="B5" s="3213"/>
      <c r="C5" s="3213"/>
      <c r="D5" s="3213" t="str">
        <f ca="1">结果表!D119</f>
        <v>壹亿壹仟贰佰捌拾柒万元整</v>
      </c>
      <c r="E5" s="3213"/>
      <c r="F5" s="3213" t="str">
        <f ca="1">结果表!F119</f>
        <v>贰仟捌佰伍拾柒万元整</v>
      </c>
      <c r="G5" s="3213"/>
      <c r="H5" s="3213" t="str">
        <f ca="1">结果表!H119</f>
        <v>壹亿肆仟壹佰肆拾肆万元整</v>
      </c>
      <c r="I5" s="3213"/>
    </row>
    <row r="6" spans="1:9" ht="15.75">
      <c r="A6" s="3214" t="str">
        <f>结果表!A120</f>
        <v>估价师知悉的法定优先受偿款</v>
      </c>
      <c r="B6" s="3214"/>
      <c r="C6" s="3214"/>
      <c r="D6" s="3214">
        <f>结果表!D120</f>
        <v>0</v>
      </c>
      <c r="E6" s="3214"/>
      <c r="F6" s="3214"/>
      <c r="G6" s="3214"/>
      <c r="H6" s="3214"/>
      <c r="I6" s="3214"/>
    </row>
    <row r="7" spans="1:9" ht="15">
      <c r="A7" s="3213" t="s">
        <v>927</v>
      </c>
      <c r="B7" s="3213"/>
      <c r="C7" s="3213"/>
      <c r="D7" s="3215" t="str">
        <f>结果表!D121</f>
        <v>零元整</v>
      </c>
      <c r="E7" s="3216"/>
      <c r="F7" s="3216"/>
      <c r="G7" s="3216"/>
      <c r="H7" s="3216"/>
      <c r="I7" s="3217"/>
    </row>
    <row r="8" spans="1:9" ht="15.75">
      <c r="A8" s="3214" t="str">
        <f>结果表!A122</f>
        <v>房地产抵押价值</v>
      </c>
      <c r="B8" s="3214"/>
      <c r="C8" s="3214"/>
      <c r="D8" s="3214">
        <f ca="1">结果表!D122</f>
        <v>14144</v>
      </c>
      <c r="E8" s="3214"/>
      <c r="F8" s="3214"/>
      <c r="G8" s="3214"/>
      <c r="H8" s="3214"/>
      <c r="I8" s="3214"/>
    </row>
    <row r="9" spans="1:9" ht="15">
      <c r="A9" s="3213" t="s">
        <v>927</v>
      </c>
      <c r="B9" s="3213"/>
      <c r="C9" s="3213"/>
      <c r="D9" s="3213" t="str">
        <f ca="1">结果表!D123</f>
        <v>壹亿肆仟壹佰肆拾肆万元整</v>
      </c>
      <c r="E9" s="3213"/>
      <c r="F9" s="3213"/>
      <c r="G9" s="3213"/>
      <c r="H9" s="3213"/>
      <c r="I9" s="3213"/>
    </row>
    <row r="10" spans="1:9" ht="15.75">
      <c r="A10" s="3214" t="str">
        <f>结果表!A124</f>
        <v/>
      </c>
      <c r="B10" s="3214"/>
      <c r="C10" s="3214"/>
      <c r="D10" s="3214" t="str">
        <f>结果表!D124</f>
        <v>——</v>
      </c>
      <c r="E10" s="3214"/>
      <c r="F10" s="3214"/>
      <c r="G10" s="3214"/>
      <c r="H10" s="3214"/>
      <c r="I10" s="3214"/>
    </row>
    <row r="11" spans="1:9" ht="15">
      <c r="A11" s="3213" t="s">
        <v>927</v>
      </c>
      <c r="B11" s="3213"/>
      <c r="C11" s="3213"/>
      <c r="D11" s="3213" t="e">
        <f>结果表!D125</f>
        <v>#VALUE!</v>
      </c>
      <c r="E11" s="3213"/>
      <c r="F11" s="3213"/>
      <c r="G11" s="3213"/>
      <c r="H11" s="3213"/>
      <c r="I11" s="3213"/>
    </row>
    <row r="12" spans="1:9" ht="15.75">
      <c r="A12" s="3214" t="str">
        <f>结果表!A126</f>
        <v/>
      </c>
      <c r="B12" s="3214"/>
      <c r="C12" s="3214"/>
      <c r="D12" s="3214" t="str">
        <f>结果表!D126</f>
        <v>——</v>
      </c>
      <c r="E12" s="3214"/>
      <c r="F12" s="3214"/>
      <c r="G12" s="3214"/>
      <c r="H12" s="3214"/>
      <c r="I12" s="3214"/>
    </row>
    <row r="13" spans="1:9" ht="15.75" thickBot="1">
      <c r="A13" s="3218" t="s">
        <v>927</v>
      </c>
      <c r="B13" s="3218"/>
      <c r="C13" s="3218"/>
      <c r="D13" s="3218" t="e">
        <f>结果表!D127</f>
        <v>#VALUE!</v>
      </c>
      <c r="E13" s="3218"/>
      <c r="F13" s="3218"/>
      <c r="G13" s="3218"/>
      <c r="H13" s="3218"/>
      <c r="I13" s="3218"/>
    </row>
    <row r="14" spans="1:9" ht="15" thickTop="1">
      <c r="A14" s="3219" t="s">
        <v>932</v>
      </c>
      <c r="B14" s="3219"/>
      <c r="C14" s="3219"/>
      <c r="D14" s="3219"/>
      <c r="E14" s="3219"/>
      <c r="F14" s="3219"/>
      <c r="G14" s="3219"/>
      <c r="H14" s="3219"/>
      <c r="I14" s="3219"/>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0" t="s">
        <v>949</v>
      </c>
      <c r="B1" s="3220"/>
      <c r="C1" s="3220"/>
      <c r="D1" s="3220"/>
    </row>
    <row r="2" spans="1:4" ht="18">
      <c r="A2" s="3221" t="s">
        <v>933</v>
      </c>
      <c r="B2" s="3221"/>
      <c r="C2" s="3221"/>
      <c r="D2" s="3221"/>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221" t="s">
        <v>939</v>
      </c>
      <c r="B6" s="3221"/>
      <c r="C6" s="3221"/>
      <c r="D6" s="322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2" t="s">
        <v>942</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6" t="s">
        <v>943</v>
      </c>
      <c r="B16" s="3226"/>
      <c r="C16" s="3226"/>
      <c r="D16" s="3226"/>
    </row>
    <row r="17" spans="1:4" ht="144" customHeight="1">
      <c r="A17" s="3226" t="s">
        <v>944</v>
      </c>
      <c r="B17" s="3226"/>
      <c r="C17" s="3226"/>
      <c r="D17" s="3226"/>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7"/>
      <c r="C21" s="3227"/>
      <c r="D21" s="3227"/>
    </row>
    <row r="22" spans="1:4" ht="18.75" customHeight="1">
      <c r="A22" s="3228" t="s">
        <v>945</v>
      </c>
      <c r="B22" s="3228"/>
      <c r="C22" s="3228"/>
      <c r="D22" s="3228"/>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25">
        <v>42551</v>
      </c>
      <c r="D31" s="32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4" t="s">
        <v>956</v>
      </c>
      <c r="B15" s="3229" t="s">
        <v>109</v>
      </c>
      <c r="C15" s="3230"/>
    </row>
    <row r="16" spans="1:7" ht="13.5">
      <c r="A16" s="3235"/>
      <c r="B16" s="3229" t="s">
        <v>42</v>
      </c>
      <c r="C16" s="3230"/>
    </row>
    <row r="17" spans="1:3" ht="13.5">
      <c r="A17" s="3235"/>
      <c r="B17" s="3232" t="s">
        <v>957</v>
      </c>
      <c r="C17" s="1428" t="s">
        <v>956</v>
      </c>
    </row>
    <row r="18" spans="1:3" ht="13.5">
      <c r="A18" s="3235"/>
      <c r="B18" s="3232"/>
      <c r="C18" s="1428" t="s">
        <v>958</v>
      </c>
    </row>
    <row r="19" spans="1:3" ht="13.5">
      <c r="A19" s="3235"/>
      <c r="B19" s="3232"/>
      <c r="C19" s="1428" t="s">
        <v>959</v>
      </c>
    </row>
    <row r="20" spans="1:3" ht="13.5">
      <c r="A20" s="3236"/>
      <c r="B20" s="3231" t="s">
        <v>960</v>
      </c>
      <c r="C20" s="3230"/>
    </row>
    <row r="21" spans="1:3" ht="13.5">
      <c r="A21" s="1429" t="s">
        <v>961</v>
      </c>
      <c r="B21" s="1430"/>
      <c r="C21" s="1431"/>
    </row>
    <row r="22" spans="1:3" ht="13.5">
      <c r="A22" s="3233" t="s">
        <v>962</v>
      </c>
      <c r="B22" s="3231" t="s">
        <v>963</v>
      </c>
      <c r="C22" s="3230"/>
    </row>
    <row r="23" spans="1:3" ht="13.5">
      <c r="A23" s="3233"/>
      <c r="B23" s="3231" t="s">
        <v>964</v>
      </c>
      <c r="C23" s="3230"/>
    </row>
    <row r="24" spans="1:3" ht="13.5">
      <c r="A24" s="3233"/>
      <c r="B24" s="3231" t="s">
        <v>965</v>
      </c>
      <c r="C24" s="3230"/>
    </row>
    <row r="25" spans="1:3" ht="13.5">
      <c r="A25" s="3233"/>
      <c r="B25" s="3232" t="s">
        <v>966</v>
      </c>
      <c r="C25" s="1428" t="s">
        <v>967</v>
      </c>
    </row>
    <row r="26" spans="1:3" ht="13.5">
      <c r="A26" s="3233"/>
      <c r="B26" s="3232"/>
      <c r="C26" s="1428" t="s">
        <v>968</v>
      </c>
    </row>
    <row r="27" spans="1:3" ht="13.5">
      <c r="A27" s="3233"/>
      <c r="B27" s="3232"/>
      <c r="C27" s="1428" t="s">
        <v>969</v>
      </c>
    </row>
    <row r="28" spans="1:3" ht="13.5">
      <c r="A28" s="3233"/>
      <c r="B28" s="3232"/>
      <c r="C28" s="1428" t="s">
        <v>970</v>
      </c>
    </row>
    <row r="29" spans="1:3" ht="13.5">
      <c r="A29" s="3233"/>
      <c r="B29" s="3232"/>
      <c r="C29" s="1428" t="s">
        <v>971</v>
      </c>
    </row>
    <row r="30" spans="1:3" ht="13.5">
      <c r="A30" s="3233"/>
      <c r="B30" s="3232"/>
      <c r="C30" s="1428" t="s">
        <v>972</v>
      </c>
    </row>
    <row r="31" spans="1:3" ht="13.5">
      <c r="A31" s="3233"/>
      <c r="B31" s="3232"/>
      <c r="C31" s="1428" t="s">
        <v>973</v>
      </c>
    </row>
    <row r="32" spans="1:3" ht="13.5">
      <c r="A32" s="3233"/>
      <c r="B32" s="3232"/>
      <c r="C32" s="1428" t="s">
        <v>974</v>
      </c>
    </row>
    <row r="33" spans="1:3" ht="13.5">
      <c r="A33" s="3233"/>
      <c r="B33" s="323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45764</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7" t="s">
        <v>2159</v>
      </c>
      <c r="B17" s="3237"/>
      <c r="C17" s="3237"/>
      <c r="D17" s="3237"/>
      <c r="E17" s="3237"/>
      <c r="F17" s="3237"/>
      <c r="G17" s="3237"/>
      <c r="H17" s="3237"/>
    </row>
    <row r="18" spans="1:8" ht="24" customHeight="1">
      <c r="A18" s="3238" t="s">
        <v>2160</v>
      </c>
      <c r="B18" s="3238"/>
      <c r="C18" s="3238"/>
      <c r="D18" s="2159"/>
      <c r="E18" s="3239" t="s">
        <v>2161</v>
      </c>
      <c r="F18" s="3238"/>
      <c r="G18" s="3238"/>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2025-04-17T06:08:17Z</dcterms:modified>
</cp:coreProperties>
</file>